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ieskobar/Documents/Divers/Data Projects/Videogames/Japan/2020/"/>
    </mc:Choice>
  </mc:AlternateContent>
  <xr:revisionPtr revIDLastSave="0" documentId="13_ncr:1_{D1346F51-F610-ED4A-80F4-C42717ADE197}" xr6:coauthVersionLast="46" xr6:coauthVersionMax="46" xr10:uidLastSave="{00000000-0000-0000-0000-000000000000}"/>
  <bookViews>
    <workbookView xWindow="0" yWindow="0" windowWidth="28800" windowHeight="18000" firstSheet="47" activeTab="52" xr2:uid="{C29713EA-CFA8-9C40-A064-31623AEBCD1B}"/>
  </bookViews>
  <sheets>
    <sheet name="Week 1 Dec 30 - Jan 5 2020" sheetId="40" r:id="rId1"/>
    <sheet name="Week 2 Jan 6 - Jan 12 2020" sheetId="39" r:id="rId2"/>
    <sheet name="Week 3 Jan 13 - Jan 19 2020" sheetId="38" r:id="rId3"/>
    <sheet name="Week 4 Jan 20 - Jan 26 2020" sheetId="37" r:id="rId4"/>
    <sheet name="Week 5 Jan 27 - Feb 2 2020" sheetId="36" r:id="rId5"/>
    <sheet name="Week 6 Feb 3 - Feb 9 2020" sheetId="35" r:id="rId6"/>
    <sheet name="Week 7 Feb 10 - Feb 16 2020" sheetId="34" r:id="rId7"/>
    <sheet name="Week 8 Feb 17 - Feb 23 2020" sheetId="33" r:id="rId8"/>
    <sheet name="Week 9 Feb 24 - Mar 1 2020" sheetId="32" r:id="rId9"/>
    <sheet name="Week 10 Mar 2 - Mar 8 2020" sheetId="31" r:id="rId10"/>
    <sheet name="Week 11 Mar 9 - Mar 15 2020" sheetId="30" r:id="rId11"/>
    <sheet name="Week 12 Mar 16 - Mar 22 2020" sheetId="29" r:id="rId12"/>
    <sheet name="Week 13 Mar 23 - Mar 29 2020" sheetId="28" r:id="rId13"/>
    <sheet name="Week 14 Mar 30 - Apr 5 2020" sheetId="27" r:id="rId14"/>
    <sheet name="Week 15 Apr 6 - Apr 12 2020" sheetId="26" r:id="rId15"/>
    <sheet name="Week 16 Apr 13 - Apr 19 2020" sheetId="25" r:id="rId16"/>
    <sheet name="Week 17 Apr 20 - Apr 26 2020" sheetId="24" r:id="rId17"/>
    <sheet name="Week 18 Apr 27 - May 3 2020" sheetId="23" r:id="rId18"/>
    <sheet name="Week 19 May 4 - May 10 2020" sheetId="56" r:id="rId19"/>
    <sheet name="Week 20 May 11 - May 17 2020" sheetId="22" r:id="rId20"/>
    <sheet name="Week 21 May 18 - May 24 2020" sheetId="20" r:id="rId21"/>
    <sheet name="Week 22 May 25 - May 31 2020" sheetId="19" r:id="rId22"/>
    <sheet name="Week 23 June 1 - June 7 2020" sheetId="18" r:id="rId23"/>
    <sheet name="Week 24 June 8 - June 14 2020" sheetId="17" r:id="rId24"/>
    <sheet name="Week 25 June 15 - June 21 2020" sheetId="16" r:id="rId25"/>
    <sheet name="Week 26 June 22 - June 28 2020" sheetId="15" r:id="rId26"/>
    <sheet name="Week 27 June 29 - July 5 2020" sheetId="14" r:id="rId27"/>
    <sheet name="Week 28 July 6 - July 12 2020" sheetId="13" r:id="rId28"/>
    <sheet name="Week 29 July 13 - July 19 2020" sheetId="12" r:id="rId29"/>
    <sheet name="Week 30 July 20 - July 26 2020" sheetId="11" r:id="rId30"/>
    <sheet name="Week 31 July 27 - Aug 2 2020" sheetId="10" r:id="rId31"/>
    <sheet name="Week 32 Aug 3 - Aug 9 2020" sheetId="9" r:id="rId32"/>
    <sheet name="Week 33 Aug 10 - Aug 16 2020" sheetId="8" r:id="rId33"/>
    <sheet name="Week 34 Aug 17 - Aug 23 2020" sheetId="7" r:id="rId34"/>
    <sheet name="Week 35 Aug 24 - Aug 30 2020" sheetId="6" r:id="rId35"/>
    <sheet name="Week 36 Aug 31 - Sept 6 2020" sheetId="5" r:id="rId36"/>
    <sheet name="Week 37 Sept 7 - Sept 13 2020" sheetId="1" r:id="rId37"/>
    <sheet name="Week 38 Sept 14 - Sept 20 2020" sheetId="2" r:id="rId38"/>
    <sheet name="Week 39 Sept 21 - Sept 27 2020" sheetId="41" r:id="rId39"/>
    <sheet name="Week 40 Sept 28 - Oct 4 2020" sheetId="54" r:id="rId40"/>
    <sheet name="Week 41 Oct 5 - Oct 11 2020" sheetId="53" r:id="rId41"/>
    <sheet name="Week 42 Oct 12 - Oct 18 2020" sheetId="52" r:id="rId42"/>
    <sheet name="Week 43 Oct 19 - Oct 25 2020" sheetId="51" r:id="rId43"/>
    <sheet name="Week 44 Oct 26 - Nov 1 2020" sheetId="50" r:id="rId44"/>
    <sheet name="Week 45 Nov 2 - Nov 8 2020" sheetId="49" r:id="rId45"/>
    <sheet name="Week 46 Nov 9 - Nov 15 2020" sheetId="48" r:id="rId46"/>
    <sheet name="Week 47 Nov 16 - Nov 22 2020" sheetId="47" r:id="rId47"/>
    <sheet name="Week 48 Nov 23 - Nov 29 2020" sheetId="46" r:id="rId48"/>
    <sheet name="Week 49 Nov 30 - Dec 6 2020" sheetId="45" r:id="rId49"/>
    <sheet name="Week 50 Dec 7 - Dec 13 2020" sheetId="44" r:id="rId50"/>
    <sheet name="Week 51 Dec 14 - Dec 20 2020" sheetId="43" r:id="rId51"/>
    <sheet name="Week 52 Dec 21 - Dec 27 2020" sheetId="42" r:id="rId52"/>
    <sheet name="Week 53 Dec 28 - Jan 3 2021" sheetId="55" r:id="rId5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55" l="1"/>
  <c r="I4" i="55"/>
  <c r="I5" i="55"/>
  <c r="I6" i="55"/>
  <c r="I7" i="55"/>
  <c r="I8" i="55"/>
  <c r="I9" i="55"/>
  <c r="I10" i="55"/>
  <c r="I11" i="55"/>
  <c r="I12" i="55"/>
  <c r="I13" i="55"/>
  <c r="I14" i="55"/>
  <c r="I15" i="55"/>
  <c r="I16" i="55"/>
  <c r="I17" i="55"/>
  <c r="I18" i="55"/>
  <c r="I19" i="55"/>
  <c r="I20" i="55"/>
  <c r="I21" i="55"/>
  <c r="I22" i="55"/>
  <c r="I23" i="55"/>
  <c r="I24" i="55"/>
  <c r="I25" i="55"/>
  <c r="I26" i="55"/>
  <c r="I27" i="55"/>
  <c r="I28" i="55"/>
  <c r="I29" i="55"/>
  <c r="I30" i="55"/>
  <c r="I31" i="55"/>
  <c r="J31" i="55" s="1"/>
  <c r="I2" i="55"/>
  <c r="J2" i="55" s="1"/>
  <c r="G3" i="55"/>
  <c r="G4" i="55"/>
  <c r="G5" i="55"/>
  <c r="G6" i="55"/>
  <c r="G7" i="55"/>
  <c r="G8" i="55"/>
  <c r="G9" i="55"/>
  <c r="G10" i="55"/>
  <c r="G11" i="55"/>
  <c r="G12" i="55"/>
  <c r="G13" i="55"/>
  <c r="G14" i="55"/>
  <c r="G15" i="55"/>
  <c r="G16" i="55"/>
  <c r="G17" i="55"/>
  <c r="G18" i="55"/>
  <c r="G19" i="55"/>
  <c r="G20" i="55"/>
  <c r="G21" i="55"/>
  <c r="G22" i="55"/>
  <c r="G23" i="55"/>
  <c r="G24" i="55"/>
  <c r="G25" i="55"/>
  <c r="G26" i="55"/>
  <c r="G27" i="55"/>
  <c r="G28" i="55"/>
  <c r="G29" i="55"/>
  <c r="G30" i="55"/>
  <c r="G31" i="55"/>
  <c r="H3" i="55"/>
  <c r="H4" i="55"/>
  <c r="H5" i="55"/>
  <c r="H6" i="55"/>
  <c r="H7" i="55"/>
  <c r="H8" i="55"/>
  <c r="H9" i="55"/>
  <c r="H10" i="55"/>
  <c r="H11" i="55"/>
  <c r="H12" i="55"/>
  <c r="H13" i="55"/>
  <c r="H14" i="55"/>
  <c r="H15" i="55"/>
  <c r="H16" i="55"/>
  <c r="H17" i="55"/>
  <c r="H18" i="55"/>
  <c r="H19" i="55"/>
  <c r="H20" i="55"/>
  <c r="H21" i="55"/>
  <c r="H22" i="55"/>
  <c r="H23" i="55"/>
  <c r="H24" i="55"/>
  <c r="H25" i="55"/>
  <c r="H26" i="55"/>
  <c r="H27" i="55"/>
  <c r="H28" i="55"/>
  <c r="H29" i="55"/>
  <c r="H30" i="55"/>
  <c r="H31" i="55"/>
  <c r="H2" i="55"/>
  <c r="G2" i="55"/>
  <c r="F3" i="55"/>
  <c r="F4" i="55"/>
  <c r="F5" i="55"/>
  <c r="F6" i="55"/>
  <c r="F7" i="55"/>
  <c r="F8" i="55"/>
  <c r="F9" i="55"/>
  <c r="F10" i="55"/>
  <c r="F11" i="55"/>
  <c r="F12" i="55"/>
  <c r="F13" i="55"/>
  <c r="F14" i="55"/>
  <c r="F15" i="55"/>
  <c r="F16" i="55"/>
  <c r="F17" i="55"/>
  <c r="F18" i="55"/>
  <c r="F19" i="55"/>
  <c r="F20" i="55"/>
  <c r="F21" i="55"/>
  <c r="F22" i="55"/>
  <c r="F23" i="55"/>
  <c r="F24" i="55"/>
  <c r="F25" i="55"/>
  <c r="F26" i="55"/>
  <c r="F27" i="55"/>
  <c r="F28" i="55"/>
  <c r="F29" i="55"/>
  <c r="F30" i="55"/>
  <c r="F31" i="55"/>
  <c r="F2" i="55"/>
  <c r="E33" i="55"/>
  <c r="E34" i="55" s="1"/>
  <c r="J30" i="55"/>
  <c r="J29" i="55"/>
  <c r="J28" i="55"/>
  <c r="J27" i="55"/>
  <c r="J26" i="55"/>
  <c r="J25" i="55"/>
  <c r="J24" i="55"/>
  <c r="J23" i="55"/>
  <c r="J22" i="55"/>
  <c r="J21" i="55"/>
  <c r="J20" i="55"/>
  <c r="J19" i="55"/>
  <c r="J18" i="55"/>
  <c r="J17" i="55"/>
  <c r="J16" i="55"/>
  <c r="J15" i="55"/>
  <c r="J14" i="55"/>
  <c r="J13" i="55"/>
  <c r="J12" i="55"/>
  <c r="J11" i="55"/>
  <c r="J10" i="55"/>
  <c r="J9" i="55"/>
  <c r="J8" i="55"/>
  <c r="J7" i="55"/>
  <c r="J6" i="55"/>
  <c r="J5" i="55"/>
  <c r="J4" i="55"/>
  <c r="J3" i="55"/>
  <c r="J3" i="42"/>
  <c r="J4" i="42"/>
  <c r="J5" i="42"/>
  <c r="J6" i="42"/>
  <c r="J7" i="42"/>
  <c r="J8" i="42"/>
  <c r="J9" i="42"/>
  <c r="J10" i="42"/>
  <c r="J11" i="42"/>
  <c r="J12" i="42"/>
  <c r="J13" i="42"/>
  <c r="J14" i="42"/>
  <c r="J15" i="42"/>
  <c r="J16" i="42"/>
  <c r="J17" i="42"/>
  <c r="J18" i="42"/>
  <c r="J19" i="42"/>
  <c r="J20" i="42"/>
  <c r="J21" i="42"/>
  <c r="J22" i="42"/>
  <c r="J23" i="42"/>
  <c r="J24" i="42"/>
  <c r="J25" i="42"/>
  <c r="J26" i="42"/>
  <c r="J27" i="42"/>
  <c r="J28" i="42"/>
  <c r="J29" i="42"/>
  <c r="J30" i="42"/>
  <c r="J31" i="42"/>
  <c r="I3" i="42"/>
  <c r="I4" i="42"/>
  <c r="I5" i="42"/>
  <c r="I6" i="42"/>
  <c r="I7" i="42"/>
  <c r="I8" i="42"/>
  <c r="I9" i="42"/>
  <c r="I10" i="42"/>
  <c r="I11" i="42"/>
  <c r="I12" i="42"/>
  <c r="I13" i="42"/>
  <c r="I14" i="42"/>
  <c r="I15" i="42"/>
  <c r="I16" i="42"/>
  <c r="I17" i="42"/>
  <c r="I18" i="42"/>
  <c r="I19" i="42"/>
  <c r="I20" i="42"/>
  <c r="I21" i="42"/>
  <c r="I22" i="42"/>
  <c r="I23" i="42"/>
  <c r="I24" i="42"/>
  <c r="I25" i="42"/>
  <c r="I26" i="42"/>
  <c r="I27" i="42"/>
  <c r="I28" i="42"/>
  <c r="I29" i="42"/>
  <c r="I30" i="42"/>
  <c r="I31" i="42"/>
  <c r="I2" i="42"/>
  <c r="F2" i="42"/>
  <c r="G3" i="42"/>
  <c r="G4" i="42"/>
  <c r="G5" i="42"/>
  <c r="G6" i="42"/>
  <c r="G7" i="42"/>
  <c r="G8" i="42"/>
  <c r="G9" i="42"/>
  <c r="G10" i="42"/>
  <c r="G11" i="42"/>
  <c r="G12" i="42"/>
  <c r="G13" i="42"/>
  <c r="G14" i="42"/>
  <c r="G15" i="42"/>
  <c r="G16" i="42"/>
  <c r="G17" i="42"/>
  <c r="G18" i="42"/>
  <c r="G19" i="42"/>
  <c r="G20" i="42"/>
  <c r="G21" i="42"/>
  <c r="G22" i="42"/>
  <c r="G23" i="42"/>
  <c r="G24" i="42"/>
  <c r="G25" i="42"/>
  <c r="G26" i="42"/>
  <c r="G27" i="42"/>
  <c r="G28" i="42"/>
  <c r="G29" i="42"/>
  <c r="G30" i="42"/>
  <c r="G31" i="42"/>
  <c r="H3" i="42"/>
  <c r="H4" i="42"/>
  <c r="H5" i="42"/>
  <c r="H6" i="42"/>
  <c r="H7" i="42"/>
  <c r="H8" i="42"/>
  <c r="H9" i="42"/>
  <c r="H10" i="42"/>
  <c r="H11" i="42"/>
  <c r="H12" i="42"/>
  <c r="H13" i="42"/>
  <c r="H14" i="42"/>
  <c r="H15" i="42"/>
  <c r="H16" i="42"/>
  <c r="H17" i="42"/>
  <c r="H18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2" i="42"/>
  <c r="G2" i="42"/>
  <c r="F3" i="42"/>
  <c r="F4" i="42"/>
  <c r="F5" i="42"/>
  <c r="F6" i="42"/>
  <c r="F7" i="42"/>
  <c r="F8" i="42"/>
  <c r="F9" i="42"/>
  <c r="F10" i="42"/>
  <c r="F11" i="42"/>
  <c r="F12" i="42"/>
  <c r="F13" i="42"/>
  <c r="F14" i="42"/>
  <c r="F15" i="42"/>
  <c r="F16" i="42"/>
  <c r="F17" i="42"/>
  <c r="F18" i="42"/>
  <c r="F19" i="42"/>
  <c r="F20" i="42"/>
  <c r="F21" i="42"/>
  <c r="F22" i="42"/>
  <c r="F23" i="42"/>
  <c r="F24" i="42"/>
  <c r="F25" i="42"/>
  <c r="F26" i="42"/>
  <c r="F27" i="42"/>
  <c r="F28" i="42"/>
  <c r="F29" i="42"/>
  <c r="F30" i="42"/>
  <c r="F31" i="42"/>
  <c r="E34" i="42"/>
  <c r="H28" i="43"/>
  <c r="G28" i="43"/>
  <c r="H30" i="43"/>
  <c r="G30" i="43"/>
  <c r="H31" i="43"/>
  <c r="G31" i="43"/>
  <c r="G17" i="43"/>
  <c r="G25" i="43"/>
  <c r="G26" i="43"/>
  <c r="G27" i="43"/>
  <c r="G29" i="43"/>
  <c r="H17" i="43"/>
  <c r="H25" i="43"/>
  <c r="H26" i="43"/>
  <c r="H27" i="43"/>
  <c r="H29" i="43"/>
  <c r="J30" i="43"/>
  <c r="I29" i="43"/>
  <c r="J29" i="43" s="1"/>
  <c r="I3" i="43"/>
  <c r="I4" i="43"/>
  <c r="I5" i="43"/>
  <c r="I6" i="43"/>
  <c r="J6" i="43" s="1"/>
  <c r="I7" i="43"/>
  <c r="I8" i="43"/>
  <c r="I9" i="43"/>
  <c r="I10" i="43"/>
  <c r="J10" i="43" s="1"/>
  <c r="I11" i="43"/>
  <c r="I12" i="43"/>
  <c r="I13" i="43"/>
  <c r="I15" i="43"/>
  <c r="J15" i="43" s="1"/>
  <c r="I16" i="43"/>
  <c r="I17" i="43"/>
  <c r="J17" i="43" s="1"/>
  <c r="I18" i="43"/>
  <c r="I20" i="43"/>
  <c r="J20" i="43" s="1"/>
  <c r="I21" i="43"/>
  <c r="J21" i="43" s="1"/>
  <c r="I22" i="43"/>
  <c r="J22" i="43" s="1"/>
  <c r="I24" i="43"/>
  <c r="I25" i="43"/>
  <c r="J25" i="43" s="1"/>
  <c r="I26" i="43"/>
  <c r="J26" i="43" s="1"/>
  <c r="I27" i="43"/>
  <c r="J27" i="43" s="1"/>
  <c r="I2" i="43"/>
  <c r="J2" i="43" s="1"/>
  <c r="F19" i="43"/>
  <c r="F20" i="43"/>
  <c r="F21" i="43"/>
  <c r="F22" i="43"/>
  <c r="F25" i="43"/>
  <c r="F26" i="43"/>
  <c r="F27" i="43"/>
  <c r="E36" i="43"/>
  <c r="E35" i="43"/>
  <c r="E33" i="43"/>
  <c r="E34" i="43" s="1"/>
  <c r="J24" i="43"/>
  <c r="J19" i="43"/>
  <c r="J18" i="43"/>
  <c r="J16" i="43"/>
  <c r="J14" i="43"/>
  <c r="J13" i="43"/>
  <c r="J12" i="43"/>
  <c r="J11" i="43"/>
  <c r="J9" i="43"/>
  <c r="J8" i="43"/>
  <c r="J7" i="43"/>
  <c r="J5" i="43"/>
  <c r="J4" i="43"/>
  <c r="J3" i="43"/>
  <c r="J3" i="44"/>
  <c r="I4" i="44"/>
  <c r="J4" i="44" s="1"/>
  <c r="I5" i="44"/>
  <c r="J5" i="44" s="1"/>
  <c r="I6" i="44"/>
  <c r="J6" i="44" s="1"/>
  <c r="I7" i="44"/>
  <c r="J7" i="44" s="1"/>
  <c r="J8" i="44"/>
  <c r="I9" i="44"/>
  <c r="J9" i="44" s="1"/>
  <c r="I10" i="44"/>
  <c r="J10" i="44" s="1"/>
  <c r="I11" i="44"/>
  <c r="J11" i="44" s="1"/>
  <c r="I12" i="44"/>
  <c r="J12" i="44" s="1"/>
  <c r="I13" i="44"/>
  <c r="J13" i="44" s="1"/>
  <c r="I14" i="44"/>
  <c r="J14" i="44" s="1"/>
  <c r="I15" i="44"/>
  <c r="J15" i="44" s="1"/>
  <c r="I16" i="44"/>
  <c r="J16" i="44" s="1"/>
  <c r="I17" i="44"/>
  <c r="J17" i="44" s="1"/>
  <c r="I18" i="44"/>
  <c r="J18" i="44" s="1"/>
  <c r="I19" i="44"/>
  <c r="J19" i="44" s="1"/>
  <c r="J20" i="44"/>
  <c r="I21" i="44"/>
  <c r="J21" i="44" s="1"/>
  <c r="J22" i="44"/>
  <c r="J23" i="44"/>
  <c r="I24" i="44"/>
  <c r="J24" i="44" s="1"/>
  <c r="I25" i="44"/>
  <c r="J25" i="44" s="1"/>
  <c r="I26" i="44"/>
  <c r="J26" i="44" s="1"/>
  <c r="I27" i="44"/>
  <c r="J27" i="44" s="1"/>
  <c r="I29" i="44"/>
  <c r="J29" i="44" s="1"/>
  <c r="I2" i="44"/>
  <c r="J2" i="44" s="1"/>
  <c r="G15" i="44"/>
  <c r="G26" i="44"/>
  <c r="G27" i="44"/>
  <c r="G29" i="44"/>
  <c r="H15" i="44"/>
  <c r="H26" i="44"/>
  <c r="H27" i="44"/>
  <c r="H29" i="44"/>
  <c r="F3" i="44"/>
  <c r="F29" i="43" s="1"/>
  <c r="F8" i="44"/>
  <c r="F17" i="43" s="1"/>
  <c r="F20" i="44"/>
  <c r="F23" i="44"/>
  <c r="E36" i="44"/>
  <c r="E35" i="44"/>
  <c r="E33" i="44"/>
  <c r="E34" i="44" s="1"/>
  <c r="E34" i="45"/>
  <c r="J3" i="45"/>
  <c r="J4" i="45"/>
  <c r="J5" i="45"/>
  <c r="J6" i="45"/>
  <c r="J7" i="45"/>
  <c r="J8" i="45"/>
  <c r="J9" i="45"/>
  <c r="J10" i="45"/>
  <c r="J11" i="45"/>
  <c r="J12" i="45"/>
  <c r="J13" i="45"/>
  <c r="J14" i="45"/>
  <c r="J15" i="45"/>
  <c r="J16" i="45"/>
  <c r="J17" i="45"/>
  <c r="J18" i="45"/>
  <c r="J19" i="45"/>
  <c r="J20" i="45"/>
  <c r="J21" i="45"/>
  <c r="J22" i="45"/>
  <c r="J23" i="45"/>
  <c r="J24" i="45"/>
  <c r="J25" i="45"/>
  <c r="J26" i="45"/>
  <c r="J27" i="45"/>
  <c r="J28" i="45"/>
  <c r="J29" i="45"/>
  <c r="J30" i="45"/>
  <c r="J31" i="45"/>
  <c r="J2" i="45"/>
  <c r="J2" i="49"/>
  <c r="I4" i="45"/>
  <c r="I6" i="45"/>
  <c r="I9" i="45"/>
  <c r="I10" i="45"/>
  <c r="I12" i="45"/>
  <c r="I14" i="45"/>
  <c r="I16" i="45"/>
  <c r="I17" i="45"/>
  <c r="I18" i="45"/>
  <c r="I20" i="45"/>
  <c r="I21" i="45"/>
  <c r="I22" i="45"/>
  <c r="I23" i="45"/>
  <c r="I24" i="45"/>
  <c r="I25" i="45"/>
  <c r="I26" i="45"/>
  <c r="I27" i="45"/>
  <c r="I28" i="45"/>
  <c r="I29" i="45"/>
  <c r="I30" i="45"/>
  <c r="I2" i="45"/>
  <c r="J3" i="48"/>
  <c r="J4" i="48"/>
  <c r="J5" i="48"/>
  <c r="J6" i="48"/>
  <c r="J7" i="48"/>
  <c r="J8" i="48"/>
  <c r="J9" i="48"/>
  <c r="J10" i="48"/>
  <c r="J11" i="48"/>
  <c r="J12" i="48"/>
  <c r="J13" i="48"/>
  <c r="J14" i="48"/>
  <c r="J15" i="48"/>
  <c r="J16" i="48"/>
  <c r="J17" i="48"/>
  <c r="J18" i="48"/>
  <c r="J19" i="48"/>
  <c r="J20" i="48"/>
  <c r="J21" i="48"/>
  <c r="J22" i="48"/>
  <c r="J23" i="48"/>
  <c r="J24" i="48"/>
  <c r="J25" i="48"/>
  <c r="J26" i="48"/>
  <c r="J27" i="48"/>
  <c r="J28" i="48"/>
  <c r="J29" i="48"/>
  <c r="J30" i="48"/>
  <c r="J31" i="48"/>
  <c r="J2" i="48"/>
  <c r="J3" i="49"/>
  <c r="J4" i="49"/>
  <c r="J5" i="49"/>
  <c r="J6" i="49"/>
  <c r="J7" i="49"/>
  <c r="J8" i="49"/>
  <c r="J9" i="49"/>
  <c r="J10" i="49"/>
  <c r="J11" i="49"/>
  <c r="J12" i="49"/>
  <c r="J13" i="49"/>
  <c r="J14" i="49"/>
  <c r="J15" i="49"/>
  <c r="J16" i="49"/>
  <c r="J17" i="49"/>
  <c r="J18" i="49"/>
  <c r="J19" i="49"/>
  <c r="J20" i="49"/>
  <c r="J21" i="49"/>
  <c r="J22" i="49"/>
  <c r="J23" i="49"/>
  <c r="J24" i="49"/>
  <c r="J25" i="49"/>
  <c r="J26" i="49"/>
  <c r="J27" i="49"/>
  <c r="J28" i="49"/>
  <c r="J29" i="49"/>
  <c r="J30" i="49"/>
  <c r="J31" i="49"/>
  <c r="E35" i="46"/>
  <c r="E34" i="46"/>
  <c r="E34" i="47"/>
  <c r="E34" i="48"/>
  <c r="E34" i="50"/>
  <c r="E34" i="49" s="1"/>
  <c r="E35" i="50"/>
  <c r="I31" i="50"/>
  <c r="J31" i="50" s="1"/>
  <c r="I30" i="50"/>
  <c r="J30" i="50" s="1"/>
  <c r="I29" i="50"/>
  <c r="I28" i="50"/>
  <c r="J28" i="50" s="1"/>
  <c r="I27" i="50"/>
  <c r="J27" i="50" s="1"/>
  <c r="I25" i="50"/>
  <c r="J25" i="50" s="1"/>
  <c r="I24" i="50"/>
  <c r="J24" i="50" s="1"/>
  <c r="I23" i="50"/>
  <c r="J23" i="50" s="1"/>
  <c r="I22" i="50"/>
  <c r="J22" i="50" s="1"/>
  <c r="I20" i="50"/>
  <c r="J20" i="50" s="1"/>
  <c r="I19" i="50"/>
  <c r="J19" i="50" s="1"/>
  <c r="I18" i="50"/>
  <c r="J18" i="50" s="1"/>
  <c r="I17" i="50"/>
  <c r="J17" i="50" s="1"/>
  <c r="I16" i="50"/>
  <c r="J16" i="50" s="1"/>
  <c r="I14" i="50"/>
  <c r="I13" i="50"/>
  <c r="J13" i="50" s="1"/>
  <c r="I11" i="50"/>
  <c r="J11" i="50" s="1"/>
  <c r="I10" i="50"/>
  <c r="J10" i="50" s="1"/>
  <c r="I7" i="50"/>
  <c r="J7" i="50" s="1"/>
  <c r="I6" i="50"/>
  <c r="J6" i="50" s="1"/>
  <c r="J14" i="50"/>
  <c r="J29" i="50"/>
  <c r="I31" i="51"/>
  <c r="I3" i="51"/>
  <c r="I4" i="51"/>
  <c r="I5" i="51"/>
  <c r="J5" i="51" s="1"/>
  <c r="I6" i="51"/>
  <c r="I7" i="51"/>
  <c r="I8" i="51"/>
  <c r="I9" i="51"/>
  <c r="I10" i="51"/>
  <c r="I11" i="51"/>
  <c r="I12" i="51"/>
  <c r="I13" i="51"/>
  <c r="J13" i="51" s="1"/>
  <c r="I14" i="51"/>
  <c r="I15" i="51"/>
  <c r="I16" i="51"/>
  <c r="J16" i="51" s="1"/>
  <c r="I17" i="51"/>
  <c r="I18" i="51"/>
  <c r="I19" i="51"/>
  <c r="J19" i="51" s="1"/>
  <c r="I20" i="51"/>
  <c r="I21" i="51"/>
  <c r="I22" i="51"/>
  <c r="I23" i="51"/>
  <c r="I24" i="51"/>
  <c r="J25" i="51"/>
  <c r="I26" i="51"/>
  <c r="I27" i="51"/>
  <c r="J6" i="51"/>
  <c r="J9" i="51"/>
  <c r="J10" i="51"/>
  <c r="J14" i="51"/>
  <c r="J18" i="51"/>
  <c r="J21" i="51"/>
  <c r="I2" i="51"/>
  <c r="J2" i="51" s="1"/>
  <c r="E34" i="51"/>
  <c r="J3" i="51"/>
  <c r="J4" i="51"/>
  <c r="J7" i="51"/>
  <c r="J8" i="51"/>
  <c r="J11" i="51"/>
  <c r="J12" i="51"/>
  <c r="J15" i="51"/>
  <c r="J17" i="51"/>
  <c r="J20" i="51"/>
  <c r="J22" i="51"/>
  <c r="J23" i="51"/>
  <c r="J24" i="51"/>
  <c r="E34" i="52"/>
  <c r="J9" i="52"/>
  <c r="J10" i="52"/>
  <c r="J11" i="52"/>
  <c r="J12" i="52"/>
  <c r="J13" i="52"/>
  <c r="J14" i="52"/>
  <c r="J15" i="52"/>
  <c r="J16" i="52"/>
  <c r="J17" i="52"/>
  <c r="J18" i="52"/>
  <c r="J19" i="52"/>
  <c r="J20" i="52"/>
  <c r="J21" i="52"/>
  <c r="J22" i="52"/>
  <c r="J23" i="52"/>
  <c r="J24" i="52"/>
  <c r="J25" i="52"/>
  <c r="J26" i="52"/>
  <c r="J27" i="52"/>
  <c r="J28" i="52"/>
  <c r="J29" i="52"/>
  <c r="J30" i="52"/>
  <c r="J31" i="52"/>
  <c r="J8" i="52"/>
  <c r="J3" i="52"/>
  <c r="J4" i="52"/>
  <c r="J5" i="52"/>
  <c r="J6" i="52"/>
  <c r="J7" i="52"/>
  <c r="J2" i="52"/>
  <c r="J9" i="40"/>
  <c r="J5" i="40"/>
  <c r="J6" i="40"/>
  <c r="I4" i="52"/>
  <c r="I5" i="52"/>
  <c r="I6" i="52"/>
  <c r="I8" i="52"/>
  <c r="I9" i="52"/>
  <c r="I10" i="52"/>
  <c r="I11" i="52"/>
  <c r="I12" i="52"/>
  <c r="I13" i="52"/>
  <c r="I14" i="52"/>
  <c r="I15" i="52"/>
  <c r="I16" i="52"/>
  <c r="I17" i="52"/>
  <c r="I18" i="52"/>
  <c r="I19" i="52"/>
  <c r="I22" i="52"/>
  <c r="I23" i="52"/>
  <c r="I25" i="52"/>
  <c r="I26" i="52"/>
  <c r="I27" i="52"/>
  <c r="I28" i="52"/>
  <c r="I29" i="52"/>
  <c r="I30" i="52"/>
  <c r="I31" i="52"/>
  <c r="I3" i="52"/>
  <c r="I3" i="53"/>
  <c r="I4" i="53"/>
  <c r="I5" i="53"/>
  <c r="I6" i="53"/>
  <c r="I8" i="53"/>
  <c r="I9" i="53"/>
  <c r="I10" i="53"/>
  <c r="I11" i="53"/>
  <c r="I12" i="53"/>
  <c r="I13" i="53"/>
  <c r="I14" i="53"/>
  <c r="I15" i="53"/>
  <c r="I16" i="53"/>
  <c r="I17" i="53"/>
  <c r="I18" i="53"/>
  <c r="I19" i="53"/>
  <c r="I20" i="53"/>
  <c r="I21" i="53"/>
  <c r="I22" i="53"/>
  <c r="I23" i="53"/>
  <c r="I24" i="53"/>
  <c r="I25" i="53"/>
  <c r="I26" i="53"/>
  <c r="I27" i="53"/>
  <c r="I28" i="53"/>
  <c r="I29" i="53"/>
  <c r="I30" i="53"/>
  <c r="I31" i="53"/>
  <c r="I2" i="54"/>
  <c r="I3" i="54"/>
  <c r="I4" i="54"/>
  <c r="I5" i="54"/>
  <c r="I7" i="54"/>
  <c r="I8" i="54"/>
  <c r="I9" i="54"/>
  <c r="I10" i="54"/>
  <c r="I11" i="54"/>
  <c r="I12" i="54"/>
  <c r="I14" i="54"/>
  <c r="I15" i="54"/>
  <c r="I16" i="54"/>
  <c r="I19" i="54"/>
  <c r="I20" i="54"/>
  <c r="J21" i="54"/>
  <c r="I22" i="54"/>
  <c r="I23" i="54"/>
  <c r="I24" i="54"/>
  <c r="I25" i="54"/>
  <c r="I26" i="54"/>
  <c r="I27" i="54"/>
  <c r="I28" i="54"/>
  <c r="I29" i="54"/>
  <c r="J30" i="54"/>
  <c r="J31" i="54"/>
  <c r="I2" i="41"/>
  <c r="E34" i="53"/>
  <c r="E34" i="54"/>
  <c r="E35" i="41"/>
  <c r="I3" i="41"/>
  <c r="I4" i="41"/>
  <c r="I5" i="41"/>
  <c r="I6" i="41"/>
  <c r="I7" i="41"/>
  <c r="I8" i="41"/>
  <c r="I9" i="41"/>
  <c r="I10" i="41"/>
  <c r="I11" i="41"/>
  <c r="I12" i="41"/>
  <c r="I13" i="41"/>
  <c r="I16" i="41"/>
  <c r="I17" i="41"/>
  <c r="I18" i="41"/>
  <c r="I20" i="41"/>
  <c r="I21" i="41"/>
  <c r="I23" i="41"/>
  <c r="I24" i="41"/>
  <c r="I27" i="41"/>
  <c r="I29" i="41"/>
  <c r="I30" i="41"/>
  <c r="I31" i="41"/>
  <c r="I3" i="2"/>
  <c r="E34" i="41"/>
  <c r="I4" i="2"/>
  <c r="I7" i="2"/>
  <c r="I8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4" i="2"/>
  <c r="I25" i="2"/>
  <c r="I26" i="2"/>
  <c r="I27" i="2"/>
  <c r="I28" i="2"/>
  <c r="I29" i="2"/>
  <c r="I30" i="2"/>
  <c r="E34" i="2"/>
  <c r="I2" i="1"/>
  <c r="I3" i="1"/>
  <c r="I4" i="1"/>
  <c r="I6" i="1"/>
  <c r="I7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6" i="1"/>
  <c r="I27" i="1"/>
  <c r="I28" i="1"/>
  <c r="I29" i="1"/>
  <c r="I30" i="1"/>
  <c r="I2" i="5"/>
  <c r="F5" i="1"/>
  <c r="F8" i="1"/>
  <c r="F9" i="1"/>
  <c r="F25" i="1"/>
  <c r="F28" i="1"/>
  <c r="E34" i="1"/>
  <c r="F3" i="5"/>
  <c r="F7" i="1" s="1"/>
  <c r="F8" i="5"/>
  <c r="F29" i="1" s="1"/>
  <c r="F17" i="5"/>
  <c r="F27" i="5"/>
  <c r="F2" i="6"/>
  <c r="F10" i="5" s="1"/>
  <c r="F21" i="1" s="1"/>
  <c r="F4" i="6"/>
  <c r="F6" i="6"/>
  <c r="F24" i="5" s="1"/>
  <c r="F7" i="6"/>
  <c r="F22" i="5" s="1"/>
  <c r="F8" i="6"/>
  <c r="F18" i="5" s="1"/>
  <c r="F24" i="1" s="1"/>
  <c r="F9" i="6"/>
  <c r="F25" i="5" s="1"/>
  <c r="F22" i="6"/>
  <c r="F24" i="6"/>
  <c r="F28" i="6"/>
  <c r="E34" i="5"/>
  <c r="I4" i="5"/>
  <c r="I5" i="5"/>
  <c r="I6" i="5"/>
  <c r="I7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8" i="5"/>
  <c r="I29" i="5"/>
  <c r="I30" i="5"/>
  <c r="I31" i="5"/>
  <c r="E35" i="6"/>
  <c r="E34" i="6"/>
  <c r="J16" i="7"/>
  <c r="I3" i="6"/>
  <c r="J4" i="6"/>
  <c r="I5" i="6"/>
  <c r="J5" i="6" s="1"/>
  <c r="J6" i="6"/>
  <c r="J9" i="6"/>
  <c r="I10" i="6"/>
  <c r="J10" i="6" s="1"/>
  <c r="I11" i="6"/>
  <c r="J11" i="6" s="1"/>
  <c r="I12" i="6"/>
  <c r="J12" i="6" s="1"/>
  <c r="I13" i="6"/>
  <c r="J13" i="6" s="1"/>
  <c r="I14" i="6"/>
  <c r="J14" i="6" s="1"/>
  <c r="I15" i="6"/>
  <c r="J15" i="6" s="1"/>
  <c r="I16" i="6"/>
  <c r="I17" i="6"/>
  <c r="J17" i="6" s="1"/>
  <c r="I18" i="6"/>
  <c r="J18" i="6" s="1"/>
  <c r="I19" i="6"/>
  <c r="J19" i="6" s="1"/>
  <c r="I20" i="6"/>
  <c r="J20" i="6" s="1"/>
  <c r="I21" i="6"/>
  <c r="J21" i="6" s="1"/>
  <c r="J22" i="6"/>
  <c r="I23" i="6"/>
  <c r="J23" i="6" s="1"/>
  <c r="J24" i="6"/>
  <c r="I25" i="6"/>
  <c r="J25" i="6" s="1"/>
  <c r="I26" i="6"/>
  <c r="J26" i="6" s="1"/>
  <c r="I27" i="6"/>
  <c r="J27" i="6" s="1"/>
  <c r="J28" i="6"/>
  <c r="I29" i="6"/>
  <c r="J29" i="6" s="1"/>
  <c r="I30" i="6"/>
  <c r="J30" i="6" s="1"/>
  <c r="I31" i="6"/>
  <c r="J31" i="6" s="1"/>
  <c r="J2" i="6"/>
  <c r="J3" i="6"/>
  <c r="J7" i="6"/>
  <c r="J8" i="6"/>
  <c r="J16" i="6"/>
  <c r="F16" i="7"/>
  <c r="F21" i="7"/>
  <c r="I3" i="7"/>
  <c r="J3" i="7" s="1"/>
  <c r="I4" i="7"/>
  <c r="J4" i="7" s="1"/>
  <c r="I5" i="7"/>
  <c r="I6" i="7"/>
  <c r="J6" i="7" s="1"/>
  <c r="I7" i="7"/>
  <c r="J7" i="7" s="1"/>
  <c r="I8" i="7"/>
  <c r="I9" i="7"/>
  <c r="J9" i="7" s="1"/>
  <c r="I10" i="7"/>
  <c r="J10" i="7" s="1"/>
  <c r="I11" i="7"/>
  <c r="J11" i="7" s="1"/>
  <c r="I12" i="7"/>
  <c r="I13" i="7"/>
  <c r="I14" i="7"/>
  <c r="J14" i="7" s="1"/>
  <c r="I15" i="7"/>
  <c r="J15" i="7" s="1"/>
  <c r="I17" i="7"/>
  <c r="J17" i="7" s="1"/>
  <c r="I18" i="7"/>
  <c r="J18" i="7" s="1"/>
  <c r="I19" i="7"/>
  <c r="J19" i="7" s="1"/>
  <c r="I20" i="7"/>
  <c r="J20" i="7" s="1"/>
  <c r="J21" i="7"/>
  <c r="I22" i="7"/>
  <c r="J22" i="7" s="1"/>
  <c r="I23" i="7"/>
  <c r="J23" i="7" s="1"/>
  <c r="I24" i="7"/>
  <c r="J24" i="7" s="1"/>
  <c r="I25" i="7"/>
  <c r="J25" i="7" s="1"/>
  <c r="I26" i="7"/>
  <c r="J26" i="7" s="1"/>
  <c r="I29" i="7"/>
  <c r="J29" i="7" s="1"/>
  <c r="I30" i="7"/>
  <c r="J30" i="7" s="1"/>
  <c r="I31" i="7"/>
  <c r="J31" i="7" s="1"/>
  <c r="I2" i="7"/>
  <c r="J2" i="7" s="1"/>
  <c r="E36" i="7"/>
  <c r="E35" i="7"/>
  <c r="E33" i="7"/>
  <c r="E34" i="7" s="1"/>
  <c r="J13" i="7"/>
  <c r="J12" i="7"/>
  <c r="J8" i="7"/>
  <c r="J5" i="7"/>
  <c r="F21" i="8"/>
  <c r="F24" i="7" s="1"/>
  <c r="F31" i="6" s="1"/>
  <c r="F26" i="5" s="1"/>
  <c r="F27" i="1" s="1"/>
  <c r="F23" i="8"/>
  <c r="F26" i="8"/>
  <c r="F27" i="8"/>
  <c r="F30" i="7" s="1"/>
  <c r="F29" i="8"/>
  <c r="F31" i="8"/>
  <c r="F31" i="7" s="1"/>
  <c r="I3" i="8"/>
  <c r="J3" i="8" s="1"/>
  <c r="I4" i="8"/>
  <c r="J4" i="8" s="1"/>
  <c r="I5" i="8"/>
  <c r="I6" i="8"/>
  <c r="J6" i="8" s="1"/>
  <c r="I7" i="8"/>
  <c r="J7" i="8" s="1"/>
  <c r="I8" i="8"/>
  <c r="J8" i="8" s="1"/>
  <c r="I9" i="8"/>
  <c r="I10" i="8"/>
  <c r="J10" i="8" s="1"/>
  <c r="I11" i="8"/>
  <c r="J11" i="8" s="1"/>
  <c r="I12" i="8"/>
  <c r="J12" i="8" s="1"/>
  <c r="I13" i="8"/>
  <c r="I14" i="8"/>
  <c r="J14" i="8" s="1"/>
  <c r="I15" i="8"/>
  <c r="J15" i="8" s="1"/>
  <c r="I16" i="8"/>
  <c r="J16" i="8" s="1"/>
  <c r="I17" i="8"/>
  <c r="I18" i="8"/>
  <c r="J18" i="8" s="1"/>
  <c r="I19" i="8"/>
  <c r="J19" i="8" s="1"/>
  <c r="I20" i="8"/>
  <c r="J20" i="8" s="1"/>
  <c r="I21" i="8"/>
  <c r="J21" i="8" s="1"/>
  <c r="I22" i="8"/>
  <c r="J22" i="8" s="1"/>
  <c r="I23" i="8"/>
  <c r="J23" i="8" s="1"/>
  <c r="I24" i="8"/>
  <c r="J24" i="8" s="1"/>
  <c r="I25" i="8"/>
  <c r="J25" i="8" s="1"/>
  <c r="J26" i="8"/>
  <c r="I27" i="8"/>
  <c r="J27" i="8" s="1"/>
  <c r="I28" i="8"/>
  <c r="J28" i="8" s="1"/>
  <c r="J29" i="8"/>
  <c r="I31" i="8"/>
  <c r="J31" i="8" s="1"/>
  <c r="I2" i="8"/>
  <c r="J2" i="8" s="1"/>
  <c r="H14" i="8"/>
  <c r="H15" i="7" s="1"/>
  <c r="E36" i="8"/>
  <c r="E35" i="8"/>
  <c r="E33" i="8"/>
  <c r="E34" i="8" s="1"/>
  <c r="J17" i="8"/>
  <c r="J13" i="8"/>
  <c r="J9" i="8"/>
  <c r="J5" i="8"/>
  <c r="F10" i="9"/>
  <c r="I3" i="9"/>
  <c r="J3" i="9" s="1"/>
  <c r="I4" i="9"/>
  <c r="J4" i="9" s="1"/>
  <c r="I5" i="9"/>
  <c r="I6" i="9"/>
  <c r="J6" i="9" s="1"/>
  <c r="I7" i="9"/>
  <c r="J7" i="9" s="1"/>
  <c r="I8" i="9"/>
  <c r="J8" i="9" s="1"/>
  <c r="I9" i="9"/>
  <c r="J9" i="9" s="1"/>
  <c r="J10" i="9"/>
  <c r="I11" i="9"/>
  <c r="J11" i="9" s="1"/>
  <c r="I12" i="9"/>
  <c r="I13" i="9"/>
  <c r="J13" i="9" s="1"/>
  <c r="I14" i="9"/>
  <c r="J14" i="9" s="1"/>
  <c r="I15" i="9"/>
  <c r="J15" i="9" s="1"/>
  <c r="I16" i="9"/>
  <c r="J16" i="9" s="1"/>
  <c r="I17" i="9"/>
  <c r="J17" i="9" s="1"/>
  <c r="I18" i="9"/>
  <c r="J18" i="9" s="1"/>
  <c r="I19" i="9"/>
  <c r="J19" i="9" s="1"/>
  <c r="I20" i="9"/>
  <c r="J20" i="9" s="1"/>
  <c r="I21" i="9"/>
  <c r="J21" i="9" s="1"/>
  <c r="I22" i="9"/>
  <c r="J22" i="9" s="1"/>
  <c r="I23" i="9"/>
  <c r="J23" i="9" s="1"/>
  <c r="I24" i="9"/>
  <c r="J24" i="9" s="1"/>
  <c r="I25" i="9"/>
  <c r="J25" i="9" s="1"/>
  <c r="J26" i="9"/>
  <c r="I27" i="9"/>
  <c r="J27" i="9" s="1"/>
  <c r="J28" i="9"/>
  <c r="I29" i="9"/>
  <c r="J29" i="9" s="1"/>
  <c r="J30" i="9"/>
  <c r="J31" i="9"/>
  <c r="I2" i="9"/>
  <c r="J2" i="9" s="1"/>
  <c r="H7" i="9"/>
  <c r="H24" i="9"/>
  <c r="H27" i="9"/>
  <c r="G7" i="9"/>
  <c r="G14" i="8" s="1"/>
  <c r="G15" i="7" s="1"/>
  <c r="G24" i="9"/>
  <c r="G27" i="9"/>
  <c r="E36" i="9"/>
  <c r="E35" i="9"/>
  <c r="E33" i="9"/>
  <c r="J12" i="9"/>
  <c r="J5" i="9"/>
  <c r="J31" i="10"/>
  <c r="E35" i="2" l="1"/>
  <c r="E33" i="2"/>
  <c r="F27" i="10"/>
  <c r="F23" i="9" s="1"/>
  <c r="F22" i="8" s="1"/>
  <c r="F23" i="7" s="1"/>
  <c r="F30" i="6" s="1"/>
  <c r="F31" i="5" s="1"/>
  <c r="F30" i="1" s="1"/>
  <c r="F28" i="10"/>
  <c r="F30" i="10"/>
  <c r="F31" i="10"/>
  <c r="F8" i="10"/>
  <c r="F24" i="9" s="1"/>
  <c r="F10" i="10"/>
  <c r="F27" i="9" s="1"/>
  <c r="F18" i="10"/>
  <c r="I26" i="10"/>
  <c r="J26" i="10" s="1"/>
  <c r="I27" i="10"/>
  <c r="J27" i="10" s="1"/>
  <c r="J28" i="10"/>
  <c r="I29" i="10"/>
  <c r="J29" i="10" s="1"/>
  <c r="J30" i="10"/>
  <c r="I25" i="10"/>
  <c r="J25" i="10" s="1"/>
  <c r="I3" i="10"/>
  <c r="J3" i="10" s="1"/>
  <c r="I4" i="10"/>
  <c r="J4" i="10" s="1"/>
  <c r="I5" i="10"/>
  <c r="J5" i="10" s="1"/>
  <c r="I6" i="10"/>
  <c r="J6" i="10" s="1"/>
  <c r="I7" i="10"/>
  <c r="J8" i="10"/>
  <c r="I9" i="10"/>
  <c r="J9" i="10" s="1"/>
  <c r="J10" i="10"/>
  <c r="I11" i="10"/>
  <c r="J11" i="10" s="1"/>
  <c r="I12" i="10"/>
  <c r="J12" i="10" s="1"/>
  <c r="I13" i="10"/>
  <c r="J13" i="10" s="1"/>
  <c r="I14" i="10"/>
  <c r="J14" i="10" s="1"/>
  <c r="I15" i="10"/>
  <c r="J15" i="10" s="1"/>
  <c r="I16" i="10"/>
  <c r="J16" i="10" s="1"/>
  <c r="I17" i="10"/>
  <c r="J17" i="10" s="1"/>
  <c r="J18" i="10"/>
  <c r="I19" i="10"/>
  <c r="J19" i="10" s="1"/>
  <c r="I20" i="10"/>
  <c r="J20" i="10" s="1"/>
  <c r="I21" i="10"/>
  <c r="J21" i="10" s="1"/>
  <c r="I22" i="10"/>
  <c r="J22" i="10" s="1"/>
  <c r="I23" i="10"/>
  <c r="J23" i="10" s="1"/>
  <c r="I24" i="10"/>
  <c r="J24" i="10" s="1"/>
  <c r="J2" i="10"/>
  <c r="F2" i="10"/>
  <c r="F7" i="9" s="1"/>
  <c r="F14" i="8" s="1"/>
  <c r="F15" i="7" s="1"/>
  <c r="F23" i="6" s="1"/>
  <c r="F30" i="5" s="1"/>
  <c r="G23" i="10"/>
  <c r="G22" i="9" s="1"/>
  <c r="G24" i="8" s="1"/>
  <c r="G26" i="7" s="1"/>
  <c r="H23" i="10"/>
  <c r="H22" i="9" s="1"/>
  <c r="H24" i="8" s="1"/>
  <c r="H26" i="7" s="1"/>
  <c r="E37" i="10"/>
  <c r="E36" i="10"/>
  <c r="E33" i="10"/>
  <c r="E35" i="10" s="1"/>
  <c r="J7" i="10"/>
  <c r="I2" i="11"/>
  <c r="J2" i="11" s="1"/>
  <c r="G3" i="11"/>
  <c r="G5" i="10" s="1"/>
  <c r="G4" i="9" s="1"/>
  <c r="G8" i="8" s="1"/>
  <c r="G4" i="7" s="1"/>
  <c r="H3" i="11"/>
  <c r="H5" i="10" s="1"/>
  <c r="H4" i="9" s="1"/>
  <c r="H8" i="8" s="1"/>
  <c r="H4" i="7" s="1"/>
  <c r="I3" i="11"/>
  <c r="J3" i="11" s="1"/>
  <c r="G4" i="11"/>
  <c r="G6" i="10" s="1"/>
  <c r="G6" i="9" s="1"/>
  <c r="G6" i="8" s="1"/>
  <c r="G8" i="7" s="1"/>
  <c r="H4" i="11"/>
  <c r="H6" i="10" s="1"/>
  <c r="H6" i="9" s="1"/>
  <c r="H6" i="8" s="1"/>
  <c r="H8" i="7" s="1"/>
  <c r="I4" i="11"/>
  <c r="J4" i="11" s="1"/>
  <c r="I5" i="11"/>
  <c r="J5" i="11" s="1"/>
  <c r="I6" i="11"/>
  <c r="J6" i="11"/>
  <c r="I7" i="11"/>
  <c r="J7" i="11" s="1"/>
  <c r="I8" i="11"/>
  <c r="J8" i="11" s="1"/>
  <c r="I9" i="11"/>
  <c r="J9" i="11" s="1"/>
  <c r="F10" i="11"/>
  <c r="F23" i="10" s="1"/>
  <c r="F22" i="9" s="1"/>
  <c r="F24" i="8" s="1"/>
  <c r="F26" i="7" s="1"/>
  <c r="J10" i="11"/>
  <c r="I11" i="11"/>
  <c r="J11" i="11" s="1"/>
  <c r="I12" i="11"/>
  <c r="J12" i="11" s="1"/>
  <c r="I13" i="11"/>
  <c r="J13" i="11" s="1"/>
  <c r="I14" i="11"/>
  <c r="J14" i="11"/>
  <c r="I15" i="11"/>
  <c r="J15" i="11" s="1"/>
  <c r="I16" i="11"/>
  <c r="J16" i="11" s="1"/>
  <c r="I17" i="11"/>
  <c r="J17" i="11" s="1"/>
  <c r="I18" i="11"/>
  <c r="J18" i="11"/>
  <c r="I19" i="11"/>
  <c r="J19" i="11" s="1"/>
  <c r="I20" i="11"/>
  <c r="J20" i="11" s="1"/>
  <c r="I21" i="11"/>
  <c r="J21" i="11" s="1"/>
  <c r="G22" i="11"/>
  <c r="G31" i="9" s="1"/>
  <c r="G27" i="8" s="1"/>
  <c r="G30" i="7" s="1"/>
  <c r="H22" i="11"/>
  <c r="H31" i="9" s="1"/>
  <c r="H27" i="8" s="1"/>
  <c r="H30" i="7" s="1"/>
  <c r="I22" i="11"/>
  <c r="J22" i="11" s="1"/>
  <c r="F23" i="11"/>
  <c r="J23" i="11"/>
  <c r="I24" i="11"/>
  <c r="J24" i="11"/>
  <c r="J26" i="11"/>
  <c r="I27" i="11"/>
  <c r="J27" i="11" s="1"/>
  <c r="I28" i="11"/>
  <c r="J28" i="11" s="1"/>
  <c r="I29" i="11"/>
  <c r="J29" i="11"/>
  <c r="I30" i="11"/>
  <c r="J30" i="11" s="1"/>
  <c r="E36" i="11"/>
  <c r="E35" i="11"/>
  <c r="E33" i="11"/>
  <c r="E34" i="11" s="1"/>
  <c r="J3" i="12"/>
  <c r="I4" i="12"/>
  <c r="I5" i="12"/>
  <c r="I6" i="12"/>
  <c r="I7" i="12"/>
  <c r="J7" i="12" s="1"/>
  <c r="I8" i="12"/>
  <c r="I9" i="12"/>
  <c r="I11" i="12"/>
  <c r="I12" i="12"/>
  <c r="J12" i="12" s="1"/>
  <c r="I13" i="12"/>
  <c r="I14" i="12"/>
  <c r="I15" i="12"/>
  <c r="I16" i="12"/>
  <c r="I17" i="12"/>
  <c r="I18" i="12"/>
  <c r="I19" i="12"/>
  <c r="I20" i="12"/>
  <c r="I21" i="12"/>
  <c r="J21" i="12" s="1"/>
  <c r="I23" i="12"/>
  <c r="J23" i="12" s="1"/>
  <c r="J24" i="12"/>
  <c r="I25" i="12"/>
  <c r="I26" i="12"/>
  <c r="J26" i="12" s="1"/>
  <c r="I27" i="12"/>
  <c r="J27" i="12" s="1"/>
  <c r="I28" i="12"/>
  <c r="I29" i="12"/>
  <c r="J29" i="12" s="1"/>
  <c r="J30" i="12"/>
  <c r="I31" i="12"/>
  <c r="J31" i="12" s="1"/>
  <c r="J2" i="12"/>
  <c r="F3" i="12"/>
  <c r="F4" i="11" s="1"/>
  <c r="F6" i="10" s="1"/>
  <c r="F6" i="9" s="1"/>
  <c r="F6" i="8" s="1"/>
  <c r="F8" i="7" s="1"/>
  <c r="F16" i="6" s="1"/>
  <c r="F16" i="5" s="1"/>
  <c r="F17" i="1" s="1"/>
  <c r="F10" i="12"/>
  <c r="F22" i="11" s="1"/>
  <c r="F22" i="12"/>
  <c r="F24" i="12"/>
  <c r="F29" i="12"/>
  <c r="F30" i="11" s="1"/>
  <c r="F30" i="12"/>
  <c r="F2" i="12"/>
  <c r="F3" i="11" s="1"/>
  <c r="F5" i="10" s="1"/>
  <c r="F4" i="9" s="1"/>
  <c r="F8" i="8" s="1"/>
  <c r="F4" i="7" s="1"/>
  <c r="F10" i="6" s="1"/>
  <c r="F7" i="5" s="1"/>
  <c r="F13" i="1" s="1"/>
  <c r="H6" i="12"/>
  <c r="H8" i="11" s="1"/>
  <c r="H7" i="12"/>
  <c r="H12" i="12"/>
  <c r="H20" i="11" s="1"/>
  <c r="H25" i="10" s="1"/>
  <c r="G6" i="12"/>
  <c r="G7" i="11" s="1"/>
  <c r="G12" i="10" s="1"/>
  <c r="G7" i="12"/>
  <c r="G12" i="12"/>
  <c r="G20" i="11" s="1"/>
  <c r="G25" i="10" s="1"/>
  <c r="J4" i="12"/>
  <c r="E36" i="12"/>
  <c r="E35" i="12"/>
  <c r="E33" i="12"/>
  <c r="E34" i="12" s="1"/>
  <c r="J28" i="12"/>
  <c r="J25" i="12"/>
  <c r="J22" i="12"/>
  <c r="J20" i="12"/>
  <c r="J19" i="12"/>
  <c r="J18" i="12"/>
  <c r="J17" i="12"/>
  <c r="J16" i="12"/>
  <c r="J15" i="12"/>
  <c r="J14" i="12"/>
  <c r="J13" i="12"/>
  <c r="J11" i="12"/>
  <c r="J10" i="12"/>
  <c r="J9" i="12"/>
  <c r="J8" i="12"/>
  <c r="J6" i="12"/>
  <c r="J5" i="12"/>
  <c r="J30" i="13"/>
  <c r="I31" i="13"/>
  <c r="J31" i="13" s="1"/>
  <c r="J3" i="13"/>
  <c r="J4" i="13"/>
  <c r="I5" i="13"/>
  <c r="J5" i="13" s="1"/>
  <c r="I6" i="13"/>
  <c r="J6" i="13" s="1"/>
  <c r="I7" i="13"/>
  <c r="J7" i="13" s="1"/>
  <c r="I8" i="13"/>
  <c r="J8" i="13" s="1"/>
  <c r="I9" i="13"/>
  <c r="J9" i="13" s="1"/>
  <c r="I10" i="13"/>
  <c r="J10" i="13" s="1"/>
  <c r="I11" i="13"/>
  <c r="J11" i="13" s="1"/>
  <c r="I12" i="13"/>
  <c r="J12" i="13" s="1"/>
  <c r="I13" i="13"/>
  <c r="J13" i="13" s="1"/>
  <c r="I14" i="13"/>
  <c r="J14" i="13" s="1"/>
  <c r="I15" i="13"/>
  <c r="J15" i="13" s="1"/>
  <c r="I16" i="13"/>
  <c r="J16" i="13" s="1"/>
  <c r="I17" i="13"/>
  <c r="J17" i="13" s="1"/>
  <c r="I18" i="13"/>
  <c r="J18" i="13" s="1"/>
  <c r="I19" i="13"/>
  <c r="J19" i="13" s="1"/>
  <c r="I20" i="13"/>
  <c r="J20" i="13" s="1"/>
  <c r="I21" i="13"/>
  <c r="J21" i="13" s="1"/>
  <c r="J22" i="13"/>
  <c r="I23" i="13"/>
  <c r="J23" i="13" s="1"/>
  <c r="I24" i="13"/>
  <c r="J24" i="13" s="1"/>
  <c r="I25" i="13"/>
  <c r="J25" i="13" s="1"/>
  <c r="I26" i="13"/>
  <c r="J26" i="13" s="1"/>
  <c r="I27" i="13"/>
  <c r="J27" i="13" s="1"/>
  <c r="I28" i="13"/>
  <c r="J28" i="13" s="1"/>
  <c r="I29" i="13"/>
  <c r="J29" i="13" s="1"/>
  <c r="J2" i="13"/>
  <c r="F2" i="13"/>
  <c r="F6" i="12" s="1"/>
  <c r="F7" i="11" s="1"/>
  <c r="F9" i="10" s="1"/>
  <c r="F9" i="9" s="1"/>
  <c r="F7" i="8" s="1"/>
  <c r="F7" i="7" s="1"/>
  <c r="F13" i="6" s="1"/>
  <c r="F11" i="5" s="1"/>
  <c r="F16" i="1" s="1"/>
  <c r="F3" i="13"/>
  <c r="F7" i="12" s="1"/>
  <c r="F8" i="11" s="1"/>
  <c r="F12" i="10" s="1"/>
  <c r="F11" i="9" s="1"/>
  <c r="F15" i="8" s="1"/>
  <c r="F14" i="7" s="1"/>
  <c r="F20" i="6" s="1"/>
  <c r="F21" i="5" s="1"/>
  <c r="F26" i="1" s="1"/>
  <c r="F4" i="13"/>
  <c r="F12" i="12" s="1"/>
  <c r="F20" i="11" s="1"/>
  <c r="F25" i="10" s="1"/>
  <c r="F22" i="13"/>
  <c r="H27" i="13"/>
  <c r="G27" i="13"/>
  <c r="E36" i="13"/>
  <c r="E35" i="13"/>
  <c r="E33" i="13"/>
  <c r="E34" i="13" s="1"/>
  <c r="F10" i="14"/>
  <c r="F27" i="13" s="1"/>
  <c r="F13" i="14"/>
  <c r="F28" i="13" s="1"/>
  <c r="F15" i="14"/>
  <c r="G13" i="14"/>
  <c r="G28" i="13" s="1"/>
  <c r="G17" i="14"/>
  <c r="G25" i="13" s="1"/>
  <c r="G21" i="12" s="1"/>
  <c r="G21" i="14"/>
  <c r="G24" i="13" s="1"/>
  <c r="G31" i="12" s="1"/>
  <c r="G29" i="11" s="1"/>
  <c r="G26" i="9" s="1"/>
  <c r="G21" i="8" s="1"/>
  <c r="G24" i="7" s="1"/>
  <c r="G27" i="14"/>
  <c r="H13" i="14"/>
  <c r="H28" i="13" s="1"/>
  <c r="H17" i="14"/>
  <c r="H25" i="13" s="1"/>
  <c r="H21" i="12" s="1"/>
  <c r="H21" i="14"/>
  <c r="H24" i="13" s="1"/>
  <c r="H31" i="12" s="1"/>
  <c r="H29" i="11" s="1"/>
  <c r="H26" i="9" s="1"/>
  <c r="H21" i="8" s="1"/>
  <c r="H24" i="7" s="1"/>
  <c r="H27" i="14"/>
  <c r="I3" i="14"/>
  <c r="J3" i="14" s="1"/>
  <c r="I4" i="14"/>
  <c r="J4" i="14" s="1"/>
  <c r="I5" i="14"/>
  <c r="J5" i="14" s="1"/>
  <c r="I6" i="14"/>
  <c r="J6" i="14" s="1"/>
  <c r="I7" i="14"/>
  <c r="J7" i="14" s="1"/>
  <c r="I8" i="14"/>
  <c r="J8" i="14" s="1"/>
  <c r="I9" i="14"/>
  <c r="J9" i="14" s="1"/>
  <c r="J10" i="14"/>
  <c r="I11" i="14"/>
  <c r="J11" i="14" s="1"/>
  <c r="I12" i="14"/>
  <c r="J12" i="14" s="1"/>
  <c r="I13" i="14"/>
  <c r="J13" i="14" s="1"/>
  <c r="I14" i="14"/>
  <c r="J14" i="14" s="1"/>
  <c r="J15" i="14"/>
  <c r="I16" i="14"/>
  <c r="J16" i="14" s="1"/>
  <c r="I17" i="14"/>
  <c r="J17" i="14" s="1"/>
  <c r="I18" i="14"/>
  <c r="J18" i="14" s="1"/>
  <c r="I19" i="14"/>
  <c r="J19" i="14" s="1"/>
  <c r="I20" i="14"/>
  <c r="J20" i="14" s="1"/>
  <c r="I21" i="14"/>
  <c r="J21" i="14" s="1"/>
  <c r="I22" i="14"/>
  <c r="J22" i="14" s="1"/>
  <c r="I23" i="14"/>
  <c r="J23" i="14" s="1"/>
  <c r="I24" i="14"/>
  <c r="J24" i="14" s="1"/>
  <c r="I25" i="14"/>
  <c r="J25" i="14" s="1"/>
  <c r="I26" i="14"/>
  <c r="J26" i="14" s="1"/>
  <c r="I27" i="14"/>
  <c r="J27" i="14" s="1"/>
  <c r="I28" i="14"/>
  <c r="J28" i="14" s="1"/>
  <c r="I29" i="14"/>
  <c r="J29" i="14" s="1"/>
  <c r="I2" i="14"/>
  <c r="J2" i="14" s="1"/>
  <c r="E36" i="14"/>
  <c r="E35" i="14"/>
  <c r="E33" i="14"/>
  <c r="E34" i="14" s="1"/>
  <c r="F31" i="15"/>
  <c r="J31" i="15"/>
  <c r="G5" i="15"/>
  <c r="G6" i="14" s="1"/>
  <c r="G14" i="13" s="1"/>
  <c r="G23" i="12" s="1"/>
  <c r="G28" i="11" s="1"/>
  <c r="G22" i="15"/>
  <c r="H5" i="15"/>
  <c r="H6" i="14" s="1"/>
  <c r="H14" i="13" s="1"/>
  <c r="H23" i="12" s="1"/>
  <c r="H28" i="11" s="1"/>
  <c r="H22" i="15"/>
  <c r="F6" i="15"/>
  <c r="F17" i="14" s="1"/>
  <c r="F25" i="13" s="1"/>
  <c r="F21" i="12" s="1"/>
  <c r="F7" i="15"/>
  <c r="F11" i="15"/>
  <c r="F27" i="14" s="1"/>
  <c r="F15" i="15"/>
  <c r="F21" i="14" s="1"/>
  <c r="F24" i="13" s="1"/>
  <c r="F31" i="12" s="1"/>
  <c r="F29" i="11" s="1"/>
  <c r="F26" i="15"/>
  <c r="F29" i="15"/>
  <c r="I3" i="15"/>
  <c r="J3" i="15" s="1"/>
  <c r="I4" i="15"/>
  <c r="J4" i="15" s="1"/>
  <c r="I5" i="15"/>
  <c r="J5" i="15" s="1"/>
  <c r="J6" i="15"/>
  <c r="J7" i="15"/>
  <c r="I8" i="15"/>
  <c r="J8" i="15" s="1"/>
  <c r="I9" i="15"/>
  <c r="J9" i="15" s="1"/>
  <c r="I10" i="15"/>
  <c r="J10" i="15" s="1"/>
  <c r="J11" i="15"/>
  <c r="I12" i="15"/>
  <c r="J12" i="15" s="1"/>
  <c r="I13" i="15"/>
  <c r="J13" i="15" s="1"/>
  <c r="I14" i="15"/>
  <c r="J14" i="15" s="1"/>
  <c r="J15" i="15"/>
  <c r="I16" i="15"/>
  <c r="J16" i="15" s="1"/>
  <c r="I17" i="15"/>
  <c r="J17" i="15" s="1"/>
  <c r="I18" i="15"/>
  <c r="J18" i="15" s="1"/>
  <c r="I19" i="15"/>
  <c r="J19" i="15" s="1"/>
  <c r="I20" i="15"/>
  <c r="J20" i="15" s="1"/>
  <c r="I21" i="15"/>
  <c r="J21" i="15" s="1"/>
  <c r="I22" i="15"/>
  <c r="J22" i="15" s="1"/>
  <c r="I23" i="15"/>
  <c r="J23" i="15" s="1"/>
  <c r="I24" i="15"/>
  <c r="J24" i="15" s="1"/>
  <c r="I25" i="15"/>
  <c r="J25" i="15" s="1"/>
  <c r="J26" i="15"/>
  <c r="I27" i="15"/>
  <c r="J27" i="15" s="1"/>
  <c r="I28" i="15"/>
  <c r="J28" i="15" s="1"/>
  <c r="I29" i="15"/>
  <c r="J29" i="15" s="1"/>
  <c r="I30" i="15"/>
  <c r="J30" i="15" s="1"/>
  <c r="I2" i="15"/>
  <c r="J2" i="15" s="1"/>
  <c r="J25" i="16"/>
  <c r="J24" i="16"/>
  <c r="J23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E37" i="15"/>
  <c r="E36" i="15"/>
  <c r="E33" i="15"/>
  <c r="E35" i="15" s="1"/>
  <c r="F6" i="16"/>
  <c r="F7" i="16"/>
  <c r="F22" i="15" s="1"/>
  <c r="F19" i="16"/>
  <c r="F25" i="16"/>
  <c r="F28" i="16"/>
  <c r="F29" i="16"/>
  <c r="F30" i="15" s="1"/>
  <c r="F29" i="14" s="1"/>
  <c r="F29" i="13" s="1"/>
  <c r="F31" i="16"/>
  <c r="I26" i="16"/>
  <c r="J26" i="16" s="1"/>
  <c r="I28" i="16"/>
  <c r="J28" i="16" s="1"/>
  <c r="I29" i="16"/>
  <c r="J29" i="16" s="1"/>
  <c r="I30" i="16"/>
  <c r="J30" i="16" s="1"/>
  <c r="I31" i="16"/>
  <c r="J31" i="16" s="1"/>
  <c r="I24" i="16"/>
  <c r="I23" i="16"/>
  <c r="I3" i="16"/>
  <c r="I4" i="16"/>
  <c r="I5" i="16"/>
  <c r="I8" i="16"/>
  <c r="I9" i="16"/>
  <c r="I10" i="16"/>
  <c r="I11" i="16"/>
  <c r="I12" i="16"/>
  <c r="I13" i="16"/>
  <c r="I14" i="16"/>
  <c r="I15" i="16"/>
  <c r="I16" i="16"/>
  <c r="I17" i="16"/>
  <c r="I18" i="16"/>
  <c r="I20" i="16"/>
  <c r="I21" i="16"/>
  <c r="I22" i="16"/>
  <c r="J2" i="16"/>
  <c r="F2" i="16"/>
  <c r="F5" i="15" s="1"/>
  <c r="F6" i="14" s="1"/>
  <c r="F14" i="13" s="1"/>
  <c r="F23" i="12" s="1"/>
  <c r="F28" i="11" s="1"/>
  <c r="E36" i="16"/>
  <c r="E35" i="16"/>
  <c r="E33" i="16"/>
  <c r="E34" i="16" s="1"/>
  <c r="I30" i="17"/>
  <c r="J30" i="17" s="1"/>
  <c r="I29" i="17"/>
  <c r="J29" i="17" s="1"/>
  <c r="I27" i="17"/>
  <c r="I26" i="17"/>
  <c r="J26" i="17" s="1"/>
  <c r="I24" i="17"/>
  <c r="J24" i="17" s="1"/>
  <c r="I3" i="17"/>
  <c r="I4" i="17"/>
  <c r="I5" i="17"/>
  <c r="I6" i="17"/>
  <c r="I7" i="17"/>
  <c r="I8" i="17"/>
  <c r="I9" i="17"/>
  <c r="I10" i="17"/>
  <c r="I11" i="17"/>
  <c r="I12" i="17"/>
  <c r="J12" i="17" s="1"/>
  <c r="I13" i="17"/>
  <c r="I14" i="17"/>
  <c r="I15" i="17"/>
  <c r="I16" i="17"/>
  <c r="J16" i="17" s="1"/>
  <c r="I17" i="17"/>
  <c r="I18" i="17"/>
  <c r="I19" i="17"/>
  <c r="J19" i="17" s="1"/>
  <c r="I20" i="17"/>
  <c r="J20" i="17" s="1"/>
  <c r="I21" i="17"/>
  <c r="I22" i="17"/>
  <c r="I2" i="17"/>
  <c r="J2" i="17" s="1"/>
  <c r="J4" i="17"/>
  <c r="J5" i="17"/>
  <c r="J6" i="17"/>
  <c r="J7" i="17"/>
  <c r="J8" i="17"/>
  <c r="J9" i="17"/>
  <c r="J10" i="17"/>
  <c r="J11" i="17"/>
  <c r="J13" i="17"/>
  <c r="J14" i="17"/>
  <c r="J15" i="17"/>
  <c r="J17" i="17"/>
  <c r="J18" i="17"/>
  <c r="J21" i="17"/>
  <c r="J22" i="17"/>
  <c r="H3" i="17"/>
  <c r="H4" i="16" s="1"/>
  <c r="H4" i="15" s="1"/>
  <c r="H3" i="14" s="1"/>
  <c r="H7" i="13" s="1"/>
  <c r="H8" i="12" s="1"/>
  <c r="H6" i="11" s="1"/>
  <c r="H7" i="10" s="1"/>
  <c r="H5" i="9" s="1"/>
  <c r="H4" i="8" s="1"/>
  <c r="H5" i="7" s="1"/>
  <c r="H20" i="17"/>
  <c r="H29" i="17"/>
  <c r="G3" i="17"/>
  <c r="G4" i="16" s="1"/>
  <c r="G4" i="15" s="1"/>
  <c r="G3" i="14" s="1"/>
  <c r="G7" i="13" s="1"/>
  <c r="G8" i="12" s="1"/>
  <c r="G6" i="11" s="1"/>
  <c r="G7" i="10" s="1"/>
  <c r="G5" i="9" s="1"/>
  <c r="G4" i="8" s="1"/>
  <c r="G5" i="7" s="1"/>
  <c r="G20" i="17"/>
  <c r="G29" i="17"/>
  <c r="F20" i="17"/>
  <c r="F29" i="17"/>
  <c r="J27" i="17"/>
  <c r="J28" i="17"/>
  <c r="J31" i="17"/>
  <c r="E36" i="17"/>
  <c r="E35" i="17"/>
  <c r="E33" i="17"/>
  <c r="E34" i="17" s="1"/>
  <c r="J3" i="17"/>
  <c r="G5" i="18"/>
  <c r="G7" i="17" s="1"/>
  <c r="G14" i="16" s="1"/>
  <c r="G17" i="15" s="1"/>
  <c r="G18" i="14" s="1"/>
  <c r="G20" i="13" s="1"/>
  <c r="G23" i="18"/>
  <c r="G30" i="17" s="1"/>
  <c r="G28" i="18"/>
  <c r="H5" i="18"/>
  <c r="H7" i="17" s="1"/>
  <c r="H14" i="16" s="1"/>
  <c r="H17" i="15" s="1"/>
  <c r="H18" i="14" s="1"/>
  <c r="H20" i="13" s="1"/>
  <c r="H23" i="18"/>
  <c r="H30" i="17" s="1"/>
  <c r="H28" i="18"/>
  <c r="F3" i="18"/>
  <c r="F3" i="17" s="1"/>
  <c r="F4" i="16" s="1"/>
  <c r="F4" i="15" s="1"/>
  <c r="F3" i="14" s="1"/>
  <c r="F7" i="13" s="1"/>
  <c r="F8" i="12" s="1"/>
  <c r="F6" i="11" s="1"/>
  <c r="F7" i="10" s="1"/>
  <c r="F5" i="9" s="1"/>
  <c r="F4" i="8" s="1"/>
  <c r="F5" i="7" s="1"/>
  <c r="F11" i="6" s="1"/>
  <c r="F6" i="5" s="1"/>
  <c r="F6" i="1" s="1"/>
  <c r="F6" i="18"/>
  <c r="J3" i="18"/>
  <c r="I4" i="18"/>
  <c r="J4" i="18" s="1"/>
  <c r="I5" i="18"/>
  <c r="J6" i="18"/>
  <c r="I7" i="18"/>
  <c r="J7" i="18" s="1"/>
  <c r="I8" i="18"/>
  <c r="J8" i="18" s="1"/>
  <c r="I9" i="18"/>
  <c r="J9" i="18" s="1"/>
  <c r="I10" i="18"/>
  <c r="J10" i="18" s="1"/>
  <c r="I11" i="18"/>
  <c r="J11" i="18" s="1"/>
  <c r="I12" i="18"/>
  <c r="J12" i="18" s="1"/>
  <c r="I13" i="18"/>
  <c r="J13" i="18" s="1"/>
  <c r="I15" i="18"/>
  <c r="J15" i="18" s="1"/>
  <c r="I17" i="18"/>
  <c r="J17" i="18" s="1"/>
  <c r="I18" i="18"/>
  <c r="J18" i="18" s="1"/>
  <c r="I19" i="18"/>
  <c r="J19" i="18" s="1"/>
  <c r="I20" i="18"/>
  <c r="J20" i="18" s="1"/>
  <c r="I21" i="18"/>
  <c r="J21" i="18" s="1"/>
  <c r="I22" i="18"/>
  <c r="J22" i="18" s="1"/>
  <c r="I23" i="18"/>
  <c r="J23" i="18" s="1"/>
  <c r="I25" i="18"/>
  <c r="J25" i="18" s="1"/>
  <c r="I26" i="18"/>
  <c r="J26" i="18" s="1"/>
  <c r="I27" i="18"/>
  <c r="J27" i="18" s="1"/>
  <c r="I28" i="18"/>
  <c r="J28" i="18" s="1"/>
  <c r="I29" i="18"/>
  <c r="J29" i="18" s="1"/>
  <c r="I30" i="18"/>
  <c r="J30" i="18" s="1"/>
  <c r="I31" i="18"/>
  <c r="J31" i="18" s="1"/>
  <c r="I2" i="18"/>
  <c r="J2" i="18" s="1"/>
  <c r="E36" i="18"/>
  <c r="E35" i="18"/>
  <c r="E33" i="18"/>
  <c r="J5" i="18"/>
  <c r="I3" i="20"/>
  <c r="I4" i="20"/>
  <c r="I5" i="20"/>
  <c r="I6" i="20"/>
  <c r="I7" i="20"/>
  <c r="I8" i="20"/>
  <c r="I9" i="20"/>
  <c r="I10" i="20"/>
  <c r="I11" i="20"/>
  <c r="I13" i="20"/>
  <c r="I14" i="20"/>
  <c r="I15" i="20"/>
  <c r="I16" i="20"/>
  <c r="I17" i="20"/>
  <c r="I18" i="20"/>
  <c r="I19" i="20"/>
  <c r="I20" i="20"/>
  <c r="I21" i="20"/>
  <c r="I22" i="20"/>
  <c r="I23" i="20"/>
  <c r="I25" i="20"/>
  <c r="J25" i="20" s="1"/>
  <c r="I26" i="20"/>
  <c r="J26" i="20" s="1"/>
  <c r="I27" i="20"/>
  <c r="I28" i="20"/>
  <c r="I29" i="20"/>
  <c r="J29" i="20" s="1"/>
  <c r="I30" i="20"/>
  <c r="J30" i="20" s="1"/>
  <c r="I31" i="20"/>
  <c r="J31" i="20" s="1"/>
  <c r="I2" i="20"/>
  <c r="J2" i="20" s="1"/>
  <c r="J3" i="19"/>
  <c r="I4" i="19"/>
  <c r="J5" i="19"/>
  <c r="I6" i="19"/>
  <c r="I7" i="19"/>
  <c r="J8" i="19"/>
  <c r="J9" i="19"/>
  <c r="I10" i="19"/>
  <c r="I11" i="19"/>
  <c r="I12" i="19"/>
  <c r="I13" i="19"/>
  <c r="J13" i="19" s="1"/>
  <c r="I14" i="19"/>
  <c r="I15" i="19"/>
  <c r="J15" i="19" s="1"/>
  <c r="I16" i="19"/>
  <c r="I17" i="19"/>
  <c r="I18" i="19"/>
  <c r="J18" i="19" s="1"/>
  <c r="I19" i="19"/>
  <c r="J19" i="19" s="1"/>
  <c r="I20" i="19"/>
  <c r="I21" i="19"/>
  <c r="J21" i="19" s="1"/>
  <c r="J22" i="19"/>
  <c r="I23" i="19"/>
  <c r="J23" i="19" s="1"/>
  <c r="I24" i="19"/>
  <c r="J24" i="19" s="1"/>
  <c r="I25" i="19"/>
  <c r="J25" i="19" s="1"/>
  <c r="I26" i="19"/>
  <c r="J26" i="19" s="1"/>
  <c r="I27" i="19"/>
  <c r="J27" i="19" s="1"/>
  <c r="I28" i="19"/>
  <c r="J28" i="19" s="1"/>
  <c r="I29" i="19"/>
  <c r="J29" i="19" s="1"/>
  <c r="I30" i="19"/>
  <c r="J30" i="19" s="1"/>
  <c r="I31" i="19"/>
  <c r="J31" i="19" s="1"/>
  <c r="I2" i="19"/>
  <c r="J2" i="19" s="1"/>
  <c r="F3" i="19"/>
  <c r="F5" i="18" s="1"/>
  <c r="F7" i="17" s="1"/>
  <c r="F14" i="16" s="1"/>
  <c r="F17" i="15" s="1"/>
  <c r="F18" i="14" s="1"/>
  <c r="F20" i="13" s="1"/>
  <c r="F5" i="19"/>
  <c r="F28" i="18" s="1"/>
  <c r="F8" i="19"/>
  <c r="F9" i="19"/>
  <c r="F23" i="18" s="1"/>
  <c r="F30" i="17" s="1"/>
  <c r="F22" i="19"/>
  <c r="E37" i="19"/>
  <c r="E36" i="19"/>
  <c r="E33" i="19"/>
  <c r="E35" i="19" s="1"/>
  <c r="J20" i="19"/>
  <c r="J17" i="19"/>
  <c r="J16" i="19"/>
  <c r="J14" i="19"/>
  <c r="J12" i="19"/>
  <c r="J11" i="19"/>
  <c r="J10" i="19"/>
  <c r="J7" i="19"/>
  <c r="J6" i="19"/>
  <c r="J4" i="19"/>
  <c r="J24" i="20"/>
  <c r="F12" i="20"/>
  <c r="F19" i="20"/>
  <c r="F28" i="19" s="1"/>
  <c r="F10" i="18" s="1"/>
  <c r="F12" i="17" s="1"/>
  <c r="F13" i="16" s="1"/>
  <c r="F14" i="15" s="1"/>
  <c r="F14" i="14" s="1"/>
  <c r="F18" i="13" s="1"/>
  <c r="F27" i="12" s="1"/>
  <c r="F24" i="20"/>
  <c r="F28" i="20"/>
  <c r="F23" i="19" s="1"/>
  <c r="F26" i="18" s="1"/>
  <c r="F22" i="17" s="1"/>
  <c r="F26" i="16" s="1"/>
  <c r="F28" i="15" s="1"/>
  <c r="F24" i="14" s="1"/>
  <c r="F26" i="13" s="1"/>
  <c r="F28" i="12" s="1"/>
  <c r="F27" i="11" s="1"/>
  <c r="F29" i="10" s="1"/>
  <c r="F29" i="9" s="1"/>
  <c r="F28" i="8" s="1"/>
  <c r="F29" i="7" s="1"/>
  <c r="J27" i="20"/>
  <c r="J28" i="20"/>
  <c r="J4" i="20"/>
  <c r="J5" i="20"/>
  <c r="J6" i="20"/>
  <c r="J7" i="20"/>
  <c r="J8" i="20"/>
  <c r="J9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G18" i="20"/>
  <c r="G27" i="19" s="1"/>
  <c r="G19" i="20"/>
  <c r="G28" i="19" s="1"/>
  <c r="G10" i="18" s="1"/>
  <c r="G12" i="17" s="1"/>
  <c r="G13" i="16" s="1"/>
  <c r="G14" i="15" s="1"/>
  <c r="G14" i="14" s="1"/>
  <c r="G18" i="13" s="1"/>
  <c r="G27" i="12" s="1"/>
  <c r="G21" i="20"/>
  <c r="H18" i="20"/>
  <c r="H27" i="19" s="1"/>
  <c r="H19" i="20"/>
  <c r="H28" i="19" s="1"/>
  <c r="H10" i="18" s="1"/>
  <c r="H12" i="17" s="1"/>
  <c r="H13" i="16" s="1"/>
  <c r="H14" i="15" s="1"/>
  <c r="H14" i="14" s="1"/>
  <c r="H18" i="13" s="1"/>
  <c r="H27" i="12" s="1"/>
  <c r="H21" i="20"/>
  <c r="E36" i="20"/>
  <c r="E35" i="20"/>
  <c r="E33" i="20"/>
  <c r="E34" i="20" s="1"/>
  <c r="J10" i="20"/>
  <c r="J3" i="20"/>
  <c r="J29" i="22"/>
  <c r="G30" i="22"/>
  <c r="G25" i="17" s="1"/>
  <c r="G28" i="16" s="1"/>
  <c r="G29" i="15" s="1"/>
  <c r="G30" i="13" s="1"/>
  <c r="G29" i="12" s="1"/>
  <c r="G30" i="11" s="1"/>
  <c r="G30" i="9" s="1"/>
  <c r="G31" i="8" s="1"/>
  <c r="G31" i="7" s="1"/>
  <c r="H30" i="22"/>
  <c r="H25" i="17" s="1"/>
  <c r="H28" i="16" s="1"/>
  <c r="H29" i="15" s="1"/>
  <c r="H30" i="13" s="1"/>
  <c r="H29" i="12" s="1"/>
  <c r="H30" i="11" s="1"/>
  <c r="H30" i="9" s="1"/>
  <c r="H31" i="8" s="1"/>
  <c r="H31" i="7" s="1"/>
  <c r="I30" i="22"/>
  <c r="J30" i="22" s="1"/>
  <c r="I31" i="22"/>
  <c r="J31" i="22" s="1"/>
  <c r="I28" i="22"/>
  <c r="J28" i="22" s="1"/>
  <c r="I27" i="22"/>
  <c r="J27" i="22" s="1"/>
  <c r="I3" i="22"/>
  <c r="I4" i="22"/>
  <c r="J4" i="22" s="1"/>
  <c r="I5" i="22"/>
  <c r="I6" i="22"/>
  <c r="I7" i="22"/>
  <c r="J7" i="22" s="1"/>
  <c r="I8" i="22"/>
  <c r="J8" i="22" s="1"/>
  <c r="I9" i="22"/>
  <c r="J9" i="22" s="1"/>
  <c r="J10" i="22"/>
  <c r="I11" i="22"/>
  <c r="J11" i="22" s="1"/>
  <c r="I12" i="22"/>
  <c r="J12" i="22" s="1"/>
  <c r="I13" i="22"/>
  <c r="J13" i="22" s="1"/>
  <c r="I14" i="22"/>
  <c r="J15" i="22"/>
  <c r="I16" i="22"/>
  <c r="J16" i="22" s="1"/>
  <c r="I17" i="22"/>
  <c r="J17" i="22" s="1"/>
  <c r="I18" i="22"/>
  <c r="J18" i="22" s="1"/>
  <c r="I19" i="22"/>
  <c r="J19" i="22" s="1"/>
  <c r="I20" i="22"/>
  <c r="J20" i="22" s="1"/>
  <c r="I21" i="22"/>
  <c r="J21" i="22" s="1"/>
  <c r="I22" i="22"/>
  <c r="J22" i="22" s="1"/>
  <c r="I23" i="22"/>
  <c r="J23" i="22" s="1"/>
  <c r="I25" i="22"/>
  <c r="J25" i="22" s="1"/>
  <c r="I26" i="22"/>
  <c r="J26" i="22" s="1"/>
  <c r="I2" i="22"/>
  <c r="J2" i="22" s="1"/>
  <c r="F10" i="22"/>
  <c r="F18" i="20" s="1"/>
  <c r="F27" i="19" s="1"/>
  <c r="F15" i="22"/>
  <c r="F21" i="20" s="1"/>
  <c r="F26" i="22"/>
  <c r="F23" i="20" s="1"/>
  <c r="F24" i="19" s="1"/>
  <c r="F19" i="18" s="1"/>
  <c r="F17" i="17" s="1"/>
  <c r="F20" i="16" s="1"/>
  <c r="F23" i="15" s="1"/>
  <c r="F23" i="14" s="1"/>
  <c r="F21" i="13" s="1"/>
  <c r="F25" i="12" s="1"/>
  <c r="F24" i="11" s="1"/>
  <c r="F26" i="10" s="1"/>
  <c r="F25" i="9" s="1"/>
  <c r="F25" i="8" s="1"/>
  <c r="F25" i="7" s="1"/>
  <c r="F30" i="22"/>
  <c r="E36" i="22"/>
  <c r="E35" i="22"/>
  <c r="E33" i="22"/>
  <c r="E34" i="22" s="1"/>
  <c r="J14" i="22"/>
  <c r="J6" i="22"/>
  <c r="J5" i="22"/>
  <c r="J3" i="22"/>
  <c r="F30" i="56"/>
  <c r="F22" i="56"/>
  <c r="F16" i="22" s="1"/>
  <c r="F27" i="20" s="1"/>
  <c r="F30" i="19" s="1"/>
  <c r="F24" i="56"/>
  <c r="F25" i="56"/>
  <c r="F25" i="22" s="1"/>
  <c r="F26" i="20" s="1"/>
  <c r="F25" i="19" s="1"/>
  <c r="F29" i="18" s="1"/>
  <c r="F26" i="17" s="1"/>
  <c r="F30" i="16" s="1"/>
  <c r="I3" i="56"/>
  <c r="J3" i="56" s="1"/>
  <c r="I4" i="56"/>
  <c r="J4" i="56" s="1"/>
  <c r="I5" i="56"/>
  <c r="J5" i="56" s="1"/>
  <c r="I6" i="56"/>
  <c r="J6" i="56" s="1"/>
  <c r="I7" i="56"/>
  <c r="J7" i="56" s="1"/>
  <c r="I8" i="56"/>
  <c r="J8" i="56" s="1"/>
  <c r="I9" i="56"/>
  <c r="J9" i="56" s="1"/>
  <c r="I10" i="56"/>
  <c r="J10" i="56" s="1"/>
  <c r="I11" i="56"/>
  <c r="J11" i="56" s="1"/>
  <c r="I12" i="56"/>
  <c r="J12" i="56" s="1"/>
  <c r="I13" i="56"/>
  <c r="J13" i="56" s="1"/>
  <c r="I14" i="56"/>
  <c r="J14" i="56" s="1"/>
  <c r="I15" i="56"/>
  <c r="J15" i="56" s="1"/>
  <c r="I16" i="56"/>
  <c r="J16" i="56" s="1"/>
  <c r="I17" i="56"/>
  <c r="J17" i="56" s="1"/>
  <c r="I18" i="56"/>
  <c r="J18" i="56" s="1"/>
  <c r="I19" i="56"/>
  <c r="J19" i="56" s="1"/>
  <c r="I20" i="56"/>
  <c r="J20" i="56" s="1"/>
  <c r="I21" i="56"/>
  <c r="J21" i="56" s="1"/>
  <c r="I22" i="56"/>
  <c r="J22" i="56" s="1"/>
  <c r="I23" i="56"/>
  <c r="J23" i="56" s="1"/>
  <c r="I24" i="56"/>
  <c r="J24" i="56" s="1"/>
  <c r="I25" i="56"/>
  <c r="J25" i="56" s="1"/>
  <c r="I26" i="56"/>
  <c r="J26" i="56" s="1"/>
  <c r="I28" i="56"/>
  <c r="J28" i="56" s="1"/>
  <c r="I30" i="56"/>
  <c r="J30" i="56" s="1"/>
  <c r="I31" i="56"/>
  <c r="J31" i="56" s="1"/>
  <c r="I2" i="56"/>
  <c r="J2" i="56" s="1"/>
  <c r="J29" i="23"/>
  <c r="J30" i="23"/>
  <c r="J31" i="23"/>
  <c r="J24" i="23"/>
  <c r="J20" i="23"/>
  <c r="E36" i="56"/>
  <c r="E35" i="56"/>
  <c r="E33" i="56"/>
  <c r="E34" i="56" s="1"/>
  <c r="I3" i="23"/>
  <c r="J3" i="23" s="1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1" i="23"/>
  <c r="I22" i="23"/>
  <c r="I23" i="23"/>
  <c r="I25" i="23"/>
  <c r="I26" i="23"/>
  <c r="I27" i="23"/>
  <c r="I28" i="23"/>
  <c r="H5" i="23"/>
  <c r="H31" i="56" s="1"/>
  <c r="H9" i="23"/>
  <c r="H27" i="23"/>
  <c r="G5" i="23"/>
  <c r="G7" i="56" s="1"/>
  <c r="G9" i="23"/>
  <c r="G27" i="23"/>
  <c r="I2" i="23"/>
  <c r="H7" i="11" l="1"/>
  <c r="H9" i="10" s="1"/>
  <c r="H11" i="9" s="1"/>
  <c r="G11" i="22"/>
  <c r="G13" i="22"/>
  <c r="G31" i="56"/>
  <c r="H7" i="56"/>
  <c r="G8" i="11"/>
  <c r="H9" i="9"/>
  <c r="H12" i="10"/>
  <c r="G9" i="10"/>
  <c r="E34" i="10"/>
  <c r="E34" i="9" s="1"/>
  <c r="E34" i="15"/>
  <c r="E34" i="19"/>
  <c r="E34" i="18" s="1"/>
  <c r="E37" i="23"/>
  <c r="E36" i="23"/>
  <c r="E33" i="23"/>
  <c r="E35" i="23" s="1"/>
  <c r="J28" i="23"/>
  <c r="J27" i="23"/>
  <c r="J26" i="23"/>
  <c r="J25" i="23"/>
  <c r="J23" i="23"/>
  <c r="J22" i="23"/>
  <c r="J21" i="23"/>
  <c r="J19" i="23"/>
  <c r="J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J5" i="23"/>
  <c r="J4" i="23"/>
  <c r="J2" i="23"/>
  <c r="I2" i="24"/>
  <c r="J2" i="24" s="1"/>
  <c r="J3" i="24"/>
  <c r="J4" i="24"/>
  <c r="I5" i="24"/>
  <c r="I6" i="24"/>
  <c r="I7" i="24"/>
  <c r="J7" i="24" s="1"/>
  <c r="J8" i="24"/>
  <c r="I9" i="24"/>
  <c r="J9" i="24" s="1"/>
  <c r="I10" i="24"/>
  <c r="J11" i="24"/>
  <c r="I12" i="24"/>
  <c r="J12" i="24" s="1"/>
  <c r="I13" i="24"/>
  <c r="J13" i="24" s="1"/>
  <c r="I14" i="24"/>
  <c r="I15" i="24"/>
  <c r="J15" i="24" s="1"/>
  <c r="I16" i="24"/>
  <c r="J16" i="24" s="1"/>
  <c r="J17" i="24"/>
  <c r="I18" i="24"/>
  <c r="J18" i="24" s="1"/>
  <c r="J19" i="24"/>
  <c r="I20" i="24"/>
  <c r="I21" i="24"/>
  <c r="I22" i="24"/>
  <c r="J22" i="24" s="1"/>
  <c r="I23" i="24"/>
  <c r="I24" i="24"/>
  <c r="J24" i="24" s="1"/>
  <c r="I25" i="24"/>
  <c r="J25" i="24" s="1"/>
  <c r="I26" i="24"/>
  <c r="J26" i="24" s="1"/>
  <c r="J27" i="24"/>
  <c r="I28" i="24"/>
  <c r="J28" i="24" s="1"/>
  <c r="I29" i="24"/>
  <c r="I30" i="24"/>
  <c r="J30" i="24" s="1"/>
  <c r="F3" i="24"/>
  <c r="F5" i="23" s="1"/>
  <c r="F7" i="56" s="1"/>
  <c r="F11" i="22" s="1"/>
  <c r="F13" i="20" s="1"/>
  <c r="F21" i="19" s="1"/>
  <c r="F25" i="18" s="1"/>
  <c r="F24" i="17" s="1"/>
  <c r="F4" i="24"/>
  <c r="F9" i="23" s="1"/>
  <c r="F31" i="56" s="1"/>
  <c r="F13" i="22" s="1"/>
  <c r="F14" i="20" s="1"/>
  <c r="F20" i="19" s="1"/>
  <c r="F27" i="18" s="1"/>
  <c r="F27" i="17" s="1"/>
  <c r="F8" i="24"/>
  <c r="F11" i="24"/>
  <c r="F27" i="23" s="1"/>
  <c r="F17" i="24"/>
  <c r="F19" i="24"/>
  <c r="F27" i="24"/>
  <c r="E36" i="24"/>
  <c r="E35" i="24"/>
  <c r="E33" i="24"/>
  <c r="E34" i="24" s="1"/>
  <c r="J29" i="24"/>
  <c r="J23" i="24"/>
  <c r="J21" i="24"/>
  <c r="J20" i="24"/>
  <c r="J14" i="24"/>
  <c r="J10" i="24"/>
  <c r="J6" i="24"/>
  <c r="J5" i="24"/>
  <c r="J30" i="25"/>
  <c r="J31" i="25"/>
  <c r="J29" i="25"/>
  <c r="J28" i="25"/>
  <c r="J27" i="25"/>
  <c r="J26" i="25"/>
  <c r="E34" i="25"/>
  <c r="G3" i="25"/>
  <c r="G5" i="24" s="1"/>
  <c r="G4" i="23" s="1"/>
  <c r="G4" i="56" s="1"/>
  <c r="G4" i="22" s="1"/>
  <c r="G7" i="20" s="1"/>
  <c r="G14" i="19" s="1"/>
  <c r="G15" i="18" s="1"/>
  <c r="G16" i="17" s="1"/>
  <c r="G22" i="16" s="1"/>
  <c r="G27" i="15" s="1"/>
  <c r="G28" i="14" s="1"/>
  <c r="H3" i="25"/>
  <c r="H5" i="24" s="1"/>
  <c r="H4" i="23" s="1"/>
  <c r="H4" i="56" s="1"/>
  <c r="H4" i="22" s="1"/>
  <c r="H7" i="20" s="1"/>
  <c r="H14" i="19" s="1"/>
  <c r="H15" i="18" s="1"/>
  <c r="H16" i="17" s="1"/>
  <c r="H22" i="16" s="1"/>
  <c r="H27" i="15" s="1"/>
  <c r="H28" i="14" s="1"/>
  <c r="I30" i="25"/>
  <c r="I31" i="25"/>
  <c r="I29" i="25"/>
  <c r="I28" i="25"/>
  <c r="I3" i="25"/>
  <c r="I4" i="25"/>
  <c r="J4" i="25" s="1"/>
  <c r="I5" i="25"/>
  <c r="J5" i="25" s="1"/>
  <c r="I6" i="25"/>
  <c r="J6" i="25" s="1"/>
  <c r="I7" i="25"/>
  <c r="J7" i="25" s="1"/>
  <c r="I8" i="25"/>
  <c r="J8" i="25" s="1"/>
  <c r="I9" i="25"/>
  <c r="J9" i="25" s="1"/>
  <c r="I10" i="25"/>
  <c r="J10" i="25" s="1"/>
  <c r="I11" i="25"/>
  <c r="J11" i="25" s="1"/>
  <c r="I12" i="25"/>
  <c r="J12" i="25" s="1"/>
  <c r="I13" i="25"/>
  <c r="J13" i="25" s="1"/>
  <c r="I14" i="25"/>
  <c r="J14" i="25" s="1"/>
  <c r="I15" i="25"/>
  <c r="J15" i="25" s="1"/>
  <c r="I16" i="25"/>
  <c r="J16" i="25" s="1"/>
  <c r="J17" i="25"/>
  <c r="I18" i="25"/>
  <c r="J18" i="25" s="1"/>
  <c r="I19" i="25"/>
  <c r="J19" i="25" s="1"/>
  <c r="I20" i="25"/>
  <c r="J20" i="25" s="1"/>
  <c r="I21" i="25"/>
  <c r="J21" i="25" s="1"/>
  <c r="I22" i="25"/>
  <c r="J22" i="25" s="1"/>
  <c r="I23" i="25"/>
  <c r="J23" i="25" s="1"/>
  <c r="I24" i="25"/>
  <c r="J24" i="25" s="1"/>
  <c r="I25" i="25"/>
  <c r="J25" i="25" s="1"/>
  <c r="I26" i="25"/>
  <c r="I27" i="25"/>
  <c r="I2" i="25"/>
  <c r="J2" i="25" s="1"/>
  <c r="F17" i="25"/>
  <c r="F24" i="25"/>
  <c r="F25" i="24" s="1"/>
  <c r="F22" i="23" s="1"/>
  <c r="F20" i="56" s="1"/>
  <c r="F20" i="22" s="1"/>
  <c r="F15" i="20" s="1"/>
  <c r="F18" i="19" s="1"/>
  <c r="F21" i="18" s="1"/>
  <c r="F19" i="17" s="1"/>
  <c r="F23" i="16" s="1"/>
  <c r="F24" i="15" s="1"/>
  <c r="F26" i="14" s="1"/>
  <c r="F31" i="13" s="1"/>
  <c r="F31" i="25"/>
  <c r="E36" i="25"/>
  <c r="E35" i="25"/>
  <c r="E33" i="25"/>
  <c r="J3" i="25"/>
  <c r="E34" i="26"/>
  <c r="E36" i="26"/>
  <c r="E35" i="26"/>
  <c r="E33" i="26"/>
  <c r="H28" i="26"/>
  <c r="H24" i="25" s="1"/>
  <c r="H25" i="24" s="1"/>
  <c r="H22" i="23" s="1"/>
  <c r="H20" i="56" s="1"/>
  <c r="H20" i="22" s="1"/>
  <c r="H15" i="20" s="1"/>
  <c r="H18" i="19" s="1"/>
  <c r="H21" i="18" s="1"/>
  <c r="H19" i="17" s="1"/>
  <c r="H23" i="16" s="1"/>
  <c r="H24" i="15" s="1"/>
  <c r="H26" i="14" s="1"/>
  <c r="H31" i="13" s="1"/>
  <c r="G28" i="26"/>
  <c r="G24" i="25" s="1"/>
  <c r="G25" i="24" s="1"/>
  <c r="G22" i="23" s="1"/>
  <c r="G20" i="56" s="1"/>
  <c r="G20" i="22" s="1"/>
  <c r="G15" i="20" s="1"/>
  <c r="G18" i="19" s="1"/>
  <c r="G21" i="18" s="1"/>
  <c r="G19" i="17" s="1"/>
  <c r="G23" i="16" s="1"/>
  <c r="G24" i="15" s="1"/>
  <c r="G26" i="14" s="1"/>
  <c r="G31" i="13" s="1"/>
  <c r="H4" i="26"/>
  <c r="H5" i="25" s="1"/>
  <c r="H13" i="24" s="1"/>
  <c r="H14" i="23" s="1"/>
  <c r="H19" i="56" s="1"/>
  <c r="H27" i="22" s="1"/>
  <c r="H31" i="20" s="1"/>
  <c r="H22" i="26"/>
  <c r="H18" i="25" s="1"/>
  <c r="H22" i="24" s="1"/>
  <c r="H21" i="23" s="1"/>
  <c r="H23" i="56" s="1"/>
  <c r="H21" i="22" s="1"/>
  <c r="H22" i="20" s="1"/>
  <c r="H26" i="19" s="1"/>
  <c r="H30" i="18" s="1"/>
  <c r="H23" i="26"/>
  <c r="H30" i="25" s="1"/>
  <c r="H27" i="16" s="1"/>
  <c r="I3" i="26"/>
  <c r="I4" i="26"/>
  <c r="J4" i="26" s="1"/>
  <c r="I5" i="26"/>
  <c r="J5" i="26" s="1"/>
  <c r="I6" i="26"/>
  <c r="J6" i="26" s="1"/>
  <c r="I7" i="26"/>
  <c r="I8" i="26"/>
  <c r="I9" i="26"/>
  <c r="J9" i="26" s="1"/>
  <c r="I10" i="26"/>
  <c r="I11" i="26"/>
  <c r="I12" i="26"/>
  <c r="I13" i="26"/>
  <c r="J13" i="26" s="1"/>
  <c r="I14" i="26"/>
  <c r="I15" i="26"/>
  <c r="I16" i="26"/>
  <c r="I17" i="26"/>
  <c r="J17" i="26" s="1"/>
  <c r="I18" i="26"/>
  <c r="J18" i="26" s="1"/>
  <c r="I19" i="26"/>
  <c r="J19" i="26" s="1"/>
  <c r="I20" i="26"/>
  <c r="J20" i="26" s="1"/>
  <c r="I21" i="26"/>
  <c r="J21" i="26" s="1"/>
  <c r="I22" i="26"/>
  <c r="J22" i="26" s="1"/>
  <c r="I23" i="26"/>
  <c r="J23" i="26" s="1"/>
  <c r="I24" i="26"/>
  <c r="J24" i="26" s="1"/>
  <c r="I25" i="26"/>
  <c r="I26" i="26"/>
  <c r="I27" i="26"/>
  <c r="J27" i="26" s="1"/>
  <c r="I29" i="26"/>
  <c r="J29" i="26" s="1"/>
  <c r="J2" i="26"/>
  <c r="F2" i="26"/>
  <c r="F3" i="25" s="1"/>
  <c r="F5" i="24" s="1"/>
  <c r="F4" i="23" s="1"/>
  <c r="F4" i="56" s="1"/>
  <c r="F4" i="22" s="1"/>
  <c r="F7" i="20" s="1"/>
  <c r="F14" i="19" s="1"/>
  <c r="F15" i="18" s="1"/>
  <c r="F16" i="17" s="1"/>
  <c r="F22" i="16" s="1"/>
  <c r="F27" i="15" s="1"/>
  <c r="F28" i="14" s="1"/>
  <c r="G4" i="26"/>
  <c r="G5" i="25" s="1"/>
  <c r="G13" i="24" s="1"/>
  <c r="G14" i="23" s="1"/>
  <c r="G19" i="56" s="1"/>
  <c r="G27" i="22" s="1"/>
  <c r="G31" i="20" s="1"/>
  <c r="G22" i="26"/>
  <c r="G18" i="25" s="1"/>
  <c r="G22" i="24" s="1"/>
  <c r="G21" i="23" s="1"/>
  <c r="G23" i="56" s="1"/>
  <c r="G21" i="22" s="1"/>
  <c r="G22" i="20" s="1"/>
  <c r="G26" i="19" s="1"/>
  <c r="G30" i="18" s="1"/>
  <c r="G23" i="26"/>
  <c r="G30" i="25" s="1"/>
  <c r="G27" i="16" s="1"/>
  <c r="F22" i="26"/>
  <c r="F18" i="25" s="1"/>
  <c r="F22" i="24" s="1"/>
  <c r="F21" i="23" s="1"/>
  <c r="F23" i="56" s="1"/>
  <c r="F21" i="22" s="1"/>
  <c r="F22" i="20" s="1"/>
  <c r="F26" i="19" s="1"/>
  <c r="F30" i="18" s="1"/>
  <c r="F23" i="26"/>
  <c r="F30" i="25" s="1"/>
  <c r="J25" i="26"/>
  <c r="J16" i="26"/>
  <c r="J15" i="26"/>
  <c r="J14" i="26"/>
  <c r="J12" i="26"/>
  <c r="J11" i="26"/>
  <c r="J10" i="26"/>
  <c r="J8" i="26"/>
  <c r="J7" i="26"/>
  <c r="J3" i="26"/>
  <c r="E34" i="27"/>
  <c r="F3" i="27"/>
  <c r="F4" i="26" s="1"/>
  <c r="F5" i="25" s="1"/>
  <c r="F13" i="24" s="1"/>
  <c r="F14" i="23" s="1"/>
  <c r="F19" i="56" s="1"/>
  <c r="F27" i="22" s="1"/>
  <c r="F31" i="20" s="1"/>
  <c r="F13" i="27"/>
  <c r="F20" i="27"/>
  <c r="F20" i="26" s="1"/>
  <c r="F26" i="25" s="1"/>
  <c r="F28" i="27"/>
  <c r="F29" i="26" s="1"/>
  <c r="F25" i="25" s="1"/>
  <c r="G4" i="27"/>
  <c r="G6" i="26" s="1"/>
  <c r="G5" i="27"/>
  <c r="G20" i="27"/>
  <c r="G20" i="26" s="1"/>
  <c r="G26" i="25" s="1"/>
  <c r="G24" i="23" s="1"/>
  <c r="G25" i="56" s="1"/>
  <c r="G25" i="22" s="1"/>
  <c r="G26" i="20" s="1"/>
  <c r="G25" i="19" s="1"/>
  <c r="G29" i="18" s="1"/>
  <c r="G26" i="17" s="1"/>
  <c r="G30" i="16" s="1"/>
  <c r="G28" i="27"/>
  <c r="G29" i="26" s="1"/>
  <c r="G25" i="25" s="1"/>
  <c r="G20" i="23" s="1"/>
  <c r="G22" i="56" s="1"/>
  <c r="G16" i="22" s="1"/>
  <c r="G27" i="20" s="1"/>
  <c r="G30" i="19" s="1"/>
  <c r="G28" i="17" s="1"/>
  <c r="G29" i="27"/>
  <c r="H4" i="27"/>
  <c r="H6" i="26" s="1"/>
  <c r="H5" i="27"/>
  <c r="H20" i="27"/>
  <c r="H20" i="26" s="1"/>
  <c r="H26" i="25" s="1"/>
  <c r="H24" i="23" s="1"/>
  <c r="H25" i="56" s="1"/>
  <c r="H25" i="22" s="1"/>
  <c r="H26" i="20" s="1"/>
  <c r="H25" i="19" s="1"/>
  <c r="H29" i="18" s="1"/>
  <c r="H26" i="17" s="1"/>
  <c r="H30" i="16" s="1"/>
  <c r="H28" i="27"/>
  <c r="H29" i="26" s="1"/>
  <c r="H25" i="25" s="1"/>
  <c r="H20" i="23" s="1"/>
  <c r="H22" i="56" s="1"/>
  <c r="H16" i="22" s="1"/>
  <c r="H27" i="20" s="1"/>
  <c r="H30" i="19" s="1"/>
  <c r="H28" i="17" s="1"/>
  <c r="H29" i="27"/>
  <c r="I31" i="27"/>
  <c r="J31" i="27" s="1"/>
  <c r="I27" i="27"/>
  <c r="J27" i="27" s="1"/>
  <c r="I28" i="27"/>
  <c r="J28" i="27" s="1"/>
  <c r="I29" i="27"/>
  <c r="J29" i="27" s="1"/>
  <c r="J3" i="27"/>
  <c r="I4" i="27"/>
  <c r="I5" i="27"/>
  <c r="J5" i="27" s="1"/>
  <c r="I6" i="27"/>
  <c r="J6" i="27" s="1"/>
  <c r="I7" i="27"/>
  <c r="I8" i="27"/>
  <c r="J8" i="27" s="1"/>
  <c r="I9" i="27"/>
  <c r="J9" i="27" s="1"/>
  <c r="I10" i="27"/>
  <c r="J10" i="27" s="1"/>
  <c r="I11" i="27"/>
  <c r="J11" i="27" s="1"/>
  <c r="I12" i="27"/>
  <c r="J12" i="27" s="1"/>
  <c r="J13" i="27"/>
  <c r="I14" i="27"/>
  <c r="J14" i="27" s="1"/>
  <c r="I15" i="27"/>
  <c r="J15" i="27" s="1"/>
  <c r="I16" i="27"/>
  <c r="J16" i="27" s="1"/>
  <c r="I17" i="27"/>
  <c r="J17" i="27" s="1"/>
  <c r="I18" i="27"/>
  <c r="J18" i="27" s="1"/>
  <c r="I19" i="27"/>
  <c r="J19" i="27" s="1"/>
  <c r="I20" i="27"/>
  <c r="J20" i="27" s="1"/>
  <c r="I21" i="27"/>
  <c r="J21" i="27" s="1"/>
  <c r="I22" i="27"/>
  <c r="J22" i="27" s="1"/>
  <c r="I23" i="27"/>
  <c r="J23" i="27" s="1"/>
  <c r="I24" i="27"/>
  <c r="J24" i="27" s="1"/>
  <c r="I25" i="27"/>
  <c r="J25" i="27" s="1"/>
  <c r="I2" i="27"/>
  <c r="J2" i="27" s="1"/>
  <c r="E36" i="27"/>
  <c r="E35" i="27"/>
  <c r="E33" i="27"/>
  <c r="J7" i="27"/>
  <c r="J4" i="27"/>
  <c r="E35" i="28"/>
  <c r="G2" i="28"/>
  <c r="G2" i="27" s="1"/>
  <c r="G3" i="26" s="1"/>
  <c r="G2" i="25" s="1"/>
  <c r="G2" i="24" s="1"/>
  <c r="G2" i="23" s="1"/>
  <c r="G2" i="56" s="1"/>
  <c r="G2" i="22" s="1"/>
  <c r="G2" i="20" s="1"/>
  <c r="G2" i="19" s="1"/>
  <c r="G2" i="18" s="1"/>
  <c r="G2" i="17" s="1"/>
  <c r="G3" i="16" s="1"/>
  <c r="G2" i="15" s="1"/>
  <c r="G2" i="14" s="1"/>
  <c r="G5" i="13" s="1"/>
  <c r="G4" i="12" s="1"/>
  <c r="G2" i="11" s="1"/>
  <c r="G3" i="10" s="1"/>
  <c r="G2" i="9" s="1"/>
  <c r="G2" i="8" s="1"/>
  <c r="G2" i="7" s="1"/>
  <c r="H27" i="7" l="1"/>
  <c r="H30" i="14"/>
  <c r="H31" i="11" s="1"/>
  <c r="G8" i="25"/>
  <c r="G7" i="25"/>
  <c r="G27" i="7"/>
  <c r="G30" i="14"/>
  <c r="G31" i="11" s="1"/>
  <c r="H8" i="25"/>
  <c r="H7" i="25"/>
  <c r="G7" i="26"/>
  <c r="H11" i="22"/>
  <c r="H13" i="22"/>
  <c r="H7" i="8"/>
  <c r="H15" i="8"/>
  <c r="H7" i="26"/>
  <c r="G14" i="20"/>
  <c r="G13" i="20"/>
  <c r="G9" i="9"/>
  <c r="G11" i="9"/>
  <c r="E34" i="23"/>
  <c r="E37" i="55"/>
  <c r="E36" i="55"/>
  <c r="E36" i="42"/>
  <c r="E35" i="42"/>
  <c r="E33" i="42"/>
  <c r="J2" i="42"/>
  <c r="J3" i="28"/>
  <c r="J4" i="28"/>
  <c r="I5" i="28"/>
  <c r="J5" i="28" s="1"/>
  <c r="I6" i="28"/>
  <c r="I7" i="28"/>
  <c r="J7" i="28" s="1"/>
  <c r="I8" i="28"/>
  <c r="I9" i="28"/>
  <c r="J9" i="28" s="1"/>
  <c r="I10" i="28"/>
  <c r="I11" i="28"/>
  <c r="J11" i="28" s="1"/>
  <c r="I12" i="28"/>
  <c r="J12" i="28" s="1"/>
  <c r="I13" i="28"/>
  <c r="J14" i="28"/>
  <c r="I15" i="28"/>
  <c r="J15" i="28" s="1"/>
  <c r="J16" i="28"/>
  <c r="I17" i="28"/>
  <c r="J17" i="28" s="1"/>
  <c r="I18" i="28"/>
  <c r="J18" i="28" s="1"/>
  <c r="I19" i="28"/>
  <c r="J19" i="28" s="1"/>
  <c r="I20" i="28"/>
  <c r="J20" i="28" s="1"/>
  <c r="J21" i="28"/>
  <c r="J22" i="28"/>
  <c r="I23" i="28"/>
  <c r="J23" i="28" s="1"/>
  <c r="I24" i="28"/>
  <c r="J24" i="28" s="1"/>
  <c r="I25" i="28"/>
  <c r="J25" i="28" s="1"/>
  <c r="I27" i="28"/>
  <c r="J27" i="28" s="1"/>
  <c r="I28" i="28"/>
  <c r="J28" i="28" s="1"/>
  <c r="I29" i="28"/>
  <c r="J29" i="28" s="1"/>
  <c r="I31" i="28"/>
  <c r="J31" i="28" s="1"/>
  <c r="J6" i="28"/>
  <c r="J8" i="28"/>
  <c r="J10" i="28"/>
  <c r="J13" i="28"/>
  <c r="I2" i="28"/>
  <c r="J2" i="28" s="1"/>
  <c r="H2" i="28"/>
  <c r="H2" i="27" s="1"/>
  <c r="H3" i="26" s="1"/>
  <c r="H2" i="25" s="1"/>
  <c r="H2" i="24" s="1"/>
  <c r="H2" i="23" s="1"/>
  <c r="H2" i="56" s="1"/>
  <c r="H2" i="22" s="1"/>
  <c r="H2" i="20" s="1"/>
  <c r="H2" i="19" s="1"/>
  <c r="H2" i="18" s="1"/>
  <c r="H2" i="17" s="1"/>
  <c r="H3" i="16" s="1"/>
  <c r="H2" i="15" s="1"/>
  <c r="H2" i="14" s="1"/>
  <c r="H5" i="13" s="1"/>
  <c r="H4" i="12" s="1"/>
  <c r="H2" i="11" s="1"/>
  <c r="H3" i="10" s="1"/>
  <c r="H2" i="9" s="1"/>
  <c r="H2" i="8" s="1"/>
  <c r="H2" i="7" s="1"/>
  <c r="F3" i="28"/>
  <c r="F4" i="27" s="1"/>
  <c r="F6" i="26" s="1"/>
  <c r="F7" i="25" s="1"/>
  <c r="F16" i="24" s="1"/>
  <c r="F16" i="23" s="1"/>
  <c r="F26" i="56" s="1"/>
  <c r="F4" i="28"/>
  <c r="F5" i="27" s="1"/>
  <c r="F7" i="26" s="1"/>
  <c r="F8" i="25" s="1"/>
  <c r="F18" i="24" s="1"/>
  <c r="F17" i="23" s="1"/>
  <c r="F16" i="56" s="1"/>
  <c r="F23" i="22" s="1"/>
  <c r="F30" i="20" s="1"/>
  <c r="F14" i="28"/>
  <c r="F29" i="27" s="1"/>
  <c r="F16" i="28"/>
  <c r="F21" i="28"/>
  <c r="F22" i="28"/>
  <c r="F29" i="28"/>
  <c r="F31" i="27" s="1"/>
  <c r="E37" i="28"/>
  <c r="E36" i="28"/>
  <c r="E33" i="28"/>
  <c r="E34" i="28" s="1"/>
  <c r="E34" i="29"/>
  <c r="E34" i="30"/>
  <c r="E34" i="31"/>
  <c r="E34" i="32"/>
  <c r="E34" i="33"/>
  <c r="E34" i="34"/>
  <c r="E34" i="36"/>
  <c r="I3" i="29"/>
  <c r="I4" i="29"/>
  <c r="I5" i="29"/>
  <c r="I6" i="29"/>
  <c r="I7" i="29"/>
  <c r="J7" i="29" s="1"/>
  <c r="I8" i="29"/>
  <c r="I9" i="29"/>
  <c r="I10" i="29"/>
  <c r="I11" i="29"/>
  <c r="J11" i="29" s="1"/>
  <c r="I13" i="29"/>
  <c r="I14" i="29"/>
  <c r="J14" i="29" s="1"/>
  <c r="I15" i="29"/>
  <c r="I16" i="29"/>
  <c r="J16" i="29" s="1"/>
  <c r="I17" i="29"/>
  <c r="I18" i="29"/>
  <c r="I19" i="29"/>
  <c r="J19" i="29" s="1"/>
  <c r="I20" i="29"/>
  <c r="J20" i="29" s="1"/>
  <c r="I22" i="29"/>
  <c r="J22" i="29" s="1"/>
  <c r="I23" i="29"/>
  <c r="I24" i="29"/>
  <c r="J24" i="29" s="1"/>
  <c r="I25" i="29"/>
  <c r="J25" i="29" s="1"/>
  <c r="I26" i="29"/>
  <c r="I27" i="29"/>
  <c r="J27" i="29" s="1"/>
  <c r="I28" i="29"/>
  <c r="J28" i="29" s="1"/>
  <c r="I30" i="29"/>
  <c r="J30" i="29" s="1"/>
  <c r="J2" i="29"/>
  <c r="J13" i="29"/>
  <c r="J15" i="29"/>
  <c r="J17" i="29"/>
  <c r="J21" i="29"/>
  <c r="J23" i="29"/>
  <c r="H30" i="29"/>
  <c r="H14" i="29"/>
  <c r="H25" i="28" s="1"/>
  <c r="H27" i="27" s="1"/>
  <c r="H22" i="29"/>
  <c r="H3" i="29"/>
  <c r="H9" i="28" s="1"/>
  <c r="H14" i="27" s="1"/>
  <c r="H17" i="26" s="1"/>
  <c r="H15" i="25" s="1"/>
  <c r="H26" i="24" s="1"/>
  <c r="H25" i="23" s="1"/>
  <c r="H28" i="56" s="1"/>
  <c r="G30" i="29"/>
  <c r="G14" i="29"/>
  <c r="G25" i="28" s="1"/>
  <c r="G27" i="27" s="1"/>
  <c r="G22" i="29"/>
  <c r="G3" i="29"/>
  <c r="G9" i="28" s="1"/>
  <c r="G14" i="27" s="1"/>
  <c r="G17" i="26" s="1"/>
  <c r="G15" i="25" s="1"/>
  <c r="G26" i="24" s="1"/>
  <c r="G25" i="23" s="1"/>
  <c r="G28" i="56" s="1"/>
  <c r="F2" i="29"/>
  <c r="F2" i="28" s="1"/>
  <c r="F2" i="27" s="1"/>
  <c r="F3" i="26" s="1"/>
  <c r="F2" i="25" s="1"/>
  <c r="F2" i="24" s="1"/>
  <c r="F2" i="23" s="1"/>
  <c r="F2" i="56" s="1"/>
  <c r="F2" i="22" s="1"/>
  <c r="F2" i="20" s="1"/>
  <c r="F2" i="19" s="1"/>
  <c r="F2" i="18" s="1"/>
  <c r="F2" i="17" s="1"/>
  <c r="F3" i="16" s="1"/>
  <c r="F2" i="15" s="1"/>
  <c r="F2" i="14" s="1"/>
  <c r="F5" i="13" s="1"/>
  <c r="F4" i="12" s="1"/>
  <c r="F2" i="11" s="1"/>
  <c r="F3" i="10" s="1"/>
  <c r="F2" i="9" s="1"/>
  <c r="F2" i="8" s="1"/>
  <c r="F2" i="7" s="1"/>
  <c r="F5" i="6" s="1"/>
  <c r="F4" i="5" s="1"/>
  <c r="F3" i="1" s="1"/>
  <c r="F12" i="29"/>
  <c r="F21" i="29"/>
  <c r="E36" i="29"/>
  <c r="E35" i="29"/>
  <c r="E33" i="29"/>
  <c r="J29" i="29"/>
  <c r="J26" i="29"/>
  <c r="J18" i="29"/>
  <c r="J12" i="29"/>
  <c r="J10" i="29"/>
  <c r="J9" i="29"/>
  <c r="J8" i="29"/>
  <c r="J6" i="29"/>
  <c r="J5" i="29"/>
  <c r="J4" i="29"/>
  <c r="J3" i="29"/>
  <c r="E35" i="55" l="1"/>
  <c r="G21" i="19"/>
  <c r="G20" i="19"/>
  <c r="H7" i="7"/>
  <c r="H14" i="7"/>
  <c r="H16" i="24"/>
  <c r="H18" i="24"/>
  <c r="G16" i="24"/>
  <c r="G18" i="24"/>
  <c r="H13" i="20"/>
  <c r="H14" i="20"/>
  <c r="G7" i="8"/>
  <c r="G15" i="8"/>
  <c r="F5" i="30"/>
  <c r="F14" i="29" s="1"/>
  <c r="F25" i="28" s="1"/>
  <c r="F27" i="27" s="1"/>
  <c r="F10" i="30"/>
  <c r="F22" i="29" s="1"/>
  <c r="F13" i="30"/>
  <c r="F14" i="30"/>
  <c r="F19" i="30"/>
  <c r="F27" i="30"/>
  <c r="F30" i="29" s="1"/>
  <c r="F2" i="30"/>
  <c r="F3" i="29" s="1"/>
  <c r="F9" i="28" s="1"/>
  <c r="F14" i="27" s="1"/>
  <c r="F17" i="26" s="1"/>
  <c r="F15" i="25" s="1"/>
  <c r="F26" i="24" s="1"/>
  <c r="F25" i="23" s="1"/>
  <c r="F28" i="56" s="1"/>
  <c r="I30" i="30"/>
  <c r="I31" i="30"/>
  <c r="I28" i="30"/>
  <c r="J28" i="30" s="1"/>
  <c r="I29" i="30"/>
  <c r="J29" i="30" s="1"/>
  <c r="I4" i="30"/>
  <c r="I6" i="30"/>
  <c r="I7" i="30"/>
  <c r="I8" i="30"/>
  <c r="I9" i="30"/>
  <c r="I11" i="30"/>
  <c r="I12" i="30"/>
  <c r="I15" i="30"/>
  <c r="I16" i="30"/>
  <c r="I17" i="30"/>
  <c r="I18" i="30"/>
  <c r="I20" i="30"/>
  <c r="I21" i="30"/>
  <c r="I22" i="30"/>
  <c r="I23" i="30"/>
  <c r="I24" i="30"/>
  <c r="I25" i="30"/>
  <c r="I26" i="30"/>
  <c r="I3" i="30"/>
  <c r="H29" i="30"/>
  <c r="H3" i="30"/>
  <c r="H4" i="29" s="1"/>
  <c r="H8" i="28" s="1"/>
  <c r="H10" i="27" s="1"/>
  <c r="H13" i="26" s="1"/>
  <c r="H14" i="25" s="1"/>
  <c r="H28" i="24" s="1"/>
  <c r="H26" i="23" s="1"/>
  <c r="H18" i="56" s="1"/>
  <c r="H22" i="22" s="1"/>
  <c r="H25" i="20" s="1"/>
  <c r="H31" i="19" s="1"/>
  <c r="H31" i="17" s="1"/>
  <c r="H31" i="16" s="1"/>
  <c r="G29" i="30"/>
  <c r="G3" i="30"/>
  <c r="G4" i="29" s="1"/>
  <c r="G8" i="28" s="1"/>
  <c r="G10" i="27" s="1"/>
  <c r="G13" i="26" s="1"/>
  <c r="G14" i="25" s="1"/>
  <c r="G28" i="24" s="1"/>
  <c r="G26" i="23" s="1"/>
  <c r="G18" i="56" s="1"/>
  <c r="G22" i="22" s="1"/>
  <c r="G25" i="20" s="1"/>
  <c r="G31" i="19" s="1"/>
  <c r="G31" i="17" s="1"/>
  <c r="G31" i="16" s="1"/>
  <c r="G7" i="7" l="1"/>
  <c r="G14" i="7"/>
  <c r="G16" i="23"/>
  <c r="G17" i="23"/>
  <c r="G25" i="18"/>
  <c r="G27" i="18"/>
  <c r="H21" i="19"/>
  <c r="H20" i="19"/>
  <c r="H16" i="23"/>
  <c r="H17" i="23"/>
  <c r="E36" i="30"/>
  <c r="E35" i="30"/>
  <c r="E33" i="30"/>
  <c r="J31" i="30"/>
  <c r="J30" i="30"/>
  <c r="J27" i="30"/>
  <c r="J26" i="30"/>
  <c r="J25" i="30"/>
  <c r="J24" i="30"/>
  <c r="J23" i="30"/>
  <c r="J22" i="30"/>
  <c r="J21" i="30"/>
  <c r="J20" i="30"/>
  <c r="J19" i="30"/>
  <c r="J18" i="30"/>
  <c r="J17" i="30"/>
  <c r="J16" i="30"/>
  <c r="J15" i="30"/>
  <c r="J14" i="30"/>
  <c r="J13" i="30"/>
  <c r="J12" i="30"/>
  <c r="J11" i="30"/>
  <c r="J10" i="30"/>
  <c r="J9" i="30"/>
  <c r="J8" i="30"/>
  <c r="J7" i="30"/>
  <c r="J6" i="30"/>
  <c r="J5" i="30"/>
  <c r="J4" i="30"/>
  <c r="J3" i="30"/>
  <c r="J2" i="30"/>
  <c r="F13" i="31"/>
  <c r="F2" i="31"/>
  <c r="I3" i="31"/>
  <c r="J3" i="31" s="1"/>
  <c r="I4" i="31"/>
  <c r="J4" i="31" s="1"/>
  <c r="I5" i="31"/>
  <c r="J5" i="31" s="1"/>
  <c r="I6" i="31"/>
  <c r="J6" i="31" s="1"/>
  <c r="I7" i="31"/>
  <c r="J7" i="31" s="1"/>
  <c r="I8" i="31"/>
  <c r="J8" i="31" s="1"/>
  <c r="I9" i="31"/>
  <c r="J9" i="31" s="1"/>
  <c r="I10" i="31"/>
  <c r="J10" i="31" s="1"/>
  <c r="I11" i="31"/>
  <c r="J11" i="31" s="1"/>
  <c r="I12" i="31"/>
  <c r="J13" i="31"/>
  <c r="I14" i="31"/>
  <c r="J14" i="31" s="1"/>
  <c r="I15" i="31"/>
  <c r="J15" i="31" s="1"/>
  <c r="I16" i="31"/>
  <c r="J16" i="31" s="1"/>
  <c r="I17" i="31"/>
  <c r="J17" i="31" s="1"/>
  <c r="I18" i="31"/>
  <c r="J18" i="31" s="1"/>
  <c r="I19" i="31"/>
  <c r="J19" i="31" s="1"/>
  <c r="I20" i="31"/>
  <c r="J20" i="31" s="1"/>
  <c r="I21" i="31"/>
  <c r="J21" i="31" s="1"/>
  <c r="I22" i="31"/>
  <c r="J22" i="31" s="1"/>
  <c r="I23" i="31"/>
  <c r="J23" i="31" s="1"/>
  <c r="I24" i="31"/>
  <c r="J24" i="31" s="1"/>
  <c r="J25" i="31"/>
  <c r="I26" i="31"/>
  <c r="J26" i="31" s="1"/>
  <c r="I27" i="31"/>
  <c r="J27" i="31" s="1"/>
  <c r="I30" i="31"/>
  <c r="J30" i="31" s="1"/>
  <c r="I31" i="31"/>
  <c r="J31" i="31" s="1"/>
  <c r="J2" i="31"/>
  <c r="H27" i="31"/>
  <c r="G27" i="31"/>
  <c r="E36" i="31"/>
  <c r="E35" i="31"/>
  <c r="E33" i="31"/>
  <c r="J12" i="31"/>
  <c r="I2" i="32"/>
  <c r="J2" i="32" s="1"/>
  <c r="I3" i="32"/>
  <c r="I4" i="32"/>
  <c r="I5" i="32"/>
  <c r="I6" i="32"/>
  <c r="I8" i="32"/>
  <c r="I9" i="32"/>
  <c r="I10" i="32"/>
  <c r="I11" i="32"/>
  <c r="I13" i="32"/>
  <c r="I15" i="32"/>
  <c r="I16" i="32"/>
  <c r="J16" i="32" s="1"/>
  <c r="I17" i="32"/>
  <c r="I18" i="32"/>
  <c r="I20" i="32"/>
  <c r="I21" i="32"/>
  <c r="J21" i="32" s="1"/>
  <c r="I22" i="32"/>
  <c r="I23" i="32"/>
  <c r="J23" i="32" s="1"/>
  <c r="J24" i="32"/>
  <c r="I25" i="32"/>
  <c r="J25" i="32" s="1"/>
  <c r="I26" i="32"/>
  <c r="J26" i="32" s="1"/>
  <c r="I27" i="32"/>
  <c r="J27" i="32" s="1"/>
  <c r="I28" i="32"/>
  <c r="J29" i="32"/>
  <c r="I30" i="32"/>
  <c r="J30" i="32" s="1"/>
  <c r="I31" i="32"/>
  <c r="J31" i="32" s="1"/>
  <c r="J20" i="32"/>
  <c r="J7" i="32"/>
  <c r="J3" i="32"/>
  <c r="J4" i="32"/>
  <c r="J5" i="32"/>
  <c r="J8" i="32"/>
  <c r="J12" i="32"/>
  <c r="J9" i="32"/>
  <c r="F7" i="32"/>
  <c r="F27" i="31" s="1"/>
  <c r="F12" i="32"/>
  <c r="F14" i="32"/>
  <c r="F19" i="32"/>
  <c r="F24" i="32"/>
  <c r="F29" i="32"/>
  <c r="J11" i="32"/>
  <c r="J14" i="32"/>
  <c r="J15" i="32"/>
  <c r="J19" i="32"/>
  <c r="H3" i="32"/>
  <c r="H16" i="31" s="1"/>
  <c r="H9" i="32"/>
  <c r="H23" i="32"/>
  <c r="H23" i="31" s="1"/>
  <c r="G3" i="32"/>
  <c r="G8" i="31" s="1"/>
  <c r="G9" i="32"/>
  <c r="G23" i="32"/>
  <c r="G23" i="31" s="1"/>
  <c r="E37" i="32"/>
  <c r="E36" i="32"/>
  <c r="E33" i="32"/>
  <c r="E35" i="32" s="1"/>
  <c r="J28" i="32"/>
  <c r="J22" i="32"/>
  <c r="J18" i="32"/>
  <c r="J17" i="32"/>
  <c r="J13" i="32"/>
  <c r="J10" i="32"/>
  <c r="J6" i="32"/>
  <c r="F3" i="33"/>
  <c r="F9" i="32" s="1"/>
  <c r="F16" i="31" s="1"/>
  <c r="F5" i="33"/>
  <c r="F23" i="32" s="1"/>
  <c r="F23" i="31" s="1"/>
  <c r="F10" i="33"/>
  <c r="F12" i="33"/>
  <c r="F29" i="33"/>
  <c r="F31" i="33"/>
  <c r="F2" i="33"/>
  <c r="F3" i="32" s="1"/>
  <c r="F8" i="31" s="1"/>
  <c r="I3" i="33"/>
  <c r="I4" i="33"/>
  <c r="I5" i="33"/>
  <c r="I6" i="33"/>
  <c r="I7" i="33"/>
  <c r="I8" i="33"/>
  <c r="I9" i="33"/>
  <c r="I10" i="33"/>
  <c r="I11" i="33"/>
  <c r="I12" i="33"/>
  <c r="I13" i="33"/>
  <c r="I14" i="33"/>
  <c r="I15" i="33"/>
  <c r="I16" i="33"/>
  <c r="I17" i="33"/>
  <c r="I18" i="33"/>
  <c r="I19" i="33"/>
  <c r="I20" i="33"/>
  <c r="I21" i="33"/>
  <c r="I22" i="33"/>
  <c r="I23" i="33"/>
  <c r="I24" i="33"/>
  <c r="I25" i="33"/>
  <c r="J25" i="33" s="1"/>
  <c r="I26" i="33"/>
  <c r="I27" i="33"/>
  <c r="I28" i="33"/>
  <c r="J28" i="33" s="1"/>
  <c r="I29" i="33"/>
  <c r="I30" i="33"/>
  <c r="J30" i="33" s="1"/>
  <c r="I31" i="33"/>
  <c r="J31" i="33" s="1"/>
  <c r="I2" i="33"/>
  <c r="J2" i="33" s="1"/>
  <c r="H8" i="33"/>
  <c r="H21" i="32" s="1"/>
  <c r="H18" i="31" s="1"/>
  <c r="H24" i="30" s="1"/>
  <c r="H23" i="29" s="1"/>
  <c r="H31" i="28" s="1"/>
  <c r="H25" i="33"/>
  <c r="G8" i="33"/>
  <c r="G21" i="32" s="1"/>
  <c r="G18" i="31" s="1"/>
  <c r="G24" i="30" s="1"/>
  <c r="G23" i="29" s="1"/>
  <c r="G31" i="28" s="1"/>
  <c r="G25" i="33"/>
  <c r="E36" i="33"/>
  <c r="E35" i="33"/>
  <c r="E33" i="33"/>
  <c r="J29" i="33"/>
  <c r="J27" i="33"/>
  <c r="J26" i="33"/>
  <c r="J24" i="33"/>
  <c r="J23" i="33"/>
  <c r="J22" i="33"/>
  <c r="J21" i="33"/>
  <c r="J20" i="33"/>
  <c r="J19" i="33"/>
  <c r="J18" i="33"/>
  <c r="J17" i="33"/>
  <c r="J16" i="33"/>
  <c r="J15" i="33"/>
  <c r="J14" i="33"/>
  <c r="J13" i="33"/>
  <c r="J12" i="33"/>
  <c r="J11" i="33"/>
  <c r="J10" i="33"/>
  <c r="J9" i="33"/>
  <c r="J8" i="33"/>
  <c r="J7" i="33"/>
  <c r="J6" i="33"/>
  <c r="J5" i="33"/>
  <c r="J4" i="33"/>
  <c r="J3" i="33"/>
  <c r="I2" i="34"/>
  <c r="J2" i="34" s="1"/>
  <c r="I3" i="34"/>
  <c r="J3" i="34" s="1"/>
  <c r="I4" i="34"/>
  <c r="I5" i="34"/>
  <c r="I6" i="34"/>
  <c r="I7" i="34"/>
  <c r="J7" i="34" s="1"/>
  <c r="I8" i="34"/>
  <c r="I9" i="34"/>
  <c r="I10" i="34"/>
  <c r="I11" i="34"/>
  <c r="J11" i="34" s="1"/>
  <c r="I12" i="34"/>
  <c r="I13" i="34"/>
  <c r="I14" i="34"/>
  <c r="I15" i="34"/>
  <c r="J15" i="34" s="1"/>
  <c r="I16" i="34"/>
  <c r="I17" i="34"/>
  <c r="I18" i="34"/>
  <c r="I19" i="34"/>
  <c r="J19" i="34" s="1"/>
  <c r="I20" i="34"/>
  <c r="I21" i="34"/>
  <c r="I22" i="34"/>
  <c r="I23" i="34"/>
  <c r="J23" i="34" s="1"/>
  <c r="I24" i="34"/>
  <c r="I25" i="34"/>
  <c r="I26" i="34"/>
  <c r="I27" i="34"/>
  <c r="J27" i="34" s="1"/>
  <c r="I28" i="34"/>
  <c r="I29" i="34"/>
  <c r="J29" i="34" s="1"/>
  <c r="I30" i="34"/>
  <c r="J30" i="34" s="1"/>
  <c r="I31" i="34"/>
  <c r="J31" i="34" s="1"/>
  <c r="F2" i="34"/>
  <c r="F8" i="33" s="1"/>
  <c r="F21" i="32" s="1"/>
  <c r="F18" i="31" s="1"/>
  <c r="F10" i="34"/>
  <c r="F12" i="34"/>
  <c r="F25" i="33" s="1"/>
  <c r="F30" i="34"/>
  <c r="H4" i="34"/>
  <c r="H17" i="33" s="1"/>
  <c r="H25" i="32" s="1"/>
  <c r="H21" i="31" s="1"/>
  <c r="H28" i="30" s="1"/>
  <c r="G4" i="34"/>
  <c r="G17" i="33" s="1"/>
  <c r="G25" i="32" s="1"/>
  <c r="G21" i="31" s="1"/>
  <c r="G28" i="30" s="1"/>
  <c r="E36" i="34"/>
  <c r="E35" i="34"/>
  <c r="E33" i="34"/>
  <c r="J28" i="34"/>
  <c r="J26" i="34"/>
  <c r="J25" i="34"/>
  <c r="J24" i="34"/>
  <c r="J22" i="34"/>
  <c r="J21" i="34"/>
  <c r="J20" i="34"/>
  <c r="J18" i="34"/>
  <c r="J17" i="34"/>
  <c r="J16" i="34"/>
  <c r="J14" i="34"/>
  <c r="J13" i="34"/>
  <c r="J12" i="34"/>
  <c r="J10" i="34"/>
  <c r="J9" i="34"/>
  <c r="J8" i="34"/>
  <c r="J6" i="34"/>
  <c r="J5" i="34"/>
  <c r="J4" i="34"/>
  <c r="G26" i="56" l="1"/>
  <c r="G16" i="56"/>
  <c r="G23" i="22" s="1"/>
  <c r="G30" i="20" s="1"/>
  <c r="H25" i="18"/>
  <c r="H27" i="18"/>
  <c r="H26" i="56"/>
  <c r="H16" i="56"/>
  <c r="H23" i="22" s="1"/>
  <c r="H30" i="20" s="1"/>
  <c r="G24" i="17"/>
  <c r="G27" i="17"/>
  <c r="H8" i="31"/>
  <c r="H20" i="30" s="1"/>
  <c r="G16" i="31"/>
  <c r="F24" i="30"/>
  <c r="F23" i="29" s="1"/>
  <c r="F31" i="28" s="1"/>
  <c r="F23" i="30"/>
  <c r="F28" i="29" s="1"/>
  <c r="F20" i="30"/>
  <c r="F27" i="29" s="1"/>
  <c r="F3" i="30"/>
  <c r="F4" i="29" s="1"/>
  <c r="F8" i="28" s="1"/>
  <c r="F10" i="27" s="1"/>
  <c r="F13" i="26" s="1"/>
  <c r="F14" i="25" s="1"/>
  <c r="F28" i="24" s="1"/>
  <c r="F26" i="23" s="1"/>
  <c r="F18" i="56" s="1"/>
  <c r="F22" i="22" s="1"/>
  <c r="F25" i="20" s="1"/>
  <c r="F31" i="19" s="1"/>
  <c r="F29" i="30"/>
  <c r="G20" i="30"/>
  <c r="G23" i="30"/>
  <c r="I2" i="35"/>
  <c r="J2" i="35" s="1"/>
  <c r="I4" i="35"/>
  <c r="J4" i="35" s="1"/>
  <c r="I5" i="35"/>
  <c r="J5" i="35" s="1"/>
  <c r="I6" i="35"/>
  <c r="J6" i="35" s="1"/>
  <c r="I7" i="35"/>
  <c r="J7" i="35" s="1"/>
  <c r="I8" i="35"/>
  <c r="J8" i="35" s="1"/>
  <c r="I9" i="35"/>
  <c r="J9" i="35" s="1"/>
  <c r="I10" i="35"/>
  <c r="J10" i="35" s="1"/>
  <c r="I11" i="35"/>
  <c r="J11" i="35" s="1"/>
  <c r="I12" i="35"/>
  <c r="J12" i="35" s="1"/>
  <c r="I13" i="35"/>
  <c r="J13" i="35" s="1"/>
  <c r="I14" i="35"/>
  <c r="J14" i="35" s="1"/>
  <c r="I15" i="35"/>
  <c r="J15" i="35" s="1"/>
  <c r="I16" i="35"/>
  <c r="J16" i="35" s="1"/>
  <c r="I17" i="35"/>
  <c r="J17" i="35" s="1"/>
  <c r="I18" i="35"/>
  <c r="J18" i="35" s="1"/>
  <c r="I19" i="35"/>
  <c r="J19" i="35" s="1"/>
  <c r="I20" i="35"/>
  <c r="J20" i="35" s="1"/>
  <c r="I21" i="35"/>
  <c r="J21" i="35" s="1"/>
  <c r="I22" i="35"/>
  <c r="J22" i="35" s="1"/>
  <c r="I23" i="35"/>
  <c r="J23" i="35" s="1"/>
  <c r="I24" i="35"/>
  <c r="J24" i="35" s="1"/>
  <c r="I27" i="35"/>
  <c r="J27" i="35" s="1"/>
  <c r="I28" i="35"/>
  <c r="J28" i="35" s="1"/>
  <c r="I29" i="35"/>
  <c r="J29" i="35" s="1"/>
  <c r="I30" i="35"/>
  <c r="J30" i="35" s="1"/>
  <c r="I31" i="35"/>
  <c r="J31" i="35" s="1"/>
  <c r="I3" i="35"/>
  <c r="J3" i="35" s="1"/>
  <c r="H5" i="35"/>
  <c r="H11" i="34" s="1"/>
  <c r="H20" i="33" s="1"/>
  <c r="H26" i="32" s="1"/>
  <c r="H30" i="31" s="1"/>
  <c r="H10" i="35"/>
  <c r="H14" i="34" s="1"/>
  <c r="H21" i="33" s="1"/>
  <c r="H30" i="32" s="1"/>
  <c r="H31" i="31" s="1"/>
  <c r="H20" i="35"/>
  <c r="H29" i="34" s="1"/>
  <c r="H23" i="35"/>
  <c r="H27" i="34" s="1"/>
  <c r="H25" i="35"/>
  <c r="H30" i="34" s="1"/>
  <c r="H30" i="35"/>
  <c r="G25" i="35"/>
  <c r="G30" i="34" s="1"/>
  <c r="F29" i="35"/>
  <c r="F24" i="34" s="1"/>
  <c r="F27" i="33" s="1"/>
  <c r="F31" i="35"/>
  <c r="F2" i="35"/>
  <c r="F4" i="34" s="1"/>
  <c r="F17" i="33" s="1"/>
  <c r="F25" i="32" s="1"/>
  <c r="F21" i="31" s="1"/>
  <c r="E36" i="35"/>
  <c r="E35" i="35"/>
  <c r="E33" i="35"/>
  <c r="E34" i="35" s="1"/>
  <c r="H24" i="17" l="1"/>
  <c r="H27" i="17"/>
  <c r="H23" i="30"/>
  <c r="H28" i="29"/>
  <c r="H27" i="29"/>
  <c r="G27" i="29"/>
  <c r="G28" i="29"/>
  <c r="F28" i="30"/>
  <c r="H28" i="36"/>
  <c r="H31" i="35" s="1"/>
  <c r="H31" i="29" s="1"/>
  <c r="G28" i="36"/>
  <c r="G31" i="35" s="1"/>
  <c r="G31" i="29" s="1"/>
  <c r="H23" i="36"/>
  <c r="G23" i="36"/>
  <c r="J31" i="36"/>
  <c r="I3" i="36"/>
  <c r="J3" i="36" s="1"/>
  <c r="I4" i="36"/>
  <c r="J4" i="36" s="1"/>
  <c r="I5" i="36"/>
  <c r="I6" i="36"/>
  <c r="J6" i="36" s="1"/>
  <c r="I7" i="36"/>
  <c r="I8" i="36"/>
  <c r="J8" i="36" s="1"/>
  <c r="I9" i="36"/>
  <c r="I10" i="36"/>
  <c r="J10" i="36" s="1"/>
  <c r="I11" i="36"/>
  <c r="J11" i="36" s="1"/>
  <c r="I12" i="36"/>
  <c r="J12" i="36" s="1"/>
  <c r="I13" i="36"/>
  <c r="I14" i="36"/>
  <c r="J14" i="36" s="1"/>
  <c r="I15" i="36"/>
  <c r="I16" i="36"/>
  <c r="J16" i="36" s="1"/>
  <c r="I17" i="36"/>
  <c r="I18" i="36"/>
  <c r="J18" i="36" s="1"/>
  <c r="I19" i="36"/>
  <c r="I20" i="36"/>
  <c r="J20" i="36" s="1"/>
  <c r="I21" i="36"/>
  <c r="I22" i="36"/>
  <c r="J22" i="36" s="1"/>
  <c r="I24" i="36"/>
  <c r="I25" i="36"/>
  <c r="J25" i="36" s="1"/>
  <c r="I26" i="36"/>
  <c r="J26" i="36" s="1"/>
  <c r="I27" i="36"/>
  <c r="J27" i="36" s="1"/>
  <c r="I29" i="36"/>
  <c r="J29" i="36" s="1"/>
  <c r="I2" i="36"/>
  <c r="J2" i="36" s="1"/>
  <c r="E37" i="36"/>
  <c r="E36" i="36"/>
  <c r="E33" i="36"/>
  <c r="J24" i="36"/>
  <c r="H22" i="36"/>
  <c r="G22" i="36"/>
  <c r="G23" i="35" s="1"/>
  <c r="G27" i="34" s="1"/>
  <c r="J21" i="36"/>
  <c r="H21" i="36"/>
  <c r="G21" i="36"/>
  <c r="G30" i="35" s="1"/>
  <c r="J19" i="36"/>
  <c r="H18" i="36"/>
  <c r="G18" i="36"/>
  <c r="G20" i="35" s="1"/>
  <c r="G29" i="34" s="1"/>
  <c r="J17" i="36"/>
  <c r="J15" i="36"/>
  <c r="J13" i="36"/>
  <c r="J9" i="36"/>
  <c r="J7" i="36"/>
  <c r="J5" i="36"/>
  <c r="H5" i="36"/>
  <c r="G5" i="36"/>
  <c r="G10" i="35" s="1"/>
  <c r="G14" i="34" s="1"/>
  <c r="G21" i="33" s="1"/>
  <c r="G30" i="32" s="1"/>
  <c r="G31" i="31" s="1"/>
  <c r="H4" i="36"/>
  <c r="G4" i="36"/>
  <c r="G5" i="35" s="1"/>
  <c r="G11" i="34" s="1"/>
  <c r="G20" i="33" s="1"/>
  <c r="G26" i="32" s="1"/>
  <c r="G30" i="31" s="1"/>
  <c r="J31" i="37"/>
  <c r="J24" i="37"/>
  <c r="E34" i="37"/>
  <c r="H5" i="37"/>
  <c r="H12" i="37"/>
  <c r="H17" i="37"/>
  <c r="H25" i="37"/>
  <c r="H29" i="37"/>
  <c r="F15" i="37"/>
  <c r="F20" i="37"/>
  <c r="F25" i="37"/>
  <c r="F22" i="36" s="1"/>
  <c r="F23" i="35" s="1"/>
  <c r="F27" i="34" s="1"/>
  <c r="F29" i="37"/>
  <c r="I3" i="37"/>
  <c r="J3" i="37" s="1"/>
  <c r="I4" i="37"/>
  <c r="J4" i="37" s="1"/>
  <c r="I5" i="37"/>
  <c r="I6" i="37"/>
  <c r="I7" i="37"/>
  <c r="J7" i="37" s="1"/>
  <c r="I8" i="37"/>
  <c r="J8" i="37" s="1"/>
  <c r="I9" i="37"/>
  <c r="J9" i="37" s="1"/>
  <c r="I10" i="37"/>
  <c r="J10" i="37" s="1"/>
  <c r="I11" i="37"/>
  <c r="J11" i="37" s="1"/>
  <c r="I12" i="37"/>
  <c r="J12" i="37" s="1"/>
  <c r="I13" i="37"/>
  <c r="J13" i="37" s="1"/>
  <c r="I14" i="37"/>
  <c r="J14" i="37" s="1"/>
  <c r="I15" i="37"/>
  <c r="J15" i="37" s="1"/>
  <c r="I16" i="37"/>
  <c r="J16" i="37" s="1"/>
  <c r="I17" i="37"/>
  <c r="J17" i="37" s="1"/>
  <c r="I18" i="37"/>
  <c r="J18" i="37" s="1"/>
  <c r="I19" i="37"/>
  <c r="I20" i="37"/>
  <c r="J20" i="37" s="1"/>
  <c r="I21" i="37"/>
  <c r="J21" i="37" s="1"/>
  <c r="I22" i="37"/>
  <c r="J22" i="37" s="1"/>
  <c r="I23" i="37"/>
  <c r="J23" i="37" s="1"/>
  <c r="I24" i="37"/>
  <c r="I25" i="37"/>
  <c r="J25" i="37" s="1"/>
  <c r="I26" i="37"/>
  <c r="I27" i="37"/>
  <c r="J27" i="37" s="1"/>
  <c r="I28" i="37"/>
  <c r="J28" i="37" s="1"/>
  <c r="I29" i="37"/>
  <c r="J29" i="37" s="1"/>
  <c r="I30" i="37"/>
  <c r="J30" i="37" s="1"/>
  <c r="I31" i="37"/>
  <c r="I2" i="37"/>
  <c r="J2" i="37" s="1"/>
  <c r="J5" i="37"/>
  <c r="J6" i="37"/>
  <c r="G2" i="37"/>
  <c r="G5" i="37"/>
  <c r="G12" i="37"/>
  <c r="G17" i="37"/>
  <c r="G25" i="37"/>
  <c r="G29" i="37"/>
  <c r="J26" i="37"/>
  <c r="H2" i="37"/>
  <c r="E36" i="37"/>
  <c r="E35" i="37"/>
  <c r="E33" i="37"/>
  <c r="J19" i="37"/>
  <c r="J25" i="38"/>
  <c r="J26" i="38"/>
  <c r="J27" i="38"/>
  <c r="J28" i="38"/>
  <c r="J29" i="38"/>
  <c r="J30" i="38"/>
  <c r="J3" i="38"/>
  <c r="J4" i="38"/>
  <c r="J5" i="38"/>
  <c r="J6" i="38"/>
  <c r="J7" i="38"/>
  <c r="J8" i="38"/>
  <c r="J9" i="38"/>
  <c r="J10" i="38"/>
  <c r="J11" i="38"/>
  <c r="J12" i="38"/>
  <c r="J13" i="38"/>
  <c r="J14" i="38"/>
  <c r="J15" i="38"/>
  <c r="J16" i="38"/>
  <c r="J17" i="38"/>
  <c r="J18" i="38"/>
  <c r="J19" i="38"/>
  <c r="J20" i="38"/>
  <c r="J21" i="38"/>
  <c r="J22" i="38"/>
  <c r="J23" i="38"/>
  <c r="J2" i="38"/>
  <c r="E36" i="38"/>
  <c r="E35" i="38"/>
  <c r="E33" i="38"/>
  <c r="E34" i="38" s="1"/>
  <c r="E34" i="39"/>
  <c r="I30" i="38" l="1"/>
  <c r="I28" i="38"/>
  <c r="I29" i="38"/>
  <c r="I26" i="38"/>
  <c r="I27" i="38"/>
  <c r="I25" i="38"/>
  <c r="I22" i="38"/>
  <c r="I23" i="38"/>
  <c r="I21" i="38"/>
  <c r="I3" i="38"/>
  <c r="I4" i="38"/>
  <c r="I5" i="38"/>
  <c r="I6" i="38"/>
  <c r="I7" i="38"/>
  <c r="I8" i="38"/>
  <c r="I9" i="38"/>
  <c r="I10" i="38"/>
  <c r="I11" i="38"/>
  <c r="I12" i="38"/>
  <c r="I13" i="38"/>
  <c r="I14" i="38"/>
  <c r="I15" i="38"/>
  <c r="I16" i="38"/>
  <c r="I17" i="38"/>
  <c r="I18" i="38"/>
  <c r="I19" i="38"/>
  <c r="I20" i="38"/>
  <c r="I2" i="38"/>
  <c r="H20" i="38"/>
  <c r="H21" i="35" s="1"/>
  <c r="H26" i="34" s="1"/>
  <c r="H26" i="38"/>
  <c r="G20" i="38"/>
  <c r="G26" i="38"/>
  <c r="F2" i="38"/>
  <c r="F3" i="38"/>
  <c r="F6" i="38"/>
  <c r="F7" i="38"/>
  <c r="F13" i="38"/>
  <c r="F20" i="38"/>
  <c r="F26" i="38"/>
  <c r="F26" i="37" s="1"/>
  <c r="F26" i="36" s="1"/>
  <c r="F28" i="35" s="1"/>
  <c r="F28" i="34" s="1"/>
  <c r="H3" i="39"/>
  <c r="H5" i="38" s="1"/>
  <c r="H3" i="35" s="1"/>
  <c r="H6" i="34" s="1"/>
  <c r="H6" i="33" s="1"/>
  <c r="H8" i="32" s="1"/>
  <c r="H7" i="31" s="1"/>
  <c r="H4" i="39"/>
  <c r="H9" i="38" s="1"/>
  <c r="H8" i="35" s="1"/>
  <c r="H5" i="34" s="1"/>
  <c r="H7" i="33" s="1"/>
  <c r="H4" i="32" s="1"/>
  <c r="H4" i="31" s="1"/>
  <c r="H5" i="39"/>
  <c r="H8" i="38" s="1"/>
  <c r="H6" i="35" s="1"/>
  <c r="H7" i="34" s="1"/>
  <c r="H13" i="33" s="1"/>
  <c r="H11" i="32" s="1"/>
  <c r="H11" i="31" s="1"/>
  <c r="H15" i="30" s="1"/>
  <c r="H13" i="29" s="1"/>
  <c r="H20" i="28" s="1"/>
  <c r="H19" i="27" s="1"/>
  <c r="H18" i="26" s="1"/>
  <c r="H21" i="25" s="1"/>
  <c r="H23" i="24" s="1"/>
  <c r="H11" i="23" s="1"/>
  <c r="H10" i="56" s="1"/>
  <c r="H8" i="22" s="1"/>
  <c r="H9" i="20" s="1"/>
  <c r="H15" i="19" s="1"/>
  <c r="H17" i="18" s="1"/>
  <c r="H13" i="17" s="1"/>
  <c r="H16" i="16" s="1"/>
  <c r="H18" i="15" s="1"/>
  <c r="H19" i="14" s="1"/>
  <c r="H19" i="13" s="1"/>
  <c r="H17" i="12" s="1"/>
  <c r="H17" i="11" s="1"/>
  <c r="H21" i="10" s="1"/>
  <c r="H19" i="9" s="1"/>
  <c r="H18" i="8" s="1"/>
  <c r="H20" i="7" s="1"/>
  <c r="H6" i="39"/>
  <c r="H11" i="38" s="1"/>
  <c r="H7" i="35" s="1"/>
  <c r="H8" i="34" s="1"/>
  <c r="H9" i="33" s="1"/>
  <c r="H6" i="32" s="1"/>
  <c r="H6" i="31" s="1"/>
  <c r="H7" i="39"/>
  <c r="H10" i="38" s="1"/>
  <c r="H9" i="35" s="1"/>
  <c r="H9" i="34" s="1"/>
  <c r="H11" i="33" s="1"/>
  <c r="H5" i="32" s="1"/>
  <c r="H5" i="31" s="1"/>
  <c r="H8" i="39"/>
  <c r="H12" i="38" s="1"/>
  <c r="H14" i="35" s="1"/>
  <c r="H17" i="34" s="1"/>
  <c r="H18" i="33" s="1"/>
  <c r="H17" i="32" s="1"/>
  <c r="H15" i="31" s="1"/>
  <c r="H9" i="39"/>
  <c r="H14" i="38" s="1"/>
  <c r="H11" i="35" s="1"/>
  <c r="H13" i="34" s="1"/>
  <c r="H14" i="33" s="1"/>
  <c r="H10" i="32" s="1"/>
  <c r="H9" i="31" s="1"/>
  <c r="H10" i="39"/>
  <c r="H15" i="38" s="1"/>
  <c r="H16" i="35" s="1"/>
  <c r="H19" i="34" s="1"/>
  <c r="H24" i="33" s="1"/>
  <c r="H20" i="32" s="1"/>
  <c r="H19" i="31" s="1"/>
  <c r="H11" i="39"/>
  <c r="H16" i="38" s="1"/>
  <c r="H12" i="35" s="1"/>
  <c r="H15" i="34" s="1"/>
  <c r="H15" i="33" s="1"/>
  <c r="H13" i="32" s="1"/>
  <c r="H10" i="31" s="1"/>
  <c r="H11" i="30" s="1"/>
  <c r="H10" i="29" s="1"/>
  <c r="H12" i="28" s="1"/>
  <c r="H15" i="27" s="1"/>
  <c r="H14" i="26" s="1"/>
  <c r="H12" i="25" s="1"/>
  <c r="H12" i="24" s="1"/>
  <c r="H10" i="23" s="1"/>
  <c r="H6" i="56" s="1"/>
  <c r="H6" i="22" s="1"/>
  <c r="H4" i="20" s="1"/>
  <c r="H7" i="19" s="1"/>
  <c r="H8" i="18" s="1"/>
  <c r="H6" i="17" s="1"/>
  <c r="H10" i="16" s="1"/>
  <c r="H10" i="15" s="1"/>
  <c r="H7" i="14" s="1"/>
  <c r="H10" i="13" s="1"/>
  <c r="H13" i="12" s="1"/>
  <c r="H12" i="11" s="1"/>
  <c r="H14" i="10" s="1"/>
  <c r="H15" i="9" s="1"/>
  <c r="H12" i="8" s="1"/>
  <c r="H10" i="7" s="1"/>
  <c r="H12" i="39"/>
  <c r="H17" i="38" s="1"/>
  <c r="H15" i="35" s="1"/>
  <c r="H18" i="34" s="1"/>
  <c r="H19" i="33" s="1"/>
  <c r="H16" i="32" s="1"/>
  <c r="H14" i="31" s="1"/>
  <c r="H17" i="30" s="1"/>
  <c r="H15" i="29" s="1"/>
  <c r="H17" i="28" s="1"/>
  <c r="H18" i="27" s="1"/>
  <c r="H19" i="26" s="1"/>
  <c r="H22" i="25" s="1"/>
  <c r="H24" i="24" s="1"/>
  <c r="H18" i="23" s="1"/>
  <c r="H14" i="56" s="1"/>
  <c r="H19" i="22" s="1"/>
  <c r="H17" i="20" s="1"/>
  <c r="H17" i="19" s="1"/>
  <c r="H20" i="18" s="1"/>
  <c r="H15" i="17" s="1"/>
  <c r="H18" i="16" s="1"/>
  <c r="H20" i="15" s="1"/>
  <c r="H20" i="14" s="1"/>
  <c r="H17" i="13" s="1"/>
  <c r="H20" i="12" s="1"/>
  <c r="H21" i="11" s="1"/>
  <c r="H24" i="10" s="1"/>
  <c r="H21" i="9" s="1"/>
  <c r="H20" i="8" s="1"/>
  <c r="H22" i="7" s="1"/>
  <c r="H13" i="39"/>
  <c r="H18" i="38" s="1"/>
  <c r="H14" i="39"/>
  <c r="H19" i="38" s="1"/>
  <c r="H13" i="35" s="1"/>
  <c r="H16" i="34" s="1"/>
  <c r="H16" i="33" s="1"/>
  <c r="H15" i="32" s="1"/>
  <c r="H12" i="31" s="1"/>
  <c r="H15" i="39"/>
  <c r="H21" i="38" s="1"/>
  <c r="H18" i="35" s="1"/>
  <c r="H21" i="34" s="1"/>
  <c r="H22" i="33" s="1"/>
  <c r="H18" i="32" s="1"/>
  <c r="H17" i="31" s="1"/>
  <c r="H17" i="39"/>
  <c r="H22" i="38" s="1"/>
  <c r="H18" i="39"/>
  <c r="H25" i="38" s="1"/>
  <c r="H31" i="37" s="1"/>
  <c r="H19" i="39"/>
  <c r="H27" i="38" s="1"/>
  <c r="H20" i="39"/>
  <c r="H23" i="38" s="1"/>
  <c r="H22" i="39"/>
  <c r="H29" i="38" s="1"/>
  <c r="H31" i="26" s="1"/>
  <c r="H31" i="25" s="1"/>
  <c r="H30" i="23" s="1"/>
  <c r="H30" i="56" s="1"/>
  <c r="H23" i="39"/>
  <c r="H30" i="38" s="1"/>
  <c r="H31" i="36" s="1"/>
  <c r="H24" i="39"/>
  <c r="H28" i="38" s="1"/>
  <c r="H26" i="39"/>
  <c r="H26" i="35" s="1"/>
  <c r="H27" i="39"/>
  <c r="H30" i="36" s="1"/>
  <c r="H29" i="35" s="1"/>
  <c r="H24" i="34" s="1"/>
  <c r="H27" i="33" s="1"/>
  <c r="H25" i="31" s="1"/>
  <c r="H29" i="29" s="1"/>
  <c r="H30" i="39"/>
  <c r="H31" i="39"/>
  <c r="H2" i="39"/>
  <c r="H4" i="38" s="1"/>
  <c r="H4" i="35" s="1"/>
  <c r="H3" i="34" s="1"/>
  <c r="H4" i="33" s="1"/>
  <c r="H2" i="32" s="1"/>
  <c r="H3" i="31" s="1"/>
  <c r="H4" i="30" s="1"/>
  <c r="H5" i="29" s="1"/>
  <c r="H5" i="28" s="1"/>
  <c r="H8" i="27" s="1"/>
  <c r="H10" i="26" s="1"/>
  <c r="H10" i="25" s="1"/>
  <c r="H14" i="24" s="1"/>
  <c r="H13" i="23" s="1"/>
  <c r="H12" i="56" s="1"/>
  <c r="H14" i="22" s="1"/>
  <c r="H11" i="20" s="1"/>
  <c r="H13" i="19" s="1"/>
  <c r="H12" i="18" s="1"/>
  <c r="H9" i="17" s="1"/>
  <c r="H9" i="16" s="1"/>
  <c r="H9" i="15" s="1"/>
  <c r="H8" i="14" s="1"/>
  <c r="H9" i="13" s="1"/>
  <c r="H11" i="12" s="1"/>
  <c r="H11" i="11" s="1"/>
  <c r="H13" i="10" s="1"/>
  <c r="H12" i="9" s="1"/>
  <c r="H10" i="8" s="1"/>
  <c r="H9" i="7" s="1"/>
  <c r="G2" i="39"/>
  <c r="G4" i="38" s="1"/>
  <c r="G30" i="39"/>
  <c r="G31" i="39"/>
  <c r="G27" i="39"/>
  <c r="G30" i="36" s="1"/>
  <c r="G29" i="35" s="1"/>
  <c r="G24" i="34" s="1"/>
  <c r="G27" i="33" s="1"/>
  <c r="G25" i="31" s="1"/>
  <c r="G29" i="29" s="1"/>
  <c r="G26" i="39"/>
  <c r="G26" i="35" s="1"/>
  <c r="G22" i="39"/>
  <c r="G29" i="38" s="1"/>
  <c r="G31" i="26" s="1"/>
  <c r="G31" i="25" s="1"/>
  <c r="G30" i="23" s="1"/>
  <c r="G30" i="56" s="1"/>
  <c r="G23" i="39"/>
  <c r="G30" i="38" s="1"/>
  <c r="G31" i="36" s="1"/>
  <c r="G24" i="39"/>
  <c r="G28" i="38" s="1"/>
  <c r="G5" i="39"/>
  <c r="G8" i="38" s="1"/>
  <c r="G6" i="39"/>
  <c r="G11" i="38" s="1"/>
  <c r="G7" i="39"/>
  <c r="G10" i="38" s="1"/>
  <c r="G8" i="39"/>
  <c r="G12" i="38" s="1"/>
  <c r="G9" i="39"/>
  <c r="G14" i="38" s="1"/>
  <c r="G10" i="39"/>
  <c r="G15" i="38" s="1"/>
  <c r="G11" i="39"/>
  <c r="G16" i="38" s="1"/>
  <c r="G12" i="39"/>
  <c r="G17" i="38" s="1"/>
  <c r="G13" i="39"/>
  <c r="G18" i="38" s="1"/>
  <c r="G14" i="39"/>
  <c r="G19" i="38" s="1"/>
  <c r="G15" i="39"/>
  <c r="G21" i="38" s="1"/>
  <c r="G17" i="39"/>
  <c r="G22" i="38" s="1"/>
  <c r="G18" i="39"/>
  <c r="G25" i="38" s="1"/>
  <c r="G31" i="37" s="1"/>
  <c r="G19" i="39"/>
  <c r="G27" i="38" s="1"/>
  <c r="G20" i="39"/>
  <c r="G23" i="38" s="1"/>
  <c r="G3" i="39"/>
  <c r="G5" i="38" s="1"/>
  <c r="G4" i="39"/>
  <c r="G9" i="38" s="1"/>
  <c r="F18" i="39"/>
  <c r="F25" i="38" s="1"/>
  <c r="F31" i="37" s="1"/>
  <c r="F19" i="39"/>
  <c r="F27" i="38" s="1"/>
  <c r="F23" i="37" s="1"/>
  <c r="F25" i="36" s="1"/>
  <c r="F24" i="35" s="1"/>
  <c r="F25" i="34" s="1"/>
  <c r="F30" i="33" s="1"/>
  <c r="F31" i="32" s="1"/>
  <c r="F26" i="31" s="1"/>
  <c r="F20" i="39"/>
  <c r="F23" i="38" s="1"/>
  <c r="F24" i="37" s="1"/>
  <c r="F24" i="36" s="1"/>
  <c r="F22" i="35" s="1"/>
  <c r="F23" i="34" s="1"/>
  <c r="F28" i="33" s="1"/>
  <c r="F28" i="32" s="1"/>
  <c r="F22" i="31" s="1"/>
  <c r="F22" i="39"/>
  <c r="F29" i="38" s="1"/>
  <c r="F30" i="37" s="1"/>
  <c r="F29" i="36" s="1"/>
  <c r="F23" i="39"/>
  <c r="F30" i="38" s="1"/>
  <c r="F24" i="39"/>
  <c r="F28" i="38" s="1"/>
  <c r="F28" i="37" s="1"/>
  <c r="F27" i="36" s="1"/>
  <c r="F27" i="35" s="1"/>
  <c r="F31" i="34" s="1"/>
  <c r="F26" i="39"/>
  <c r="F27" i="39"/>
  <c r="F30" i="39"/>
  <c r="F17" i="39"/>
  <c r="F22" i="38" s="1"/>
  <c r="F9" i="39"/>
  <c r="F14" i="38" s="1"/>
  <c r="F10" i="39"/>
  <c r="F15" i="38" s="1"/>
  <c r="F11" i="39"/>
  <c r="F16" i="38" s="1"/>
  <c r="F12" i="39"/>
  <c r="F17" i="38" s="1"/>
  <c r="F13" i="39"/>
  <c r="F18" i="38" s="1"/>
  <c r="F14" i="39"/>
  <c r="F19" i="38" s="1"/>
  <c r="F15" i="39"/>
  <c r="F21" i="38" s="1"/>
  <c r="F16" i="39"/>
  <c r="F3" i="39"/>
  <c r="F5" i="38" s="1"/>
  <c r="F4" i="39"/>
  <c r="F9" i="38" s="1"/>
  <c r="F5" i="39"/>
  <c r="F8" i="38" s="1"/>
  <c r="F6" i="39"/>
  <c r="F11" i="38" s="1"/>
  <c r="F7" i="39"/>
  <c r="F10" i="38" s="1"/>
  <c r="F8" i="39"/>
  <c r="F12" i="38" s="1"/>
  <c r="F2" i="39"/>
  <c r="F4" i="38" s="1"/>
  <c r="H27" i="45"/>
  <c r="H25" i="44" s="1"/>
  <c r="H24" i="43" s="1"/>
  <c r="G27" i="45"/>
  <c r="G25" i="44" s="1"/>
  <c r="G24" i="43" s="1"/>
  <c r="F3" i="45"/>
  <c r="F15" i="44" s="1"/>
  <c r="F5" i="45"/>
  <c r="F7" i="45"/>
  <c r="F8" i="45"/>
  <c r="F26" i="44" s="1"/>
  <c r="F11" i="45"/>
  <c r="F13" i="45"/>
  <c r="F15" i="45"/>
  <c r="F29" i="44" s="1"/>
  <c r="F19" i="45"/>
  <c r="F27" i="44" s="1"/>
  <c r="F24" i="45"/>
  <c r="F16" i="44" s="1"/>
  <c r="F31" i="45"/>
  <c r="E36" i="45"/>
  <c r="I3" i="46"/>
  <c r="J3" i="46" s="1"/>
  <c r="I4" i="46"/>
  <c r="I5" i="46"/>
  <c r="J5" i="46" s="1"/>
  <c r="I6" i="46"/>
  <c r="J6" i="46" s="1"/>
  <c r="I7" i="46"/>
  <c r="I8" i="46"/>
  <c r="I9" i="46"/>
  <c r="J9" i="46" s="1"/>
  <c r="I10" i="46"/>
  <c r="J10" i="46" s="1"/>
  <c r="I11" i="46"/>
  <c r="J11" i="46" s="1"/>
  <c r="I12" i="46"/>
  <c r="J12" i="46" s="1"/>
  <c r="I13" i="46"/>
  <c r="I14" i="46"/>
  <c r="J14" i="46" s="1"/>
  <c r="I15" i="46"/>
  <c r="J15" i="46" s="1"/>
  <c r="I16" i="46"/>
  <c r="I17" i="46"/>
  <c r="J17" i="46" s="1"/>
  <c r="I18" i="46"/>
  <c r="I19" i="46"/>
  <c r="J19" i="46" s="1"/>
  <c r="I20" i="46"/>
  <c r="I22" i="46"/>
  <c r="J22" i="46" s="1"/>
  <c r="I23" i="46"/>
  <c r="I24" i="46"/>
  <c r="I25" i="46"/>
  <c r="I26" i="46"/>
  <c r="I27" i="46"/>
  <c r="I29" i="46"/>
  <c r="I30" i="46"/>
  <c r="J30" i="46" s="1"/>
  <c r="I31" i="46"/>
  <c r="J31" i="46" s="1"/>
  <c r="I2" i="46"/>
  <c r="J2" i="46" s="1"/>
  <c r="H2" i="46"/>
  <c r="H10" i="46"/>
  <c r="H20" i="45" s="1"/>
  <c r="H3" i="46"/>
  <c r="H9" i="45" s="1"/>
  <c r="H13" i="44" s="1"/>
  <c r="H13" i="43" s="1"/>
  <c r="G2" i="46"/>
  <c r="G3" i="46"/>
  <c r="G10" i="46"/>
  <c r="G20" i="45" s="1"/>
  <c r="F7" i="46"/>
  <c r="F16" i="46"/>
  <c r="F18" i="46"/>
  <c r="F27" i="46"/>
  <c r="F29" i="46"/>
  <c r="J23" i="46"/>
  <c r="J24" i="46"/>
  <c r="J25" i="46"/>
  <c r="J26" i="46"/>
  <c r="J27" i="46"/>
  <c r="J29" i="46"/>
  <c r="E37" i="46"/>
  <c r="E36" i="46"/>
  <c r="E33" i="46"/>
  <c r="J21" i="46"/>
  <c r="J20" i="46"/>
  <c r="J13" i="46"/>
  <c r="J8" i="46"/>
  <c r="J4" i="46"/>
  <c r="J26" i="47"/>
  <c r="F3" i="47"/>
  <c r="F3" i="46" s="1"/>
  <c r="F6" i="47"/>
  <c r="F10" i="46" s="1"/>
  <c r="F7" i="47"/>
  <c r="F8" i="46" s="1"/>
  <c r="F14" i="47"/>
  <c r="F14" i="46" s="1"/>
  <c r="F15" i="47"/>
  <c r="F25" i="46" s="1"/>
  <c r="F16" i="47"/>
  <c r="F26" i="46" s="1"/>
  <c r="F24" i="47"/>
  <c r="F25" i="47"/>
  <c r="F30" i="46" s="1"/>
  <c r="F27" i="47"/>
  <c r="F29" i="47"/>
  <c r="F2" i="47"/>
  <c r="F2" i="46" s="1"/>
  <c r="F2" i="45" s="1"/>
  <c r="F2" i="44" s="1"/>
  <c r="F2" i="43" s="1"/>
  <c r="I3" i="47"/>
  <c r="I4" i="47"/>
  <c r="J4" i="47" s="1"/>
  <c r="I5" i="47"/>
  <c r="I6" i="47"/>
  <c r="I7" i="47"/>
  <c r="I8" i="47"/>
  <c r="J8" i="47" s="1"/>
  <c r="I9" i="47"/>
  <c r="J9" i="47" s="1"/>
  <c r="I10" i="47"/>
  <c r="J10" i="47" s="1"/>
  <c r="I11" i="47"/>
  <c r="J11" i="47" s="1"/>
  <c r="I12" i="47"/>
  <c r="J12" i="47" s="1"/>
  <c r="I13" i="47"/>
  <c r="J13" i="47" s="1"/>
  <c r="I14" i="47"/>
  <c r="J14" i="47" s="1"/>
  <c r="I15" i="47"/>
  <c r="I16" i="47"/>
  <c r="I17" i="47"/>
  <c r="J17" i="47" s="1"/>
  <c r="I18" i="47"/>
  <c r="I19" i="47"/>
  <c r="I20" i="47"/>
  <c r="J20" i="47" s="1"/>
  <c r="I21" i="47"/>
  <c r="I22" i="47"/>
  <c r="J22" i="47" s="1"/>
  <c r="I24" i="47"/>
  <c r="I25" i="47"/>
  <c r="I27" i="47"/>
  <c r="I28" i="47"/>
  <c r="I29" i="47"/>
  <c r="I2" i="47"/>
  <c r="H7" i="47"/>
  <c r="H8" i="46" s="1"/>
  <c r="H22" i="45" s="1"/>
  <c r="H14" i="47"/>
  <c r="H21" i="46" s="1"/>
  <c r="H15" i="47"/>
  <c r="H25" i="46" s="1"/>
  <c r="H16" i="47"/>
  <c r="H26" i="46" s="1"/>
  <c r="H24" i="47"/>
  <c r="H25" i="47"/>
  <c r="H30" i="46" s="1"/>
  <c r="H27" i="47"/>
  <c r="G7" i="47"/>
  <c r="G8" i="46" s="1"/>
  <c r="G22" i="45" s="1"/>
  <c r="G14" i="47"/>
  <c r="G14" i="46" s="1"/>
  <c r="G26" i="45" s="1"/>
  <c r="G15" i="47"/>
  <c r="G25" i="46" s="1"/>
  <c r="G16" i="47"/>
  <c r="G26" i="46" s="1"/>
  <c r="G24" i="47"/>
  <c r="G25" i="47"/>
  <c r="G30" i="46" s="1"/>
  <c r="G27" i="47"/>
  <c r="F20" i="45" l="1"/>
  <c r="G24" i="45"/>
  <c r="G16" i="44" s="1"/>
  <c r="F27" i="45"/>
  <c r="F25" i="44" s="1"/>
  <c r="F24" i="43" s="1"/>
  <c r="F26" i="45"/>
  <c r="F22" i="45"/>
  <c r="G29" i="28"/>
  <c r="G31" i="27" s="1"/>
  <c r="G28" i="7"/>
  <c r="H29" i="28"/>
  <c r="H31" i="27" s="1"/>
  <c r="H28" i="7"/>
  <c r="H14" i="46"/>
  <c r="F9" i="45"/>
  <c r="F13" i="44" s="1"/>
  <c r="F13" i="43" s="1"/>
  <c r="H2" i="45"/>
  <c r="H2" i="44" s="1"/>
  <c r="H2" i="43" s="1"/>
  <c r="G21" i="46"/>
  <c r="G9" i="45"/>
  <c r="G13" i="44" s="1"/>
  <c r="G13" i="43" s="1"/>
  <c r="G2" i="45"/>
  <c r="G2" i="44" s="1"/>
  <c r="G2" i="43" s="1"/>
  <c r="F30" i="30"/>
  <c r="F26" i="29" s="1"/>
  <c r="G22" i="37"/>
  <c r="G20" i="36"/>
  <c r="G19" i="35" s="1"/>
  <c r="G22" i="34" s="1"/>
  <c r="G26" i="33" s="1"/>
  <c r="G27" i="32" s="1"/>
  <c r="G24" i="31" s="1"/>
  <c r="G31" i="30" s="1"/>
  <c r="G24" i="29" s="1"/>
  <c r="G27" i="28" s="1"/>
  <c r="G25" i="27" s="1"/>
  <c r="G27" i="26" s="1"/>
  <c r="G27" i="25" s="1"/>
  <c r="G31" i="23" s="1"/>
  <c r="G29" i="22" s="1"/>
  <c r="G28" i="20" s="1"/>
  <c r="G23" i="19" s="1"/>
  <c r="G26" i="18" s="1"/>
  <c r="G22" i="17" s="1"/>
  <c r="G26" i="16" s="1"/>
  <c r="G28" i="15" s="1"/>
  <c r="G24" i="14" s="1"/>
  <c r="G26" i="13" s="1"/>
  <c r="G28" i="12" s="1"/>
  <c r="G27" i="11" s="1"/>
  <c r="G29" i="10" s="1"/>
  <c r="G29" i="9" s="1"/>
  <c r="G28" i="8" s="1"/>
  <c r="G29" i="7" s="1"/>
  <c r="G28" i="37"/>
  <c r="G27" i="36"/>
  <c r="G27" i="35" s="1"/>
  <c r="G31" i="34" s="1"/>
  <c r="H24" i="37"/>
  <c r="H22" i="35"/>
  <c r="H23" i="34" s="1"/>
  <c r="H28" i="33" s="1"/>
  <c r="H28" i="32" s="1"/>
  <c r="H22" i="31" s="1"/>
  <c r="H26" i="30" s="1"/>
  <c r="H25" i="29" s="1"/>
  <c r="H28" i="28" s="1"/>
  <c r="H24" i="27" s="1"/>
  <c r="H26" i="26" s="1"/>
  <c r="H29" i="25" s="1"/>
  <c r="H29" i="56" s="1"/>
  <c r="H23" i="17" s="1"/>
  <c r="H29" i="16" s="1"/>
  <c r="H30" i="15" s="1"/>
  <c r="H29" i="14" s="1"/>
  <c r="H29" i="13" s="1"/>
  <c r="H26" i="11" s="1"/>
  <c r="H27" i="10" s="1"/>
  <c r="H23" i="9" s="1"/>
  <c r="H22" i="8" s="1"/>
  <c r="H23" i="7" s="1"/>
  <c r="H24" i="36"/>
  <c r="H18" i="30"/>
  <c r="H17" i="29" s="1"/>
  <c r="H15" i="28" s="1"/>
  <c r="H17" i="27" s="1"/>
  <c r="H16" i="26" s="1"/>
  <c r="H13" i="25" s="1"/>
  <c r="H21" i="24" s="1"/>
  <c r="H15" i="23" s="1"/>
  <c r="H13" i="56" s="1"/>
  <c r="H18" i="22" s="1"/>
  <c r="H20" i="20" s="1"/>
  <c r="H19" i="19" s="1"/>
  <c r="H22" i="18" s="1"/>
  <c r="H18" i="17" s="1"/>
  <c r="H21" i="16" s="1"/>
  <c r="H21" i="15" s="1"/>
  <c r="H22" i="14" s="1"/>
  <c r="H16" i="13" s="1"/>
  <c r="H19" i="12" s="1"/>
  <c r="H18" i="11" s="1"/>
  <c r="H22" i="10" s="1"/>
  <c r="H17" i="9" s="1"/>
  <c r="H17" i="8" s="1"/>
  <c r="H19" i="7" s="1"/>
  <c r="H7" i="30"/>
  <c r="H7" i="29" s="1"/>
  <c r="H7" i="28" s="1"/>
  <c r="H6" i="27" s="1"/>
  <c r="H5" i="26" s="1"/>
  <c r="H4" i="25" s="1"/>
  <c r="H6" i="24" s="1"/>
  <c r="H6" i="23" s="1"/>
  <c r="H5" i="56" s="1"/>
  <c r="H5" i="22" s="1"/>
  <c r="H5" i="20" s="1"/>
  <c r="H6" i="19" s="1"/>
  <c r="H7" i="18" s="1"/>
  <c r="H5" i="17" s="1"/>
  <c r="H8" i="16" s="1"/>
  <c r="H8" i="15" s="1"/>
  <c r="H5" i="14" s="1"/>
  <c r="H8" i="13" s="1"/>
  <c r="H9" i="12" s="1"/>
  <c r="H9" i="11" s="1"/>
  <c r="H11" i="10" s="1"/>
  <c r="H8" i="9" s="1"/>
  <c r="H5" i="8" s="1"/>
  <c r="H6" i="7" s="1"/>
  <c r="H9" i="30"/>
  <c r="H9" i="29" s="1"/>
  <c r="H6" i="28" s="1"/>
  <c r="H11" i="27" s="1"/>
  <c r="H9" i="26" s="1"/>
  <c r="H20" i="25" s="1"/>
  <c r="H7" i="24" s="1"/>
  <c r="H3" i="23" s="1"/>
  <c r="H3" i="56" s="1"/>
  <c r="H3" i="22" s="1"/>
  <c r="H3" i="20" s="1"/>
  <c r="H4" i="19" s="1"/>
  <c r="H4" i="18" s="1"/>
  <c r="H4" i="17" s="1"/>
  <c r="H5" i="16" s="1"/>
  <c r="H3" i="15" s="1"/>
  <c r="H4" i="14" s="1"/>
  <c r="H6" i="13" s="1"/>
  <c r="H5" i="12" s="1"/>
  <c r="H5" i="11" s="1"/>
  <c r="H4" i="10" s="1"/>
  <c r="H3" i="9" s="1"/>
  <c r="H3" i="8" s="1"/>
  <c r="H3" i="7" s="1"/>
  <c r="G26" i="37"/>
  <c r="G26" i="36"/>
  <c r="G28" i="35" s="1"/>
  <c r="G28" i="34" s="1"/>
  <c r="G29" i="31" s="1"/>
  <c r="G24" i="37"/>
  <c r="G24" i="36"/>
  <c r="G22" i="35" s="1"/>
  <c r="G23" i="34" s="1"/>
  <c r="G28" i="33" s="1"/>
  <c r="G28" i="32" s="1"/>
  <c r="G22" i="31" s="1"/>
  <c r="G26" i="30" s="1"/>
  <c r="G25" i="29" s="1"/>
  <c r="G28" i="28" s="1"/>
  <c r="G24" i="27" s="1"/>
  <c r="G26" i="26" s="1"/>
  <c r="G29" i="25" s="1"/>
  <c r="G29" i="56" s="1"/>
  <c r="G23" i="17" s="1"/>
  <c r="G29" i="16" s="1"/>
  <c r="G30" i="15" s="1"/>
  <c r="G29" i="14" s="1"/>
  <c r="G29" i="13" s="1"/>
  <c r="G26" i="11" s="1"/>
  <c r="G27" i="10" s="1"/>
  <c r="G23" i="9" s="1"/>
  <c r="G22" i="8" s="1"/>
  <c r="G23" i="7" s="1"/>
  <c r="H28" i="37"/>
  <c r="H27" i="35"/>
  <c r="H31" i="34" s="1"/>
  <c r="H27" i="36"/>
  <c r="H23" i="37"/>
  <c r="H24" i="35"/>
  <c r="H25" i="34" s="1"/>
  <c r="H30" i="33" s="1"/>
  <c r="H31" i="32" s="1"/>
  <c r="H26" i="31" s="1"/>
  <c r="H30" i="30" s="1"/>
  <c r="H26" i="29" s="1"/>
  <c r="H25" i="36"/>
  <c r="H16" i="30"/>
  <c r="H16" i="29" s="1"/>
  <c r="H18" i="28" s="1"/>
  <c r="H16" i="27" s="1"/>
  <c r="H15" i="26" s="1"/>
  <c r="H16" i="25" s="1"/>
  <c r="H20" i="24" s="1"/>
  <c r="H19" i="23" s="1"/>
  <c r="H15" i="56" s="1"/>
  <c r="H17" i="22" s="1"/>
  <c r="H16" i="20" s="1"/>
  <c r="H16" i="19" s="1"/>
  <c r="H18" i="18" s="1"/>
  <c r="H14" i="17" s="1"/>
  <c r="H17" i="16" s="1"/>
  <c r="H19" i="15" s="1"/>
  <c r="H16" i="14" s="1"/>
  <c r="H15" i="13" s="1"/>
  <c r="H18" i="12" s="1"/>
  <c r="H19" i="11" s="1"/>
  <c r="H19" i="10" s="1"/>
  <c r="H20" i="9" s="1"/>
  <c r="H19" i="8" s="1"/>
  <c r="H17" i="7" s="1"/>
  <c r="H22" i="30"/>
  <c r="H19" i="29" s="1"/>
  <c r="H24" i="28" s="1"/>
  <c r="H23" i="27" s="1"/>
  <c r="H25" i="26" s="1"/>
  <c r="H19" i="25" s="1"/>
  <c r="H30" i="24" s="1"/>
  <c r="H28" i="23" s="1"/>
  <c r="H21" i="56" s="1"/>
  <c r="H8" i="30"/>
  <c r="H8" i="29" s="1"/>
  <c r="H10" i="28" s="1"/>
  <c r="H7" i="27" s="1"/>
  <c r="H8" i="26" s="1"/>
  <c r="H6" i="25" s="1"/>
  <c r="H9" i="24" s="1"/>
  <c r="H8" i="23" s="1"/>
  <c r="H8" i="56" s="1"/>
  <c r="H7" i="22" s="1"/>
  <c r="H8" i="20" s="1"/>
  <c r="H10" i="19" s="1"/>
  <c r="H9" i="18" s="1"/>
  <c r="H10" i="17" s="1"/>
  <c r="H11" i="16" s="1"/>
  <c r="H13" i="15" s="1"/>
  <c r="H9" i="14" s="1"/>
  <c r="H11" i="13" s="1"/>
  <c r="H14" i="12" s="1"/>
  <c r="H13" i="11" s="1"/>
  <c r="H15" i="10" s="1"/>
  <c r="H13" i="9" s="1"/>
  <c r="H9" i="8" s="1"/>
  <c r="H11" i="7" s="1"/>
  <c r="G23" i="37"/>
  <c r="G25" i="36"/>
  <c r="G24" i="35" s="1"/>
  <c r="G25" i="34" s="1"/>
  <c r="G30" i="33" s="1"/>
  <c r="G31" i="32" s="1"/>
  <c r="G26" i="31" s="1"/>
  <c r="G30" i="30" s="1"/>
  <c r="G26" i="29" s="1"/>
  <c r="G30" i="37"/>
  <c r="G29" i="36"/>
  <c r="H19" i="37"/>
  <c r="H17" i="35"/>
  <c r="H20" i="34" s="1"/>
  <c r="H23" i="33" s="1"/>
  <c r="H22" i="32" s="1"/>
  <c r="H20" i="31" s="1"/>
  <c r="H25" i="30" s="1"/>
  <c r="H20" i="29" s="1"/>
  <c r="H19" i="28" s="1"/>
  <c r="H21" i="27" s="1"/>
  <c r="H21" i="26" s="1"/>
  <c r="H23" i="25" s="1"/>
  <c r="H29" i="24" s="1"/>
  <c r="H23" i="23" s="1"/>
  <c r="H17" i="56" s="1"/>
  <c r="H28" i="22" s="1"/>
  <c r="H29" i="20" s="1"/>
  <c r="H29" i="19" s="1"/>
  <c r="H31" i="18" s="1"/>
  <c r="H21" i="17" s="1"/>
  <c r="H24" i="16" s="1"/>
  <c r="H25" i="15" s="1"/>
  <c r="H25" i="14" s="1"/>
  <c r="H23" i="13" s="1"/>
  <c r="H26" i="12" s="1"/>
  <c r="H16" i="11" s="1"/>
  <c r="H20" i="10" s="1"/>
  <c r="H18" i="9" s="1"/>
  <c r="H16" i="8" s="1"/>
  <c r="H18" i="7" s="1"/>
  <c r="H15" i="36"/>
  <c r="H12" i="30"/>
  <c r="H11" i="29" s="1"/>
  <c r="H13" i="28" s="1"/>
  <c r="H12" i="27" s="1"/>
  <c r="H11" i="26" s="1"/>
  <c r="H9" i="25" s="1"/>
  <c r="H10" i="24" s="1"/>
  <c r="H7" i="23" s="1"/>
  <c r="H9" i="56" s="1"/>
  <c r="H12" i="22" s="1"/>
  <c r="H10" i="20" s="1"/>
  <c r="H12" i="19" s="1"/>
  <c r="H13" i="18" s="1"/>
  <c r="H11" i="17" s="1"/>
  <c r="H15" i="16" s="1"/>
  <c r="H16" i="15" s="1"/>
  <c r="H12" i="14" s="1"/>
  <c r="H13" i="13" s="1"/>
  <c r="H16" i="12" s="1"/>
  <c r="H14" i="11" s="1"/>
  <c r="H16" i="10" s="1"/>
  <c r="H14" i="9" s="1"/>
  <c r="H11" i="8" s="1"/>
  <c r="H13" i="7" s="1"/>
  <c r="H26" i="37"/>
  <c r="H28" i="35"/>
  <c r="H28" i="34" s="1"/>
  <c r="H29" i="31" s="1"/>
  <c r="H26" i="36"/>
  <c r="F26" i="30"/>
  <c r="F25" i="29" s="1"/>
  <c r="F28" i="28" s="1"/>
  <c r="F24" i="27" s="1"/>
  <c r="F26" i="26" s="1"/>
  <c r="F29" i="25" s="1"/>
  <c r="G19" i="37"/>
  <c r="G15" i="36"/>
  <c r="G17" i="35" s="1"/>
  <c r="G20" i="34" s="1"/>
  <c r="G23" i="33" s="1"/>
  <c r="G22" i="32" s="1"/>
  <c r="G20" i="31" s="1"/>
  <c r="G25" i="30" s="1"/>
  <c r="G20" i="29" s="1"/>
  <c r="G19" i="28" s="1"/>
  <c r="G21" i="27" s="1"/>
  <c r="G21" i="26" s="1"/>
  <c r="G23" i="25" s="1"/>
  <c r="G29" i="24" s="1"/>
  <c r="G23" i="23" s="1"/>
  <c r="G17" i="56" s="1"/>
  <c r="G28" i="22" s="1"/>
  <c r="G29" i="20" s="1"/>
  <c r="G29" i="19" s="1"/>
  <c r="G31" i="18" s="1"/>
  <c r="G21" i="17" s="1"/>
  <c r="G24" i="16" s="1"/>
  <c r="G25" i="15" s="1"/>
  <c r="G25" i="14" s="1"/>
  <c r="G23" i="13" s="1"/>
  <c r="G26" i="12" s="1"/>
  <c r="G16" i="11" s="1"/>
  <c r="G20" i="10" s="1"/>
  <c r="G18" i="9" s="1"/>
  <c r="G16" i="8" s="1"/>
  <c r="G18" i="7" s="1"/>
  <c r="H30" i="37"/>
  <c r="H29" i="36"/>
  <c r="H22" i="37"/>
  <c r="H19" i="35"/>
  <c r="H22" i="34" s="1"/>
  <c r="H26" i="33" s="1"/>
  <c r="H27" i="32" s="1"/>
  <c r="H24" i="31" s="1"/>
  <c r="H31" i="30" s="1"/>
  <c r="H24" i="29" s="1"/>
  <c r="H27" i="28" s="1"/>
  <c r="H25" i="27" s="1"/>
  <c r="H27" i="26" s="1"/>
  <c r="H27" i="25" s="1"/>
  <c r="H31" i="23" s="1"/>
  <c r="H29" i="22" s="1"/>
  <c r="H28" i="20" s="1"/>
  <c r="H23" i="19" s="1"/>
  <c r="H26" i="18" s="1"/>
  <c r="H22" i="17" s="1"/>
  <c r="H26" i="16" s="1"/>
  <c r="H28" i="15" s="1"/>
  <c r="H24" i="14" s="1"/>
  <c r="H26" i="13" s="1"/>
  <c r="H28" i="12" s="1"/>
  <c r="H27" i="11" s="1"/>
  <c r="H29" i="10" s="1"/>
  <c r="H29" i="9" s="1"/>
  <c r="H28" i="8" s="1"/>
  <c r="H29" i="7" s="1"/>
  <c r="H20" i="36"/>
  <c r="H21" i="30"/>
  <c r="H18" i="29" s="1"/>
  <c r="H23" i="28" s="1"/>
  <c r="H22" i="27" s="1"/>
  <c r="H24" i="26" s="1"/>
  <c r="H28" i="25" s="1"/>
  <c r="H29" i="23" s="1"/>
  <c r="H24" i="56" s="1"/>
  <c r="H26" i="22" s="1"/>
  <c r="H23" i="20" s="1"/>
  <c r="H24" i="19" s="1"/>
  <c r="H19" i="18" s="1"/>
  <c r="H17" i="17" s="1"/>
  <c r="H20" i="16" s="1"/>
  <c r="H23" i="15" s="1"/>
  <c r="H23" i="14" s="1"/>
  <c r="H21" i="13" s="1"/>
  <c r="H25" i="12" s="1"/>
  <c r="H24" i="11" s="1"/>
  <c r="H26" i="10" s="1"/>
  <c r="H25" i="9" s="1"/>
  <c r="H25" i="8" s="1"/>
  <c r="H25" i="7" s="1"/>
  <c r="H6" i="30"/>
  <c r="H6" i="29" s="1"/>
  <c r="H11" i="28" s="1"/>
  <c r="H9" i="27" s="1"/>
  <c r="H12" i="26" s="1"/>
  <c r="H11" i="25" s="1"/>
  <c r="H15" i="24" s="1"/>
  <c r="H12" i="23" s="1"/>
  <c r="H11" i="56" s="1"/>
  <c r="H9" i="22" s="1"/>
  <c r="H6" i="20" s="1"/>
  <c r="H11" i="19" s="1"/>
  <c r="H11" i="18" s="1"/>
  <c r="H8" i="17" s="1"/>
  <c r="H12" i="16" s="1"/>
  <c r="H12" i="15" s="1"/>
  <c r="H11" i="14" s="1"/>
  <c r="H12" i="13" s="1"/>
  <c r="H15" i="12" s="1"/>
  <c r="H15" i="11" s="1"/>
  <c r="H17" i="10" s="1"/>
  <c r="H16" i="9" s="1"/>
  <c r="H13" i="8" s="1"/>
  <c r="H12" i="7" s="1"/>
  <c r="F9" i="37"/>
  <c r="F9" i="36" s="1"/>
  <c r="F9" i="35" s="1"/>
  <c r="F9" i="34" s="1"/>
  <c r="F11" i="33" s="1"/>
  <c r="F5" i="32" s="1"/>
  <c r="F5" i="31" s="1"/>
  <c r="F3" i="37"/>
  <c r="F2" i="36" s="1"/>
  <c r="F3" i="35" s="1"/>
  <c r="F6" i="34" s="1"/>
  <c r="F6" i="33" s="1"/>
  <c r="F8" i="32" s="1"/>
  <c r="F7" i="31" s="1"/>
  <c r="F19" i="37"/>
  <c r="F15" i="36" s="1"/>
  <c r="F17" i="35" s="1"/>
  <c r="F20" i="34" s="1"/>
  <c r="F23" i="33" s="1"/>
  <c r="F22" i="32" s="1"/>
  <c r="F20" i="31" s="1"/>
  <c r="F13" i="37"/>
  <c r="F10" i="36" s="1"/>
  <c r="F11" i="35" s="1"/>
  <c r="F13" i="34" s="1"/>
  <c r="F14" i="33" s="1"/>
  <c r="F10" i="32" s="1"/>
  <c r="F9" i="31" s="1"/>
  <c r="G8" i="36"/>
  <c r="G8" i="35" s="1"/>
  <c r="G5" i="34" s="1"/>
  <c r="G7" i="33" s="1"/>
  <c r="G4" i="32" s="1"/>
  <c r="G4" i="31" s="1"/>
  <c r="G7" i="37"/>
  <c r="G10" i="36"/>
  <c r="G11" i="35" s="1"/>
  <c r="G13" i="34" s="1"/>
  <c r="G14" i="33" s="1"/>
  <c r="G10" i="32" s="1"/>
  <c r="G9" i="31" s="1"/>
  <c r="G13" i="37"/>
  <c r="G6" i="36"/>
  <c r="G6" i="35" s="1"/>
  <c r="G7" i="34" s="1"/>
  <c r="G13" i="33" s="1"/>
  <c r="G11" i="32" s="1"/>
  <c r="G11" i="31" s="1"/>
  <c r="G15" i="30" s="1"/>
  <c r="G13" i="29" s="1"/>
  <c r="G20" i="28" s="1"/>
  <c r="G19" i="27" s="1"/>
  <c r="G18" i="26" s="1"/>
  <c r="G21" i="25" s="1"/>
  <c r="G23" i="24" s="1"/>
  <c r="G11" i="23" s="1"/>
  <c r="G10" i="56" s="1"/>
  <c r="G8" i="22" s="1"/>
  <c r="G9" i="20" s="1"/>
  <c r="G15" i="19" s="1"/>
  <c r="G17" i="18" s="1"/>
  <c r="G13" i="17" s="1"/>
  <c r="G16" i="16" s="1"/>
  <c r="G18" i="15" s="1"/>
  <c r="G19" i="14" s="1"/>
  <c r="G19" i="13" s="1"/>
  <c r="G17" i="12" s="1"/>
  <c r="G17" i="11" s="1"/>
  <c r="G21" i="10" s="1"/>
  <c r="G19" i="9" s="1"/>
  <c r="G18" i="8" s="1"/>
  <c r="G20" i="7" s="1"/>
  <c r="G6" i="37"/>
  <c r="G4" i="37"/>
  <c r="G3" i="36"/>
  <c r="G4" i="35" s="1"/>
  <c r="G3" i="34" s="1"/>
  <c r="G4" i="33" s="1"/>
  <c r="G2" i="32" s="1"/>
  <c r="G3" i="31" s="1"/>
  <c r="G4" i="30" s="1"/>
  <c r="G5" i="29" s="1"/>
  <c r="G5" i="28" s="1"/>
  <c r="G8" i="27" s="1"/>
  <c r="G10" i="26" s="1"/>
  <c r="G10" i="25" s="1"/>
  <c r="G14" i="24" s="1"/>
  <c r="G13" i="23" s="1"/>
  <c r="G12" i="56" s="1"/>
  <c r="G14" i="22" s="1"/>
  <c r="G11" i="20" s="1"/>
  <c r="G13" i="19" s="1"/>
  <c r="G12" i="18" s="1"/>
  <c r="G9" i="17" s="1"/>
  <c r="G9" i="16" s="1"/>
  <c r="G9" i="15" s="1"/>
  <c r="G8" i="14" s="1"/>
  <c r="G9" i="13" s="1"/>
  <c r="G11" i="12" s="1"/>
  <c r="G11" i="11" s="1"/>
  <c r="G13" i="10" s="1"/>
  <c r="G12" i="9" s="1"/>
  <c r="G10" i="8" s="1"/>
  <c r="G9" i="7" s="1"/>
  <c r="H14" i="36"/>
  <c r="H18" i="37"/>
  <c r="H10" i="37"/>
  <c r="H12" i="36"/>
  <c r="H7" i="37"/>
  <c r="H8" i="36"/>
  <c r="F11" i="37"/>
  <c r="F11" i="36" s="1"/>
  <c r="F12" i="35" s="1"/>
  <c r="F15" i="34" s="1"/>
  <c r="F15" i="33" s="1"/>
  <c r="F13" i="32" s="1"/>
  <c r="F10" i="31" s="1"/>
  <c r="F8" i="37"/>
  <c r="F7" i="36" s="1"/>
  <c r="F7" i="35" s="1"/>
  <c r="F8" i="34" s="1"/>
  <c r="F9" i="33" s="1"/>
  <c r="F6" i="32" s="1"/>
  <c r="F6" i="31" s="1"/>
  <c r="F18" i="37"/>
  <c r="F14" i="36" s="1"/>
  <c r="F15" i="35" s="1"/>
  <c r="F18" i="34" s="1"/>
  <c r="F19" i="33" s="1"/>
  <c r="F16" i="32" s="1"/>
  <c r="F14" i="31" s="1"/>
  <c r="G2" i="36"/>
  <c r="G3" i="35" s="1"/>
  <c r="G6" i="34" s="1"/>
  <c r="G6" i="33" s="1"/>
  <c r="G8" i="32" s="1"/>
  <c r="G7" i="31" s="1"/>
  <c r="G3" i="37"/>
  <c r="G18" i="37"/>
  <c r="G14" i="36"/>
  <c r="G15" i="35" s="1"/>
  <c r="G18" i="34" s="1"/>
  <c r="G19" i="33" s="1"/>
  <c r="G16" i="32" s="1"/>
  <c r="G14" i="31" s="1"/>
  <c r="G17" i="30" s="1"/>
  <c r="G15" i="29" s="1"/>
  <c r="G17" i="28" s="1"/>
  <c r="G18" i="27" s="1"/>
  <c r="G19" i="26" s="1"/>
  <c r="G22" i="25" s="1"/>
  <c r="G24" i="24" s="1"/>
  <c r="G18" i="23" s="1"/>
  <c r="G14" i="56" s="1"/>
  <c r="G19" i="22" s="1"/>
  <c r="G17" i="20" s="1"/>
  <c r="G17" i="19" s="1"/>
  <c r="G20" i="18" s="1"/>
  <c r="G15" i="17" s="1"/>
  <c r="G18" i="16" s="1"/>
  <c r="G20" i="15" s="1"/>
  <c r="G20" i="14" s="1"/>
  <c r="G17" i="13" s="1"/>
  <c r="G20" i="12" s="1"/>
  <c r="G21" i="11" s="1"/>
  <c r="G24" i="10" s="1"/>
  <c r="G21" i="9" s="1"/>
  <c r="G20" i="8" s="1"/>
  <c r="G22" i="7" s="1"/>
  <c r="G10" i="37"/>
  <c r="G12" i="36"/>
  <c r="G14" i="35" s="1"/>
  <c r="G17" i="34" s="1"/>
  <c r="G18" i="33" s="1"/>
  <c r="G17" i="32" s="1"/>
  <c r="G15" i="31" s="1"/>
  <c r="H3" i="36"/>
  <c r="H4" i="37"/>
  <c r="H19" i="36"/>
  <c r="H21" i="37"/>
  <c r="H11" i="37"/>
  <c r="H11" i="36"/>
  <c r="H9" i="36"/>
  <c r="H9" i="37"/>
  <c r="H3" i="37"/>
  <c r="H2" i="36"/>
  <c r="G19" i="36"/>
  <c r="G18" i="35" s="1"/>
  <c r="G21" i="34" s="1"/>
  <c r="G22" i="33" s="1"/>
  <c r="G18" i="32" s="1"/>
  <c r="G17" i="31" s="1"/>
  <c r="G21" i="37"/>
  <c r="G11" i="37"/>
  <c r="G11" i="36"/>
  <c r="G12" i="35" s="1"/>
  <c r="G15" i="34" s="1"/>
  <c r="G15" i="33" s="1"/>
  <c r="G13" i="32" s="1"/>
  <c r="G10" i="31" s="1"/>
  <c r="G11" i="30" s="1"/>
  <c r="G10" i="29" s="1"/>
  <c r="G12" i="28" s="1"/>
  <c r="G15" i="27" s="1"/>
  <c r="G14" i="26" s="1"/>
  <c r="G12" i="25" s="1"/>
  <c r="G12" i="24" s="1"/>
  <c r="G10" i="23" s="1"/>
  <c r="G6" i="56" s="1"/>
  <c r="G6" i="22" s="1"/>
  <c r="G4" i="20" s="1"/>
  <c r="G7" i="19" s="1"/>
  <c r="G8" i="18" s="1"/>
  <c r="G6" i="17" s="1"/>
  <c r="G10" i="16" s="1"/>
  <c r="G10" i="15" s="1"/>
  <c r="G7" i="14" s="1"/>
  <c r="G10" i="13" s="1"/>
  <c r="G13" i="12" s="1"/>
  <c r="G12" i="11" s="1"/>
  <c r="G14" i="10" s="1"/>
  <c r="G15" i="9" s="1"/>
  <c r="G12" i="8" s="1"/>
  <c r="G10" i="7" s="1"/>
  <c r="G9" i="36"/>
  <c r="G9" i="35" s="1"/>
  <c r="G9" i="34" s="1"/>
  <c r="G11" i="33" s="1"/>
  <c r="G5" i="32" s="1"/>
  <c r="G5" i="31" s="1"/>
  <c r="G9" i="37"/>
  <c r="H16" i="37"/>
  <c r="H13" i="36"/>
  <c r="H14" i="37"/>
  <c r="H16" i="36"/>
  <c r="H7" i="36"/>
  <c r="H8" i="37"/>
  <c r="F4" i="37"/>
  <c r="F3" i="36" s="1"/>
  <c r="F4" i="35" s="1"/>
  <c r="F3" i="34" s="1"/>
  <c r="F4" i="33" s="1"/>
  <c r="F2" i="32" s="1"/>
  <c r="F3" i="31" s="1"/>
  <c r="F6" i="37"/>
  <c r="F6" i="36" s="1"/>
  <c r="F6" i="35" s="1"/>
  <c r="F7" i="34" s="1"/>
  <c r="F13" i="33" s="1"/>
  <c r="F11" i="32" s="1"/>
  <c r="F11" i="31" s="1"/>
  <c r="F21" i="37"/>
  <c r="F19" i="36" s="1"/>
  <c r="F18" i="35" s="1"/>
  <c r="F21" i="34" s="1"/>
  <c r="F22" i="33" s="1"/>
  <c r="F18" i="32" s="1"/>
  <c r="F17" i="31" s="1"/>
  <c r="F10" i="37"/>
  <c r="F12" i="36" s="1"/>
  <c r="F14" i="35" s="1"/>
  <c r="F17" i="34" s="1"/>
  <c r="F18" i="33" s="1"/>
  <c r="F17" i="32" s="1"/>
  <c r="F15" i="31" s="1"/>
  <c r="F7" i="37"/>
  <c r="F8" i="36" s="1"/>
  <c r="F8" i="35" s="1"/>
  <c r="F5" i="34" s="1"/>
  <c r="F7" i="33" s="1"/>
  <c r="F4" i="32" s="1"/>
  <c r="F4" i="31" s="1"/>
  <c r="F16" i="37"/>
  <c r="F13" i="36" s="1"/>
  <c r="F13" i="35" s="1"/>
  <c r="F16" i="34" s="1"/>
  <c r="F16" i="33" s="1"/>
  <c r="F15" i="32" s="1"/>
  <c r="F12" i="31" s="1"/>
  <c r="F14" i="37"/>
  <c r="F16" i="36" s="1"/>
  <c r="F16" i="35" s="1"/>
  <c r="F19" i="34" s="1"/>
  <c r="F24" i="33" s="1"/>
  <c r="F20" i="32" s="1"/>
  <c r="F19" i="31" s="1"/>
  <c r="G16" i="37"/>
  <c r="G13" i="36"/>
  <c r="G13" i="35" s="1"/>
  <c r="G16" i="34" s="1"/>
  <c r="G16" i="33" s="1"/>
  <c r="G15" i="32" s="1"/>
  <c r="G12" i="31" s="1"/>
  <c r="G16" i="36"/>
  <c r="G16" i="35" s="1"/>
  <c r="G19" i="34" s="1"/>
  <c r="G24" i="33" s="1"/>
  <c r="G20" i="32" s="1"/>
  <c r="G19" i="31" s="1"/>
  <c r="G14" i="37"/>
  <c r="G7" i="36"/>
  <c r="G7" i="35" s="1"/>
  <c r="G8" i="34" s="1"/>
  <c r="G9" i="33" s="1"/>
  <c r="G6" i="32" s="1"/>
  <c r="G6" i="31" s="1"/>
  <c r="G8" i="37"/>
  <c r="H10" i="36"/>
  <c r="H13" i="37"/>
  <c r="H6" i="37"/>
  <c r="H6" i="36"/>
  <c r="F17" i="37"/>
  <c r="F21" i="36" s="1"/>
  <c r="F30" i="35" s="1"/>
  <c r="F5" i="37"/>
  <c r="F5" i="36" s="1"/>
  <c r="F10" i="35" s="1"/>
  <c r="F14" i="34" s="1"/>
  <c r="F21" i="33" s="1"/>
  <c r="F30" i="32" s="1"/>
  <c r="F31" i="31" s="1"/>
  <c r="F22" i="37"/>
  <c r="F20" i="36" s="1"/>
  <c r="F19" i="35" s="1"/>
  <c r="F22" i="34" s="1"/>
  <c r="F26" i="33" s="1"/>
  <c r="F27" i="32" s="1"/>
  <c r="F24" i="31" s="1"/>
  <c r="F12" i="37"/>
  <c r="F18" i="36" s="1"/>
  <c r="F20" i="35" s="1"/>
  <c r="F29" i="34" s="1"/>
  <c r="F2" i="37"/>
  <c r="F4" i="36" s="1"/>
  <c r="F5" i="35" s="1"/>
  <c r="F11" i="34" s="1"/>
  <c r="F20" i="33" s="1"/>
  <c r="F26" i="32" s="1"/>
  <c r="F30" i="31" s="1"/>
  <c r="H17" i="36"/>
  <c r="H27" i="37"/>
  <c r="F27" i="37"/>
  <c r="F17" i="36" s="1"/>
  <c r="F21" i="35" s="1"/>
  <c r="F26" i="34" s="1"/>
  <c r="G17" i="36"/>
  <c r="G21" i="35" s="1"/>
  <c r="G26" i="34" s="1"/>
  <c r="G27" i="37"/>
  <c r="E36" i="47"/>
  <c r="E35" i="47"/>
  <c r="E33" i="47"/>
  <c r="J31" i="47"/>
  <c r="J30" i="47"/>
  <c r="J28" i="47"/>
  <c r="J27" i="47"/>
  <c r="J25" i="47"/>
  <c r="J24" i="47"/>
  <c r="J23" i="47"/>
  <c r="J21" i="47"/>
  <c r="J19" i="47"/>
  <c r="J18" i="47"/>
  <c r="J16" i="47"/>
  <c r="J15" i="47"/>
  <c r="J7" i="47"/>
  <c r="J5" i="47"/>
  <c r="I3" i="48"/>
  <c r="I4" i="48"/>
  <c r="I5" i="48"/>
  <c r="I6" i="48"/>
  <c r="I7" i="48"/>
  <c r="I8" i="48"/>
  <c r="I9" i="48"/>
  <c r="I10" i="48"/>
  <c r="I11" i="48"/>
  <c r="I12" i="48"/>
  <c r="I13" i="48"/>
  <c r="I14" i="48"/>
  <c r="I15" i="48"/>
  <c r="I16" i="48"/>
  <c r="I17" i="48"/>
  <c r="I18" i="48"/>
  <c r="I19" i="48"/>
  <c r="I20" i="48"/>
  <c r="I21" i="48"/>
  <c r="I22" i="48"/>
  <c r="I23" i="48"/>
  <c r="I24" i="48"/>
  <c r="I25" i="48"/>
  <c r="I26" i="48"/>
  <c r="I27" i="48"/>
  <c r="I28" i="48"/>
  <c r="I29" i="48"/>
  <c r="I30" i="48"/>
  <c r="I31" i="48"/>
  <c r="I2" i="48"/>
  <c r="H15" i="48"/>
  <c r="H11" i="47" s="1"/>
  <c r="H11" i="46" s="1"/>
  <c r="H14" i="45" s="1"/>
  <c r="H12" i="44" s="1"/>
  <c r="H12" i="43" s="1"/>
  <c r="H28" i="48"/>
  <c r="G15" i="48"/>
  <c r="G11" i="47" s="1"/>
  <c r="G11" i="46" s="1"/>
  <c r="G14" i="45" s="1"/>
  <c r="G12" i="44" s="1"/>
  <c r="G12" i="43" s="1"/>
  <c r="G28" i="48"/>
  <c r="F15" i="48"/>
  <c r="F11" i="47" s="1"/>
  <c r="F11" i="46" s="1"/>
  <c r="F28" i="48"/>
  <c r="E36" i="48"/>
  <c r="E35" i="48"/>
  <c r="E33" i="48"/>
  <c r="H25" i="49"/>
  <c r="H2" i="49"/>
  <c r="H6" i="48" s="1"/>
  <c r="H8" i="47" s="1"/>
  <c r="H6" i="46" s="1"/>
  <c r="H12" i="45" s="1"/>
  <c r="H7" i="44" s="1"/>
  <c r="H6" i="43" s="1"/>
  <c r="H8" i="49"/>
  <c r="H12" i="49"/>
  <c r="H14" i="49"/>
  <c r="G2" i="49"/>
  <c r="G6" i="48" s="1"/>
  <c r="G8" i="47" s="1"/>
  <c r="G6" i="46" s="1"/>
  <c r="G12" i="45" s="1"/>
  <c r="G7" i="44" s="1"/>
  <c r="G6" i="43" s="1"/>
  <c r="G8" i="49"/>
  <c r="G12" i="49"/>
  <c r="G14" i="49"/>
  <c r="G25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" i="49"/>
  <c r="F8" i="49"/>
  <c r="F12" i="49"/>
  <c r="F14" i="49"/>
  <c r="F25" i="49"/>
  <c r="F2" i="49"/>
  <c r="F6" i="48" s="1"/>
  <c r="F8" i="47" s="1"/>
  <c r="F6" i="46" s="1"/>
  <c r="F12" i="45" l="1"/>
  <c r="F7" i="44" s="1"/>
  <c r="F6" i="43" s="1"/>
  <c r="F14" i="45"/>
  <c r="F12" i="44" s="1"/>
  <c r="F12" i="43" s="1"/>
  <c r="H26" i="45"/>
  <c r="H24" i="45"/>
  <c r="H16" i="44" s="1"/>
  <c r="H25" i="11"/>
  <c r="H28" i="9" s="1"/>
  <c r="H23" i="8" s="1"/>
  <c r="H31" i="22"/>
  <c r="F22" i="30"/>
  <c r="F19" i="29" s="1"/>
  <c r="F24" i="28" s="1"/>
  <c r="F23" i="27" s="1"/>
  <c r="F25" i="26" s="1"/>
  <c r="F19" i="25" s="1"/>
  <c r="F30" i="24" s="1"/>
  <c r="F28" i="23" s="1"/>
  <c r="F21" i="56" s="1"/>
  <c r="F31" i="22" s="1"/>
  <c r="F18" i="30"/>
  <c r="F17" i="29" s="1"/>
  <c r="F15" i="28" s="1"/>
  <c r="F17" i="27" s="1"/>
  <c r="F16" i="26" s="1"/>
  <c r="F13" i="25" s="1"/>
  <c r="F21" i="24" s="1"/>
  <c r="F15" i="23" s="1"/>
  <c r="F13" i="56" s="1"/>
  <c r="F18" i="22" s="1"/>
  <c r="F20" i="20" s="1"/>
  <c r="F19" i="19" s="1"/>
  <c r="F22" i="18" s="1"/>
  <c r="F18" i="17" s="1"/>
  <c r="F21" i="16" s="1"/>
  <c r="F21" i="15" s="1"/>
  <c r="F22" i="14" s="1"/>
  <c r="F16" i="13" s="1"/>
  <c r="F19" i="12" s="1"/>
  <c r="F18" i="11" s="1"/>
  <c r="F22" i="10" s="1"/>
  <c r="F17" i="9" s="1"/>
  <c r="F17" i="8" s="1"/>
  <c r="F19" i="7" s="1"/>
  <c r="F27" i="6" s="1"/>
  <c r="F23" i="5" s="1"/>
  <c r="F20" i="1" s="1"/>
  <c r="F8" i="30"/>
  <c r="F8" i="29" s="1"/>
  <c r="F10" i="28" s="1"/>
  <c r="F7" i="27" s="1"/>
  <c r="F8" i="26" s="1"/>
  <c r="F6" i="25" s="1"/>
  <c r="F9" i="24" s="1"/>
  <c r="F8" i="23" s="1"/>
  <c r="F8" i="56" s="1"/>
  <c r="F7" i="22" s="1"/>
  <c r="F8" i="20" s="1"/>
  <c r="F10" i="19" s="1"/>
  <c r="F9" i="18" s="1"/>
  <c r="F10" i="17" s="1"/>
  <c r="F11" i="16" s="1"/>
  <c r="F13" i="15" s="1"/>
  <c r="F9" i="14" s="1"/>
  <c r="F11" i="13" s="1"/>
  <c r="F14" i="12" s="1"/>
  <c r="F13" i="11" s="1"/>
  <c r="F15" i="10" s="1"/>
  <c r="F13" i="9" s="1"/>
  <c r="F9" i="8" s="1"/>
  <c r="F11" i="7" s="1"/>
  <c r="F17" i="6" s="1"/>
  <c r="F9" i="5" s="1"/>
  <c r="F10" i="1" s="1"/>
  <c r="F12" i="30"/>
  <c r="F11" i="29" s="1"/>
  <c r="F13" i="28" s="1"/>
  <c r="F12" i="27" s="1"/>
  <c r="F11" i="26" s="1"/>
  <c r="F9" i="25" s="1"/>
  <c r="F10" i="24" s="1"/>
  <c r="F7" i="23" s="1"/>
  <c r="F9" i="56" s="1"/>
  <c r="F12" i="22" s="1"/>
  <c r="F10" i="20" s="1"/>
  <c r="F12" i="19" s="1"/>
  <c r="F13" i="18" s="1"/>
  <c r="F11" i="17" s="1"/>
  <c r="F15" i="16" s="1"/>
  <c r="F16" i="15" s="1"/>
  <c r="F12" i="14" s="1"/>
  <c r="F13" i="13" s="1"/>
  <c r="F16" i="12" s="1"/>
  <c r="F14" i="11" s="1"/>
  <c r="F16" i="10" s="1"/>
  <c r="F14" i="9" s="1"/>
  <c r="F11" i="8" s="1"/>
  <c r="F13" i="7" s="1"/>
  <c r="F19" i="6" s="1"/>
  <c r="F15" i="5" s="1"/>
  <c r="F15" i="1" s="1"/>
  <c r="G22" i="30"/>
  <c r="G19" i="29" s="1"/>
  <c r="G24" i="28" s="1"/>
  <c r="G23" i="27" s="1"/>
  <c r="G25" i="26" s="1"/>
  <c r="G19" i="25" s="1"/>
  <c r="G30" i="24" s="1"/>
  <c r="G28" i="23" s="1"/>
  <c r="G21" i="56" s="1"/>
  <c r="F16" i="30"/>
  <c r="F16" i="29" s="1"/>
  <c r="F18" i="28" s="1"/>
  <c r="F16" i="27" s="1"/>
  <c r="F15" i="26" s="1"/>
  <c r="F16" i="25" s="1"/>
  <c r="F20" i="24" s="1"/>
  <c r="F19" i="23" s="1"/>
  <c r="F15" i="56" s="1"/>
  <c r="F17" i="22" s="1"/>
  <c r="F16" i="20" s="1"/>
  <c r="F16" i="19" s="1"/>
  <c r="F18" i="18" s="1"/>
  <c r="F14" i="17" s="1"/>
  <c r="F17" i="16" s="1"/>
  <c r="F19" i="15" s="1"/>
  <c r="F16" i="14" s="1"/>
  <c r="F15" i="13" s="1"/>
  <c r="F18" i="12" s="1"/>
  <c r="F19" i="11" s="1"/>
  <c r="F19" i="10" s="1"/>
  <c r="F20" i="9" s="1"/>
  <c r="F19" i="8" s="1"/>
  <c r="F17" i="7" s="1"/>
  <c r="F21" i="6" s="1"/>
  <c r="F19" i="5" s="1"/>
  <c r="F18" i="1" s="1"/>
  <c r="F15" i="30"/>
  <c r="F13" i="29" s="1"/>
  <c r="F20" i="28" s="1"/>
  <c r="F19" i="27" s="1"/>
  <c r="F18" i="26" s="1"/>
  <c r="F21" i="25" s="1"/>
  <c r="F23" i="24" s="1"/>
  <c r="F11" i="23" s="1"/>
  <c r="F10" i="56" s="1"/>
  <c r="F8" i="22" s="1"/>
  <c r="F9" i="20" s="1"/>
  <c r="F15" i="19" s="1"/>
  <c r="F17" i="18" s="1"/>
  <c r="F13" i="17" s="1"/>
  <c r="F16" i="16" s="1"/>
  <c r="F18" i="15" s="1"/>
  <c r="F19" i="14" s="1"/>
  <c r="F19" i="13" s="1"/>
  <c r="F17" i="12" s="1"/>
  <c r="F17" i="11" s="1"/>
  <c r="F21" i="10" s="1"/>
  <c r="F19" i="9" s="1"/>
  <c r="F18" i="8" s="1"/>
  <c r="F20" i="7" s="1"/>
  <c r="F25" i="6" s="1"/>
  <c r="F20" i="5" s="1"/>
  <c r="F19" i="1" s="1"/>
  <c r="G21" i="30"/>
  <c r="G18" i="29" s="1"/>
  <c r="G23" i="28" s="1"/>
  <c r="G22" i="27" s="1"/>
  <c r="G24" i="26" s="1"/>
  <c r="G28" i="25" s="1"/>
  <c r="G29" i="23" s="1"/>
  <c r="G24" i="56" s="1"/>
  <c r="G26" i="22" s="1"/>
  <c r="G23" i="20" s="1"/>
  <c r="G24" i="19" s="1"/>
  <c r="G19" i="18" s="1"/>
  <c r="G17" i="17" s="1"/>
  <c r="G20" i="16" s="1"/>
  <c r="G23" i="15" s="1"/>
  <c r="G23" i="14" s="1"/>
  <c r="G21" i="13" s="1"/>
  <c r="G25" i="12" s="1"/>
  <c r="G24" i="11" s="1"/>
  <c r="G26" i="10" s="1"/>
  <c r="G25" i="9" s="1"/>
  <c r="G25" i="8" s="1"/>
  <c r="G25" i="7" s="1"/>
  <c r="F11" i="30"/>
  <c r="F10" i="29" s="1"/>
  <c r="F12" i="28" s="1"/>
  <c r="F15" i="27" s="1"/>
  <c r="F14" i="26" s="1"/>
  <c r="F12" i="25" s="1"/>
  <c r="F12" i="24" s="1"/>
  <c r="F10" i="23" s="1"/>
  <c r="F6" i="56" s="1"/>
  <c r="F6" i="22" s="1"/>
  <c r="F4" i="20" s="1"/>
  <c r="F7" i="19" s="1"/>
  <c r="F8" i="18" s="1"/>
  <c r="F6" i="17" s="1"/>
  <c r="F10" i="16" s="1"/>
  <c r="F10" i="15" s="1"/>
  <c r="F7" i="14" s="1"/>
  <c r="F10" i="13" s="1"/>
  <c r="F13" i="12" s="1"/>
  <c r="F12" i="11" s="1"/>
  <c r="F14" i="10" s="1"/>
  <c r="F15" i="9" s="1"/>
  <c r="F12" i="8" s="1"/>
  <c r="F10" i="7" s="1"/>
  <c r="F15" i="6" s="1"/>
  <c r="F13" i="5" s="1"/>
  <c r="F12" i="1" s="1"/>
  <c r="G12" i="30"/>
  <c r="G11" i="29" s="1"/>
  <c r="G13" i="28" s="1"/>
  <c r="G12" i="27" s="1"/>
  <c r="G11" i="26" s="1"/>
  <c r="G9" i="25" s="1"/>
  <c r="G10" i="24" s="1"/>
  <c r="G7" i="23" s="1"/>
  <c r="G9" i="56" s="1"/>
  <c r="G12" i="22" s="1"/>
  <c r="G10" i="20" s="1"/>
  <c r="G12" i="19" s="1"/>
  <c r="G13" i="18" s="1"/>
  <c r="G11" i="17" s="1"/>
  <c r="G15" i="16" s="1"/>
  <c r="G16" i="15" s="1"/>
  <c r="G12" i="14" s="1"/>
  <c r="G13" i="13" s="1"/>
  <c r="G16" i="12" s="1"/>
  <c r="G14" i="11" s="1"/>
  <c r="G16" i="10" s="1"/>
  <c r="G14" i="9" s="1"/>
  <c r="G11" i="8" s="1"/>
  <c r="G13" i="7" s="1"/>
  <c r="F25" i="30"/>
  <c r="F20" i="29" s="1"/>
  <c r="F19" i="28" s="1"/>
  <c r="F21" i="27" s="1"/>
  <c r="F21" i="26" s="1"/>
  <c r="F23" i="25" s="1"/>
  <c r="F29" i="24" s="1"/>
  <c r="F23" i="23" s="1"/>
  <c r="F17" i="56" s="1"/>
  <c r="F28" i="22" s="1"/>
  <c r="F29" i="20" s="1"/>
  <c r="F29" i="19" s="1"/>
  <c r="F31" i="18" s="1"/>
  <c r="F21" i="17" s="1"/>
  <c r="F24" i="16" s="1"/>
  <c r="F25" i="15" s="1"/>
  <c r="F25" i="14" s="1"/>
  <c r="F23" i="13" s="1"/>
  <c r="F26" i="12" s="1"/>
  <c r="F16" i="11" s="1"/>
  <c r="F20" i="10" s="1"/>
  <c r="F18" i="9" s="1"/>
  <c r="F16" i="8" s="1"/>
  <c r="F18" i="7" s="1"/>
  <c r="F26" i="6" s="1"/>
  <c r="F28" i="5" s="1"/>
  <c r="F23" i="1" s="1"/>
  <c r="F31" i="30"/>
  <c r="F24" i="29" s="1"/>
  <c r="F27" i="28" s="1"/>
  <c r="F25" i="27" s="1"/>
  <c r="F27" i="26" s="1"/>
  <c r="F27" i="25" s="1"/>
  <c r="G8" i="30"/>
  <c r="G8" i="29" s="1"/>
  <c r="G10" i="28" s="1"/>
  <c r="G7" i="27" s="1"/>
  <c r="G8" i="26" s="1"/>
  <c r="G6" i="25" s="1"/>
  <c r="G9" i="24" s="1"/>
  <c r="G8" i="23" s="1"/>
  <c r="G8" i="56" s="1"/>
  <c r="G7" i="22" s="1"/>
  <c r="G8" i="20" s="1"/>
  <c r="G10" i="19" s="1"/>
  <c r="G9" i="18" s="1"/>
  <c r="G10" i="17" s="1"/>
  <c r="G11" i="16" s="1"/>
  <c r="G13" i="15" s="1"/>
  <c r="G9" i="14" s="1"/>
  <c r="G11" i="13" s="1"/>
  <c r="G14" i="12" s="1"/>
  <c r="G13" i="11" s="1"/>
  <c r="G15" i="10" s="1"/>
  <c r="G13" i="9" s="1"/>
  <c r="G9" i="8" s="1"/>
  <c r="G11" i="7" s="1"/>
  <c r="G16" i="30"/>
  <c r="G16" i="29" s="1"/>
  <c r="G18" i="28" s="1"/>
  <c r="G16" i="27" s="1"/>
  <c r="G15" i="26" s="1"/>
  <c r="G16" i="25" s="1"/>
  <c r="G20" i="24" s="1"/>
  <c r="G19" i="23" s="1"/>
  <c r="G15" i="56" s="1"/>
  <c r="G17" i="22" s="1"/>
  <c r="G16" i="20" s="1"/>
  <c r="G16" i="19" s="1"/>
  <c r="G18" i="18" s="1"/>
  <c r="G14" i="17" s="1"/>
  <c r="G17" i="16" s="1"/>
  <c r="G19" i="15" s="1"/>
  <c r="G16" i="14" s="1"/>
  <c r="G15" i="13" s="1"/>
  <c r="G18" i="12" s="1"/>
  <c r="G19" i="11" s="1"/>
  <c r="G19" i="10" s="1"/>
  <c r="G20" i="9" s="1"/>
  <c r="G19" i="8" s="1"/>
  <c r="G17" i="7" s="1"/>
  <c r="F6" i="30"/>
  <c r="F6" i="29" s="1"/>
  <c r="F11" i="28" s="1"/>
  <c r="F9" i="27" s="1"/>
  <c r="F12" i="26" s="1"/>
  <c r="F11" i="25" s="1"/>
  <c r="F15" i="24" s="1"/>
  <c r="F12" i="23" s="1"/>
  <c r="F11" i="56" s="1"/>
  <c r="F9" i="22" s="1"/>
  <c r="F6" i="20" s="1"/>
  <c r="F11" i="19" s="1"/>
  <c r="F11" i="18" s="1"/>
  <c r="F8" i="17" s="1"/>
  <c r="F12" i="16" s="1"/>
  <c r="F12" i="15" s="1"/>
  <c r="F11" i="14" s="1"/>
  <c r="F12" i="13" s="1"/>
  <c r="F15" i="12" s="1"/>
  <c r="F15" i="11" s="1"/>
  <c r="F17" i="10" s="1"/>
  <c r="F16" i="9" s="1"/>
  <c r="F13" i="8" s="1"/>
  <c r="F12" i="7" s="1"/>
  <c r="F18" i="6" s="1"/>
  <c r="F14" i="5" s="1"/>
  <c r="F14" i="1" s="1"/>
  <c r="F4" i="30"/>
  <c r="F5" i="29" s="1"/>
  <c r="F5" i="28" s="1"/>
  <c r="F8" i="27" s="1"/>
  <c r="F10" i="26" s="1"/>
  <c r="F10" i="25" s="1"/>
  <c r="F14" i="24" s="1"/>
  <c r="F13" i="23" s="1"/>
  <c r="F12" i="56" s="1"/>
  <c r="F14" i="22" s="1"/>
  <c r="F11" i="20" s="1"/>
  <c r="F13" i="19" s="1"/>
  <c r="F12" i="18" s="1"/>
  <c r="F9" i="17" s="1"/>
  <c r="F9" i="16" s="1"/>
  <c r="F9" i="15" s="1"/>
  <c r="F8" i="14" s="1"/>
  <c r="F9" i="13" s="1"/>
  <c r="F11" i="12" s="1"/>
  <c r="F11" i="11" s="1"/>
  <c r="F13" i="10" s="1"/>
  <c r="F12" i="9" s="1"/>
  <c r="F10" i="8" s="1"/>
  <c r="F9" i="7" s="1"/>
  <c r="F14" i="6" s="1"/>
  <c r="F12" i="5" s="1"/>
  <c r="F11" i="1" s="1"/>
  <c r="G7" i="30"/>
  <c r="G7" i="29" s="1"/>
  <c r="G7" i="28" s="1"/>
  <c r="G6" i="27" s="1"/>
  <c r="G5" i="26" s="1"/>
  <c r="G4" i="25" s="1"/>
  <c r="G6" i="24" s="1"/>
  <c r="G6" i="23" s="1"/>
  <c r="G5" i="56" s="1"/>
  <c r="G5" i="22" s="1"/>
  <c r="G5" i="20" s="1"/>
  <c r="G6" i="19" s="1"/>
  <c r="G7" i="18" s="1"/>
  <c r="G5" i="17" s="1"/>
  <c r="G8" i="16" s="1"/>
  <c r="G8" i="15" s="1"/>
  <c r="G5" i="14" s="1"/>
  <c r="G8" i="13" s="1"/>
  <c r="G9" i="12" s="1"/>
  <c r="G9" i="11" s="1"/>
  <c r="G11" i="10" s="1"/>
  <c r="G8" i="9" s="1"/>
  <c r="G5" i="8" s="1"/>
  <c r="G6" i="7" s="1"/>
  <c r="G18" i="30"/>
  <c r="G17" i="29" s="1"/>
  <c r="G15" i="28" s="1"/>
  <c r="G17" i="27" s="1"/>
  <c r="G16" i="26" s="1"/>
  <c r="G13" i="25" s="1"/>
  <c r="G21" i="24" s="1"/>
  <c r="G15" i="23" s="1"/>
  <c r="G13" i="56" s="1"/>
  <c r="G18" i="22" s="1"/>
  <c r="G20" i="20" s="1"/>
  <c r="G19" i="19" s="1"/>
  <c r="G22" i="18" s="1"/>
  <c r="G18" i="17" s="1"/>
  <c r="G21" i="16" s="1"/>
  <c r="G21" i="15" s="1"/>
  <c r="G22" i="14" s="1"/>
  <c r="G16" i="13" s="1"/>
  <c r="G19" i="12" s="1"/>
  <c r="G18" i="11" s="1"/>
  <c r="G22" i="10" s="1"/>
  <c r="G17" i="9" s="1"/>
  <c r="G17" i="8" s="1"/>
  <c r="G19" i="7" s="1"/>
  <c r="G9" i="30"/>
  <c r="G9" i="29" s="1"/>
  <c r="G6" i="28" s="1"/>
  <c r="G11" i="27" s="1"/>
  <c r="G9" i="26" s="1"/>
  <c r="G20" i="25" s="1"/>
  <c r="G7" i="24" s="1"/>
  <c r="G3" i="23" s="1"/>
  <c r="G3" i="56" s="1"/>
  <c r="G3" i="22" s="1"/>
  <c r="G3" i="20" s="1"/>
  <c r="G4" i="19" s="1"/>
  <c r="G4" i="18" s="1"/>
  <c r="G4" i="17" s="1"/>
  <c r="G5" i="16" s="1"/>
  <c r="G3" i="15" s="1"/>
  <c r="G4" i="14" s="1"/>
  <c r="G6" i="13" s="1"/>
  <c r="G5" i="12" s="1"/>
  <c r="G5" i="11" s="1"/>
  <c r="G4" i="10" s="1"/>
  <c r="G3" i="9" s="1"/>
  <c r="G3" i="8" s="1"/>
  <c r="G3" i="7" s="1"/>
  <c r="F9" i="30"/>
  <c r="F9" i="29" s="1"/>
  <c r="F6" i="28" s="1"/>
  <c r="F11" i="27" s="1"/>
  <c r="F9" i="26" s="1"/>
  <c r="F20" i="25" s="1"/>
  <c r="F7" i="24" s="1"/>
  <c r="F3" i="23" s="1"/>
  <c r="F3" i="56" s="1"/>
  <c r="F3" i="22" s="1"/>
  <c r="F3" i="20" s="1"/>
  <c r="F4" i="19" s="1"/>
  <c r="F4" i="18" s="1"/>
  <c r="F4" i="17" s="1"/>
  <c r="F5" i="16" s="1"/>
  <c r="F3" i="15" s="1"/>
  <c r="F4" i="14" s="1"/>
  <c r="F6" i="13" s="1"/>
  <c r="F5" i="12" s="1"/>
  <c r="F5" i="11" s="1"/>
  <c r="F4" i="10" s="1"/>
  <c r="F3" i="9" s="1"/>
  <c r="F3" i="8" s="1"/>
  <c r="F3" i="7" s="1"/>
  <c r="F3" i="6" s="1"/>
  <c r="F2" i="5" s="1"/>
  <c r="F2" i="1" s="1"/>
  <c r="F21" i="30"/>
  <c r="F18" i="29" s="1"/>
  <c r="F23" i="28" s="1"/>
  <c r="F22" i="27" s="1"/>
  <c r="F24" i="26" s="1"/>
  <c r="F28" i="25" s="1"/>
  <c r="F17" i="30"/>
  <c r="F15" i="29" s="1"/>
  <c r="F17" i="28" s="1"/>
  <c r="F18" i="27" s="1"/>
  <c r="F19" i="26" s="1"/>
  <c r="F22" i="25" s="1"/>
  <c r="F24" i="24" s="1"/>
  <c r="F18" i="23" s="1"/>
  <c r="F14" i="56" s="1"/>
  <c r="F19" i="22" s="1"/>
  <c r="F17" i="20" s="1"/>
  <c r="F17" i="19" s="1"/>
  <c r="F20" i="18" s="1"/>
  <c r="F15" i="17" s="1"/>
  <c r="F18" i="16" s="1"/>
  <c r="F20" i="15" s="1"/>
  <c r="F20" i="14" s="1"/>
  <c r="F17" i="13" s="1"/>
  <c r="F20" i="12" s="1"/>
  <c r="F21" i="11" s="1"/>
  <c r="F24" i="10" s="1"/>
  <c r="F21" i="9" s="1"/>
  <c r="F20" i="8" s="1"/>
  <c r="F22" i="7" s="1"/>
  <c r="F29" i="6" s="1"/>
  <c r="F29" i="5" s="1"/>
  <c r="F22" i="1" s="1"/>
  <c r="G6" i="30"/>
  <c r="G6" i="29" s="1"/>
  <c r="G11" i="28" s="1"/>
  <c r="G9" i="27" s="1"/>
  <c r="G12" i="26" s="1"/>
  <c r="G11" i="25" s="1"/>
  <c r="G15" i="24" s="1"/>
  <c r="G12" i="23" s="1"/>
  <c r="G11" i="56" s="1"/>
  <c r="G9" i="22" s="1"/>
  <c r="G6" i="20" s="1"/>
  <c r="G11" i="19" s="1"/>
  <c r="G11" i="18" s="1"/>
  <c r="G8" i="17" s="1"/>
  <c r="G12" i="16" s="1"/>
  <c r="G12" i="15" s="1"/>
  <c r="G11" i="14" s="1"/>
  <c r="G12" i="13" s="1"/>
  <c r="G15" i="12" s="1"/>
  <c r="G15" i="11" s="1"/>
  <c r="G17" i="10" s="1"/>
  <c r="G16" i="9" s="1"/>
  <c r="G13" i="8" s="1"/>
  <c r="G12" i="7" s="1"/>
  <c r="F7" i="30"/>
  <c r="F7" i="29" s="1"/>
  <c r="F7" i="28" s="1"/>
  <c r="F6" i="27" s="1"/>
  <c r="F5" i="26" s="1"/>
  <c r="F4" i="25" s="1"/>
  <c r="F6" i="24" s="1"/>
  <c r="F6" i="23" s="1"/>
  <c r="F5" i="56" s="1"/>
  <c r="F5" i="22" s="1"/>
  <c r="F5" i="20" s="1"/>
  <c r="F6" i="19" s="1"/>
  <c r="F7" i="18" s="1"/>
  <c r="F5" i="17" s="1"/>
  <c r="F8" i="16" s="1"/>
  <c r="F8" i="15" s="1"/>
  <c r="F5" i="14" s="1"/>
  <c r="F8" i="13" s="1"/>
  <c r="F9" i="12" s="1"/>
  <c r="F9" i="11" s="1"/>
  <c r="F11" i="10" s="1"/>
  <c r="F8" i="9" s="1"/>
  <c r="F5" i="8" s="1"/>
  <c r="F6" i="7" s="1"/>
  <c r="F12" i="6" s="1"/>
  <c r="F5" i="5" s="1"/>
  <c r="F4" i="1" s="1"/>
  <c r="H4" i="53"/>
  <c r="H5" i="53"/>
  <c r="H6" i="53"/>
  <c r="H8" i="53"/>
  <c r="H9" i="53"/>
  <c r="H10" i="53"/>
  <c r="H11" i="53"/>
  <c r="H12" i="53"/>
  <c r="H13" i="53"/>
  <c r="H14" i="53"/>
  <c r="H15" i="53"/>
  <c r="H16" i="53"/>
  <c r="H17" i="53"/>
  <c r="H18" i="53"/>
  <c r="H19" i="53"/>
  <c r="H20" i="53"/>
  <c r="H21" i="53"/>
  <c r="H22" i="53"/>
  <c r="H23" i="53"/>
  <c r="H24" i="53"/>
  <c r="H25" i="53"/>
  <c r="H26" i="53"/>
  <c r="H27" i="53"/>
  <c r="H28" i="53"/>
  <c r="H29" i="53"/>
  <c r="H30" i="53"/>
  <c r="H31" i="53"/>
  <c r="H3" i="53"/>
  <c r="G25" i="11" l="1"/>
  <c r="G28" i="9" s="1"/>
  <c r="G23" i="8" s="1"/>
  <c r="G31" i="22"/>
  <c r="I2" i="50"/>
  <c r="J2" i="50" s="1"/>
  <c r="I3" i="50"/>
  <c r="J3" i="50" s="1"/>
  <c r="I4" i="50"/>
  <c r="J4" i="50" s="1"/>
  <c r="I5" i="50"/>
  <c r="J5" i="50" s="1"/>
  <c r="I8" i="50"/>
  <c r="J8" i="50" s="1"/>
  <c r="I9" i="50"/>
  <c r="J9" i="50" s="1"/>
  <c r="I12" i="50"/>
  <c r="J12" i="50" s="1"/>
  <c r="I15" i="50"/>
  <c r="J15" i="50" s="1"/>
  <c r="I21" i="50"/>
  <c r="J21" i="50" s="1"/>
  <c r="I26" i="50"/>
  <c r="J26" i="50" s="1"/>
  <c r="J26" i="51"/>
  <c r="J29" i="51"/>
  <c r="J30" i="51"/>
  <c r="J31" i="51"/>
  <c r="H6" i="51"/>
  <c r="H20" i="50" s="1"/>
  <c r="H26" i="49" s="1"/>
  <c r="H31" i="48" s="1"/>
  <c r="H28" i="47" s="1"/>
  <c r="H31" i="46" s="1"/>
  <c r="G6" i="51"/>
  <c r="G20" i="50" s="1"/>
  <c r="G26" i="49" s="1"/>
  <c r="G31" i="48" s="1"/>
  <c r="G28" i="47" s="1"/>
  <c r="G31" i="46" s="1"/>
  <c r="F6" i="51"/>
  <c r="F20" i="50" s="1"/>
  <c r="F26" i="49" s="1"/>
  <c r="F31" i="48" s="1"/>
  <c r="F28" i="47" s="1"/>
  <c r="F31" i="46" s="1"/>
  <c r="E36" i="51"/>
  <c r="E35" i="51"/>
  <c r="E33" i="51"/>
  <c r="J27" i="51"/>
  <c r="H3" i="52"/>
  <c r="H2" i="51" s="1"/>
  <c r="H7" i="50" s="1"/>
  <c r="H4" i="49" s="1"/>
  <c r="H5" i="48" s="1"/>
  <c r="H4" i="47" s="1"/>
  <c r="H5" i="46" s="1"/>
  <c r="H4" i="52"/>
  <c r="H3" i="51" s="1"/>
  <c r="H6" i="50" s="1"/>
  <c r="H3" i="49" s="1"/>
  <c r="H7" i="48" s="1"/>
  <c r="H5" i="47" s="1"/>
  <c r="H4" i="46" s="1"/>
  <c r="H5" i="52"/>
  <c r="H4" i="51" s="1"/>
  <c r="H13" i="50" s="1"/>
  <c r="H9" i="49" s="1"/>
  <c r="H19" i="48" s="1"/>
  <c r="H13" i="47" s="1"/>
  <c r="H15" i="46" s="1"/>
  <c r="H21" i="45" s="1"/>
  <c r="H14" i="44" s="1"/>
  <c r="H10" i="43" s="1"/>
  <c r="H6" i="52"/>
  <c r="H5" i="51" s="1"/>
  <c r="H10" i="50" s="1"/>
  <c r="H7" i="49" s="1"/>
  <c r="H16" i="48" s="1"/>
  <c r="H9" i="47" s="1"/>
  <c r="H9" i="46" s="1"/>
  <c r="H8" i="52"/>
  <c r="H13" i="51" s="1"/>
  <c r="H25" i="50" s="1"/>
  <c r="H9" i="52"/>
  <c r="H7" i="51" s="1"/>
  <c r="H11" i="50" s="1"/>
  <c r="H11" i="49" s="1"/>
  <c r="H23" i="48" s="1"/>
  <c r="H19" i="47" s="1"/>
  <c r="H19" i="46" s="1"/>
  <c r="H23" i="45" s="1"/>
  <c r="H18" i="44" s="1"/>
  <c r="H15" i="43" s="1"/>
  <c r="H10" i="52"/>
  <c r="H8" i="51" s="1"/>
  <c r="H14" i="50" s="1"/>
  <c r="H10" i="49" s="1"/>
  <c r="H18" i="48" s="1"/>
  <c r="H12" i="47" s="1"/>
  <c r="H13" i="46" s="1"/>
  <c r="H16" i="45" s="1"/>
  <c r="H9" i="44" s="1"/>
  <c r="H7" i="43" s="1"/>
  <c r="H11" i="52"/>
  <c r="H9" i="51" s="1"/>
  <c r="H16" i="50" s="1"/>
  <c r="H15" i="49" s="1"/>
  <c r="H21" i="48" s="1"/>
  <c r="H17" i="47" s="1"/>
  <c r="H17" i="46" s="1"/>
  <c r="H18" i="45" s="1"/>
  <c r="H10" i="44" s="1"/>
  <c r="H8" i="43" s="1"/>
  <c r="H12" i="52"/>
  <c r="H11" i="51" s="1"/>
  <c r="H17" i="50" s="1"/>
  <c r="H16" i="49" s="1"/>
  <c r="H25" i="48" s="1"/>
  <c r="H10" i="47" s="1"/>
  <c r="H12" i="46" s="1"/>
  <c r="H17" i="45" s="1"/>
  <c r="H11" i="44" s="1"/>
  <c r="H9" i="43" s="1"/>
  <c r="H13" i="52"/>
  <c r="H10" i="51" s="1"/>
  <c r="H18" i="50" s="1"/>
  <c r="H18" i="49" s="1"/>
  <c r="H27" i="48" s="1"/>
  <c r="H20" i="47" s="1"/>
  <c r="H22" i="46" s="1"/>
  <c r="H28" i="45" s="1"/>
  <c r="H19" i="44" s="1"/>
  <c r="H11" i="43" s="1"/>
  <c r="H14" i="52"/>
  <c r="H12" i="51" s="1"/>
  <c r="H19" i="50" s="1"/>
  <c r="H17" i="49" s="1"/>
  <c r="H24" i="48" s="1"/>
  <c r="H18" i="47" s="1"/>
  <c r="H20" i="46" s="1"/>
  <c r="H25" i="45" s="1"/>
  <c r="H17" i="44" s="1"/>
  <c r="H16" i="43" s="1"/>
  <c r="H15" i="52"/>
  <c r="H18" i="51" s="1"/>
  <c r="H30" i="50" s="1"/>
  <c r="H16" i="52"/>
  <c r="H14" i="51" s="1"/>
  <c r="H22" i="50" s="1"/>
  <c r="H20" i="49" s="1"/>
  <c r="H29" i="48" s="1"/>
  <c r="H22" i="47" s="1"/>
  <c r="H23" i="46" s="1"/>
  <c r="H29" i="45" s="1"/>
  <c r="H24" i="44" s="1"/>
  <c r="H17" i="52"/>
  <c r="H15" i="51" s="1"/>
  <c r="H23" i="50" s="1"/>
  <c r="H21" i="49" s="1"/>
  <c r="H30" i="48" s="1"/>
  <c r="H21" i="47" s="1"/>
  <c r="H24" i="46" s="1"/>
  <c r="H30" i="45" s="1"/>
  <c r="H21" i="44" s="1"/>
  <c r="H18" i="43" s="1"/>
  <c r="H18" i="52"/>
  <c r="H16" i="51" s="1"/>
  <c r="H27" i="50" s="1"/>
  <c r="H24" i="49" s="1"/>
  <c r="H19" i="52"/>
  <c r="H19" i="51" s="1"/>
  <c r="H22" i="52"/>
  <c r="H20" i="51" s="1"/>
  <c r="H29" i="50" s="1"/>
  <c r="H27" i="49" s="1"/>
  <c r="H23" i="47" s="1"/>
  <c r="H29" i="46" s="1"/>
  <c r="H23" i="52"/>
  <c r="H21" i="51" s="1"/>
  <c r="H28" i="50" s="1"/>
  <c r="H22" i="49" s="1"/>
  <c r="H26" i="47" s="1"/>
  <c r="H27" i="46" s="1"/>
  <c r="H22" i="44" s="1"/>
  <c r="H20" i="43" s="1"/>
  <c r="H25" i="52"/>
  <c r="H17" i="51" s="1"/>
  <c r="H24" i="50" s="1"/>
  <c r="H28" i="49" s="1"/>
  <c r="H26" i="52"/>
  <c r="H24" i="51" s="1"/>
  <c r="H31" i="49" s="1"/>
  <c r="H30" i="44" s="1"/>
  <c r="H27" i="52"/>
  <c r="H22" i="51" s="1"/>
  <c r="H29" i="49" s="1"/>
  <c r="H28" i="52"/>
  <c r="H23" i="51" s="1"/>
  <c r="H31" i="50" s="1"/>
  <c r="H29" i="52"/>
  <c r="H27" i="51" s="1"/>
  <c r="H30" i="52"/>
  <c r="H26" i="51" s="1"/>
  <c r="H30" i="49" s="1"/>
  <c r="H30" i="47" s="1"/>
  <c r="H28" i="44" s="1"/>
  <c r="H22" i="43" s="1"/>
  <c r="H31" i="52"/>
  <c r="H31" i="51" s="1"/>
  <c r="G3" i="52"/>
  <c r="G2" i="51" s="1"/>
  <c r="G7" i="50" s="1"/>
  <c r="G4" i="49" s="1"/>
  <c r="G5" i="48" s="1"/>
  <c r="G4" i="47" s="1"/>
  <c r="G5" i="46" s="1"/>
  <c r="G4" i="52"/>
  <c r="G3" i="51" s="1"/>
  <c r="G6" i="50" s="1"/>
  <c r="G3" i="49" s="1"/>
  <c r="G7" i="48" s="1"/>
  <c r="G5" i="47" s="1"/>
  <c r="G4" i="46" s="1"/>
  <c r="G5" i="52"/>
  <c r="G4" i="51" s="1"/>
  <c r="G13" i="50" s="1"/>
  <c r="G9" i="49" s="1"/>
  <c r="G19" i="48" s="1"/>
  <c r="G13" i="47" s="1"/>
  <c r="G15" i="46" s="1"/>
  <c r="G21" i="45" s="1"/>
  <c r="G14" i="44" s="1"/>
  <c r="G10" i="43" s="1"/>
  <c r="G6" i="52"/>
  <c r="G5" i="51" s="1"/>
  <c r="G10" i="50" s="1"/>
  <c r="G7" i="49" s="1"/>
  <c r="G16" i="48" s="1"/>
  <c r="G9" i="47" s="1"/>
  <c r="G9" i="46" s="1"/>
  <c r="G8" i="52"/>
  <c r="G13" i="51" s="1"/>
  <c r="G25" i="50" s="1"/>
  <c r="G9" i="52"/>
  <c r="G7" i="51" s="1"/>
  <c r="G11" i="50" s="1"/>
  <c r="G11" i="49" s="1"/>
  <c r="G23" i="48" s="1"/>
  <c r="G19" i="47" s="1"/>
  <c r="G19" i="46" s="1"/>
  <c r="G23" i="45" s="1"/>
  <c r="G18" i="44" s="1"/>
  <c r="G15" i="43" s="1"/>
  <c r="G10" i="52"/>
  <c r="G8" i="51" s="1"/>
  <c r="G14" i="50" s="1"/>
  <c r="G10" i="49" s="1"/>
  <c r="G18" i="48" s="1"/>
  <c r="G12" i="47" s="1"/>
  <c r="G13" i="46" s="1"/>
  <c r="G16" i="45" s="1"/>
  <c r="G9" i="44" s="1"/>
  <c r="G7" i="43" s="1"/>
  <c r="G11" i="52"/>
  <c r="G9" i="51" s="1"/>
  <c r="G16" i="50" s="1"/>
  <c r="G15" i="49" s="1"/>
  <c r="G21" i="48" s="1"/>
  <c r="G17" i="47" s="1"/>
  <c r="G17" i="46" s="1"/>
  <c r="G18" i="45" s="1"/>
  <c r="G10" i="44" s="1"/>
  <c r="G8" i="43" s="1"/>
  <c r="G12" i="52"/>
  <c r="G11" i="51" s="1"/>
  <c r="G17" i="50" s="1"/>
  <c r="G16" i="49" s="1"/>
  <c r="G25" i="48" s="1"/>
  <c r="G10" i="47" s="1"/>
  <c r="G12" i="46" s="1"/>
  <c r="G17" i="45" s="1"/>
  <c r="G11" i="44" s="1"/>
  <c r="G9" i="43" s="1"/>
  <c r="G13" i="52"/>
  <c r="G10" i="51" s="1"/>
  <c r="G18" i="50" s="1"/>
  <c r="G18" i="49" s="1"/>
  <c r="G27" i="48" s="1"/>
  <c r="G20" i="47" s="1"/>
  <c r="G22" i="46" s="1"/>
  <c r="G28" i="45" s="1"/>
  <c r="G19" i="44" s="1"/>
  <c r="G11" i="43" s="1"/>
  <c r="G14" i="52"/>
  <c r="G12" i="51" s="1"/>
  <c r="G19" i="50" s="1"/>
  <c r="G17" i="49" s="1"/>
  <c r="G24" i="48" s="1"/>
  <c r="G18" i="47" s="1"/>
  <c r="G20" i="46" s="1"/>
  <c r="G25" i="45" s="1"/>
  <c r="G17" i="44" s="1"/>
  <c r="G16" i="43" s="1"/>
  <c r="G15" i="52"/>
  <c r="G18" i="51" s="1"/>
  <c r="G30" i="50" s="1"/>
  <c r="G16" i="52"/>
  <c r="G14" i="51" s="1"/>
  <c r="G22" i="50" s="1"/>
  <c r="G20" i="49" s="1"/>
  <c r="G29" i="48" s="1"/>
  <c r="G22" i="47" s="1"/>
  <c r="G23" i="46" s="1"/>
  <c r="G29" i="45" s="1"/>
  <c r="G24" i="44" s="1"/>
  <c r="G17" i="52"/>
  <c r="G15" i="51" s="1"/>
  <c r="G23" i="50" s="1"/>
  <c r="G21" i="49" s="1"/>
  <c r="G30" i="48" s="1"/>
  <c r="G21" i="47" s="1"/>
  <c r="G24" i="46" s="1"/>
  <c r="G30" i="45" s="1"/>
  <c r="G21" i="44" s="1"/>
  <c r="G18" i="43" s="1"/>
  <c r="G18" i="52"/>
  <c r="G16" i="51" s="1"/>
  <c r="G27" i="50" s="1"/>
  <c r="G24" i="49" s="1"/>
  <c r="G19" i="52"/>
  <c r="G19" i="51" s="1"/>
  <c r="G22" i="52"/>
  <c r="G20" i="51" s="1"/>
  <c r="G29" i="50" s="1"/>
  <c r="G27" i="49" s="1"/>
  <c r="G23" i="47" s="1"/>
  <c r="G29" i="46" s="1"/>
  <c r="G23" i="52"/>
  <c r="G21" i="51" s="1"/>
  <c r="G28" i="50" s="1"/>
  <c r="G22" i="49" s="1"/>
  <c r="G26" i="47" s="1"/>
  <c r="G27" i="46" s="1"/>
  <c r="G22" i="44" s="1"/>
  <c r="G20" i="43" s="1"/>
  <c r="G25" i="52"/>
  <c r="G17" i="51" s="1"/>
  <c r="G24" i="50" s="1"/>
  <c r="G28" i="49" s="1"/>
  <c r="G26" i="52"/>
  <c r="G24" i="51" s="1"/>
  <c r="G31" i="49" s="1"/>
  <c r="G30" i="44" s="1"/>
  <c r="G27" i="52"/>
  <c r="G22" i="51" s="1"/>
  <c r="G29" i="49" s="1"/>
  <c r="G28" i="52"/>
  <c r="G23" i="51" s="1"/>
  <c r="G31" i="50" s="1"/>
  <c r="G29" i="52"/>
  <c r="G27" i="51" s="1"/>
  <c r="G30" i="52"/>
  <c r="G26" i="51" s="1"/>
  <c r="G30" i="49" s="1"/>
  <c r="G30" i="47" s="1"/>
  <c r="G28" i="44" s="1"/>
  <c r="G22" i="43" s="1"/>
  <c r="G31" i="52"/>
  <c r="G31" i="51" s="1"/>
  <c r="F3" i="52"/>
  <c r="F2" i="51" s="1"/>
  <c r="F7" i="50" s="1"/>
  <c r="F4" i="49" s="1"/>
  <c r="F5" i="48" s="1"/>
  <c r="F4" i="47" s="1"/>
  <c r="F5" i="46" s="1"/>
  <c r="F4" i="52"/>
  <c r="F3" i="51" s="1"/>
  <c r="F6" i="50" s="1"/>
  <c r="F3" i="49" s="1"/>
  <c r="F7" i="48" s="1"/>
  <c r="F5" i="47" s="1"/>
  <c r="F4" i="46" s="1"/>
  <c r="F8" i="52"/>
  <c r="F13" i="51" s="1"/>
  <c r="F25" i="50" s="1"/>
  <c r="F15" i="52"/>
  <c r="F18" i="51" s="1"/>
  <c r="F30" i="50" s="1"/>
  <c r="E36" i="49"/>
  <c r="E35" i="49"/>
  <c r="E33" i="49"/>
  <c r="E37" i="50"/>
  <c r="E36" i="50"/>
  <c r="E33" i="50"/>
  <c r="E36" i="52"/>
  <c r="E35" i="52"/>
  <c r="E33" i="52"/>
  <c r="I2" i="52"/>
  <c r="F6" i="53"/>
  <c r="F6" i="52" s="1"/>
  <c r="F5" i="51" s="1"/>
  <c r="F10" i="50" s="1"/>
  <c r="F7" i="49" s="1"/>
  <c r="F16" i="48" s="1"/>
  <c r="F9" i="47" s="1"/>
  <c r="F9" i="46" s="1"/>
  <c r="F8" i="53"/>
  <c r="F9" i="52" s="1"/>
  <c r="F7" i="51" s="1"/>
  <c r="F11" i="50" s="1"/>
  <c r="F11" i="49" s="1"/>
  <c r="F23" i="48" s="1"/>
  <c r="F19" i="47" s="1"/>
  <c r="F19" i="46" s="1"/>
  <c r="F9" i="53"/>
  <c r="F10" i="52" s="1"/>
  <c r="F8" i="51" s="1"/>
  <c r="F14" i="50" s="1"/>
  <c r="F10" i="49" s="1"/>
  <c r="F18" i="48" s="1"/>
  <c r="F12" i="47" s="1"/>
  <c r="F13" i="46" s="1"/>
  <c r="F10" i="53"/>
  <c r="F11" i="52" s="1"/>
  <c r="F9" i="51" s="1"/>
  <c r="F16" i="50" s="1"/>
  <c r="F15" i="49" s="1"/>
  <c r="F21" i="48" s="1"/>
  <c r="F17" i="47" s="1"/>
  <c r="F17" i="46" s="1"/>
  <c r="F11" i="53"/>
  <c r="F13" i="52" s="1"/>
  <c r="F10" i="51" s="1"/>
  <c r="F18" i="50" s="1"/>
  <c r="F18" i="49" s="1"/>
  <c r="F27" i="48" s="1"/>
  <c r="F20" i="47" s="1"/>
  <c r="F22" i="46" s="1"/>
  <c r="F12" i="53"/>
  <c r="F12" i="52" s="1"/>
  <c r="F11" i="51" s="1"/>
  <c r="F17" i="50" s="1"/>
  <c r="F16" i="49" s="1"/>
  <c r="F25" i="48" s="1"/>
  <c r="F10" i="47" s="1"/>
  <c r="F12" i="46" s="1"/>
  <c r="F13" i="53"/>
  <c r="F14" i="52" s="1"/>
  <c r="F12" i="51" s="1"/>
  <c r="F19" i="50" s="1"/>
  <c r="F17" i="49" s="1"/>
  <c r="F24" i="48" s="1"/>
  <c r="F18" i="47" s="1"/>
  <c r="F20" i="46" s="1"/>
  <c r="F14" i="53"/>
  <c r="F16" i="52" s="1"/>
  <c r="F14" i="51" s="1"/>
  <c r="F22" i="50" s="1"/>
  <c r="F20" i="49" s="1"/>
  <c r="F29" i="48" s="1"/>
  <c r="F22" i="47" s="1"/>
  <c r="F23" i="46" s="1"/>
  <c r="F15" i="53"/>
  <c r="F19" i="52" s="1"/>
  <c r="F19" i="51" s="1"/>
  <c r="F16" i="53"/>
  <c r="F18" i="52" s="1"/>
  <c r="F16" i="51" s="1"/>
  <c r="F27" i="50" s="1"/>
  <c r="F24" i="49" s="1"/>
  <c r="F17" i="53"/>
  <c r="F17" i="52" s="1"/>
  <c r="F15" i="51" s="1"/>
  <c r="F23" i="50" s="1"/>
  <c r="F21" i="49" s="1"/>
  <c r="F30" i="48" s="1"/>
  <c r="F21" i="47" s="1"/>
  <c r="F24" i="46" s="1"/>
  <c r="F18" i="53"/>
  <c r="F19" i="53"/>
  <c r="F23" i="52" s="1"/>
  <c r="F21" i="51" s="1"/>
  <c r="F28" i="50" s="1"/>
  <c r="F22" i="49" s="1"/>
  <c r="F20" i="53"/>
  <c r="F29" i="52" s="1"/>
  <c r="F27" i="51" s="1"/>
  <c r="F21" i="53"/>
  <c r="F22" i="52" s="1"/>
  <c r="F20" i="51" s="1"/>
  <c r="F29" i="50" s="1"/>
  <c r="F27" i="49" s="1"/>
  <c r="F22" i="53"/>
  <c r="F28" i="52" s="1"/>
  <c r="F23" i="51" s="1"/>
  <c r="F31" i="50" s="1"/>
  <c r="F23" i="53"/>
  <c r="F31" i="52" s="1"/>
  <c r="F31" i="51" s="1"/>
  <c r="F24" i="53"/>
  <c r="F27" i="52" s="1"/>
  <c r="F22" i="51" s="1"/>
  <c r="F25" i="53"/>
  <c r="F26" i="52" s="1"/>
  <c r="F24" i="51" s="1"/>
  <c r="F26" i="53"/>
  <c r="F25" i="52" s="1"/>
  <c r="F17" i="51" s="1"/>
  <c r="F24" i="50" s="1"/>
  <c r="F28" i="49" s="1"/>
  <c r="F27" i="53"/>
  <c r="F30" i="52" s="1"/>
  <c r="F26" i="51" s="1"/>
  <c r="F28" i="53"/>
  <c r="F29" i="53"/>
  <c r="F30" i="53"/>
  <c r="F31" i="53"/>
  <c r="F5" i="53"/>
  <c r="F5" i="52" s="1"/>
  <c r="F4" i="51" s="1"/>
  <c r="F13" i="50" s="1"/>
  <c r="F9" i="49" s="1"/>
  <c r="F19" i="48" s="1"/>
  <c r="F13" i="47" s="1"/>
  <c r="F15" i="46" s="1"/>
  <c r="H31" i="47" l="1"/>
  <c r="H31" i="44"/>
  <c r="H21" i="43" s="1"/>
  <c r="F18" i="45"/>
  <c r="F10" i="44" s="1"/>
  <c r="F8" i="43" s="1"/>
  <c r="F28" i="45"/>
  <c r="F19" i="44" s="1"/>
  <c r="F11" i="43" s="1"/>
  <c r="F29" i="45"/>
  <c r="F24" i="44" s="1"/>
  <c r="F30" i="45"/>
  <c r="F21" i="44" s="1"/>
  <c r="F18" i="43" s="1"/>
  <c r="F25" i="45"/>
  <c r="F17" i="44" s="1"/>
  <c r="F16" i="43" s="1"/>
  <c r="F21" i="45"/>
  <c r="F14" i="44" s="1"/>
  <c r="F10" i="43" s="1"/>
  <c r="F17" i="45"/>
  <c r="F11" i="44" s="1"/>
  <c r="F9" i="43" s="1"/>
  <c r="F23" i="45"/>
  <c r="F18" i="44" s="1"/>
  <c r="F15" i="43" s="1"/>
  <c r="G31" i="47"/>
  <c r="G31" i="44"/>
  <c r="G21" i="43" s="1"/>
  <c r="G10" i="45"/>
  <c r="G6" i="44" s="1"/>
  <c r="G5" i="43" s="1"/>
  <c r="F6" i="45"/>
  <c r="F5" i="44" s="1"/>
  <c r="F4" i="43" s="1"/>
  <c r="G6" i="45"/>
  <c r="G5" i="44" s="1"/>
  <c r="G4" i="43" s="1"/>
  <c r="F4" i="45"/>
  <c r="F4" i="44" s="1"/>
  <c r="F3" i="43" s="1"/>
  <c r="F10" i="45"/>
  <c r="F6" i="44" s="1"/>
  <c r="F5" i="43" s="1"/>
  <c r="G4" i="45"/>
  <c r="G4" i="44" s="1"/>
  <c r="G3" i="43" s="1"/>
  <c r="H4" i="45"/>
  <c r="H4" i="44" s="1"/>
  <c r="H3" i="43" s="1"/>
  <c r="H10" i="45"/>
  <c r="H6" i="44" s="1"/>
  <c r="H5" i="43" s="1"/>
  <c r="H6" i="45"/>
  <c r="H5" i="44" s="1"/>
  <c r="H4" i="43" s="1"/>
  <c r="I3" i="39"/>
  <c r="I4" i="39"/>
  <c r="I5" i="39"/>
  <c r="J5" i="39" s="1"/>
  <c r="I6" i="39"/>
  <c r="J6" i="39" s="1"/>
  <c r="I7" i="39"/>
  <c r="I8" i="39"/>
  <c r="I9" i="39"/>
  <c r="J9" i="39" s="1"/>
  <c r="I10" i="39"/>
  <c r="I11" i="39"/>
  <c r="I12" i="39"/>
  <c r="I13" i="39"/>
  <c r="I14" i="39"/>
  <c r="I15" i="39"/>
  <c r="I16" i="39"/>
  <c r="I17" i="39"/>
  <c r="I18" i="39"/>
  <c r="I19" i="39"/>
  <c r="I20" i="39"/>
  <c r="I22" i="39"/>
  <c r="I23" i="39"/>
  <c r="I24" i="39"/>
  <c r="I26" i="39"/>
  <c r="I27" i="39"/>
  <c r="I30" i="39"/>
  <c r="I2" i="39"/>
  <c r="J2" i="39" s="1"/>
  <c r="J21" i="53" l="1"/>
  <c r="J6" i="53"/>
  <c r="J13" i="53"/>
  <c r="J17" i="53"/>
  <c r="J18" i="53"/>
  <c r="I2" i="53"/>
  <c r="E36" i="53" l="1"/>
  <c r="E35" i="53"/>
  <c r="E33" i="53"/>
  <c r="J31" i="53"/>
  <c r="J30" i="53"/>
  <c r="J29" i="53"/>
  <c r="J28" i="53"/>
  <c r="J27" i="53"/>
  <c r="J26" i="53"/>
  <c r="J25" i="53"/>
  <c r="J24" i="53"/>
  <c r="J23" i="53"/>
  <c r="J22" i="53"/>
  <c r="J20" i="53"/>
  <c r="J19" i="53"/>
  <c r="J16" i="53"/>
  <c r="J15" i="53"/>
  <c r="J14" i="53"/>
  <c r="J12" i="53"/>
  <c r="J11" i="53"/>
  <c r="J10" i="53"/>
  <c r="J9" i="53"/>
  <c r="J8" i="53"/>
  <c r="J5" i="53"/>
  <c r="J4" i="53"/>
  <c r="J3" i="53"/>
  <c r="E36" i="54"/>
  <c r="E35" i="54"/>
  <c r="E33" i="54"/>
  <c r="J3" i="54"/>
  <c r="J2" i="54"/>
  <c r="J4" i="54"/>
  <c r="J5" i="54"/>
  <c r="J7" i="54"/>
  <c r="J8" i="54"/>
  <c r="J9" i="54"/>
  <c r="J10" i="54"/>
  <c r="J11" i="54"/>
  <c r="J12" i="54"/>
  <c r="J14" i="54"/>
  <c r="J15" i="54"/>
  <c r="J16" i="54"/>
  <c r="J19" i="54"/>
  <c r="J20" i="54"/>
  <c r="J22" i="54"/>
  <c r="J23" i="54"/>
  <c r="J24" i="54"/>
  <c r="J25" i="54"/>
  <c r="J26" i="54"/>
  <c r="J27" i="54"/>
  <c r="J28" i="54"/>
  <c r="J29" i="54"/>
  <c r="J3" i="41" l="1"/>
  <c r="J4" i="41"/>
  <c r="J5" i="41"/>
  <c r="J6" i="41"/>
  <c r="J7" i="41"/>
  <c r="J8" i="41"/>
  <c r="J9" i="41"/>
  <c r="J10" i="41"/>
  <c r="J11" i="41"/>
  <c r="J12" i="41"/>
  <c r="J13" i="41"/>
  <c r="J16" i="41"/>
  <c r="J17" i="41"/>
  <c r="J18" i="41"/>
  <c r="J20" i="41"/>
  <c r="J21" i="41"/>
  <c r="J23" i="41"/>
  <c r="J24" i="41"/>
  <c r="J27" i="41"/>
  <c r="J29" i="41"/>
  <c r="J30" i="41"/>
  <c r="J31" i="41"/>
  <c r="J2" i="41"/>
  <c r="E37" i="41"/>
  <c r="E36" i="41"/>
  <c r="E33" i="41"/>
  <c r="J2" i="40" l="1"/>
  <c r="E36" i="39"/>
  <c r="E35" i="39"/>
  <c r="E33" i="39"/>
  <c r="J30" i="39"/>
  <c r="J27" i="39"/>
  <c r="J26" i="39"/>
  <c r="J24" i="39"/>
  <c r="J22" i="39"/>
  <c r="J20" i="39"/>
  <c r="J19" i="39"/>
  <c r="J18" i="39"/>
  <c r="J17" i="39"/>
  <c r="J15" i="39"/>
  <c r="J14" i="39"/>
  <c r="J13" i="39"/>
  <c r="J12" i="39"/>
  <c r="J11" i="39"/>
  <c r="J10" i="39"/>
  <c r="J8" i="39"/>
  <c r="J7" i="39"/>
  <c r="J4" i="39"/>
  <c r="J3" i="39"/>
  <c r="E35" i="40"/>
  <c r="E34" i="40"/>
  <c r="E33" i="40"/>
  <c r="J29" i="40"/>
  <c r="J28" i="40"/>
  <c r="J24" i="40"/>
  <c r="J22" i="40"/>
  <c r="J21" i="40"/>
  <c r="J20" i="40"/>
  <c r="J19" i="40"/>
  <c r="J18" i="40"/>
  <c r="J17" i="40"/>
  <c r="J16" i="40"/>
  <c r="J15" i="40"/>
  <c r="J14" i="40"/>
  <c r="J13" i="40"/>
  <c r="J12" i="40"/>
  <c r="J11" i="40"/>
  <c r="J10" i="40"/>
  <c r="J8" i="40"/>
  <c r="J7" i="40"/>
  <c r="J4" i="40"/>
  <c r="J3" i="40"/>
  <c r="J2" i="5" l="1"/>
  <c r="J4" i="5"/>
  <c r="J5" i="5"/>
  <c r="J6" i="5"/>
  <c r="J7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8" i="5"/>
  <c r="J29" i="5"/>
  <c r="J30" i="5"/>
  <c r="J31" i="5"/>
  <c r="E37" i="6"/>
  <c r="E36" i="6"/>
  <c r="E33" i="6"/>
  <c r="E36" i="2"/>
  <c r="E36" i="1"/>
  <c r="E36" i="5"/>
  <c r="E35" i="5"/>
  <c r="E33" i="5"/>
  <c r="J3" i="1"/>
  <c r="J4" i="1"/>
  <c r="J6" i="1"/>
  <c r="J7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6" i="1"/>
  <c r="J27" i="1"/>
  <c r="J28" i="1"/>
  <c r="J29" i="1"/>
  <c r="J30" i="1"/>
  <c r="J2" i="1"/>
  <c r="J30" i="2"/>
  <c r="J29" i="2"/>
  <c r="J28" i="2"/>
  <c r="J27" i="2"/>
  <c r="J26" i="2"/>
  <c r="J25" i="2"/>
  <c r="J24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8" i="2"/>
  <c r="J7" i="2"/>
  <c r="J4" i="2"/>
  <c r="J3" i="2"/>
  <c r="E35" i="1" l="1"/>
  <c r="E33" i="1"/>
  <c r="F16" i="45"/>
  <c r="F9" i="44" s="1"/>
  <c r="F7" i="43" s="1"/>
  <c r="E33" i="45"/>
  <c r="E35" i="45"/>
</calcChain>
</file>

<file path=xl/sharedStrings.xml><?xml version="1.0" encoding="utf-8"?>
<sst xmlns="http://schemas.openxmlformats.org/spreadsheetml/2006/main" count="4899" uniqueCount="315">
  <si>
    <t>Position</t>
  </si>
  <si>
    <t>System</t>
  </si>
  <si>
    <t>Title</t>
  </si>
  <si>
    <t>Week Sales</t>
  </si>
  <si>
    <t>Total Sales</t>
  </si>
  <si>
    <t>Publisher</t>
  </si>
  <si>
    <t>Release Date</t>
  </si>
  <si>
    <t>NSW</t>
  </si>
  <si>
    <t>PS4</t>
  </si>
  <si>
    <t>Nintendo</t>
  </si>
  <si>
    <t>Splatoon 2</t>
  </si>
  <si>
    <t>Ghost of Tsushima</t>
  </si>
  <si>
    <t>Minecraft</t>
  </si>
  <si>
    <t>Super Mario Party</t>
  </si>
  <si>
    <t>eBaseball Powerful Pro Yakyuu 2020</t>
  </si>
  <si>
    <t>Paper Mario: The Origami King</t>
  </si>
  <si>
    <t>Dr. Kawashima’s Brain Training for Nintendo Switch</t>
  </si>
  <si>
    <t>New Super Mario Bros. U Deluxe</t>
  </si>
  <si>
    <t>The Legend of Heroes: Hajimari no Kiseki</t>
  </si>
  <si>
    <t>Super Mario Maker 2</t>
  </si>
  <si>
    <t>Fishing Spirits Nintendo Switch Version</t>
  </si>
  <si>
    <t>Jump Force Deluxe Edition</t>
  </si>
  <si>
    <t>Project Cars 3</t>
  </si>
  <si>
    <t>Final Fantasy Crystal Chronicles Remastered Edition</t>
  </si>
  <si>
    <t>NBA 2K21</t>
  </si>
  <si>
    <t>Taiko no Tatsujin: Drum ‘n’ Fun</t>
  </si>
  <si>
    <t>Super Mario Odyssey</t>
  </si>
  <si>
    <t>Square Enix</t>
  </si>
  <si>
    <t>Microsoft</t>
  </si>
  <si>
    <t>Kadokawa Games</t>
  </si>
  <si>
    <t>Sony</t>
  </si>
  <si>
    <t>Nihon Falcom</t>
  </si>
  <si>
    <t>Konami</t>
  </si>
  <si>
    <t>Take Two</t>
  </si>
  <si>
    <t>Bandai Namco</t>
  </si>
  <si>
    <t>Last Week</t>
  </si>
  <si>
    <t>New</t>
  </si>
  <si>
    <t>Out</t>
  </si>
  <si>
    <t>Teyon Japan</t>
  </si>
  <si>
    <t>The Legend of Zelda: Breath of the Wild</t>
  </si>
  <si>
    <t>Super Mario 3D All-Stars</t>
  </si>
  <si>
    <t>Compile Heart</t>
  </si>
  <si>
    <t>The Pokemon Company</t>
  </si>
  <si>
    <t>Idea Factory</t>
  </si>
  <si>
    <t>Falcom</t>
  </si>
  <si>
    <t>Ring Fit Adventure</t>
  </si>
  <si>
    <t>Animal Crossing: New Horizons</t>
  </si>
  <si>
    <t>eFootball PES 2021 Season Update</t>
  </si>
  <si>
    <t>Pro Yakyuu Famista 2020</t>
  </si>
  <si>
    <t>Mario Kart 8 Deluxe</t>
  </si>
  <si>
    <t>Clubhouse Games: 51 Worldwide Classics</t>
  </si>
  <si>
    <t>Azur Lane: Crosswave</t>
  </si>
  <si>
    <t>Super Smash Bros. Ultimate</t>
  </si>
  <si>
    <t>OUT</t>
  </si>
  <si>
    <t>Marvel’s Avengers</t>
  </si>
  <si>
    <t>Bilshana Senki: Genpei Hika Musou</t>
  </si>
  <si>
    <t>Human Fall Flat</t>
  </si>
  <si>
    <t>Luigi’s Mansion 3</t>
  </si>
  <si>
    <t>Minecraft Dungeons Hero Edition</t>
  </si>
  <si>
    <t>Total</t>
  </si>
  <si>
    <t>Average</t>
  </si>
  <si>
    <t>Metal Max Xeno: Reborn</t>
  </si>
  <si>
    <t>Pokemon Sword/Shield</t>
  </si>
  <si>
    <t>Percentage change</t>
  </si>
  <si>
    <t>Last Week's Sales</t>
  </si>
  <si>
    <t>Gematsu</t>
  </si>
  <si>
    <t>Sources:</t>
  </si>
  <si>
    <t>Famitsu</t>
  </si>
  <si>
    <t>Mobile Suit Gundam: Extreme VS. Maxiboost ON</t>
  </si>
  <si>
    <t>Captain Tsubasa: Rise of New Champions</t>
  </si>
  <si>
    <t>2K Games</t>
  </si>
  <si>
    <t>Perfectly Nintendo</t>
  </si>
  <si>
    <t>Terminator: Resistance</t>
  </si>
  <si>
    <t>Stellaris: Console Edition</t>
  </si>
  <si>
    <t>KonoSuba: God’s Blessing on this Wonderful World! Labyrinth of Hope and the Gathering of Adventurers! Plus</t>
  </si>
  <si>
    <t>Entergram</t>
  </si>
  <si>
    <t>Reef Entertainment</t>
  </si>
  <si>
    <t>EXNOA</t>
  </si>
  <si>
    <t>New game releases</t>
  </si>
  <si>
    <t>Luigi's Mansion 3</t>
  </si>
  <si>
    <t>Mario &amp; Sonic at the Olympic Games: Tokyo 2020</t>
  </si>
  <si>
    <t>Disney Tsum Tsum Festival</t>
  </si>
  <si>
    <t>Yo-kai Watch 4++</t>
  </si>
  <si>
    <t>Dragon Quest XI S: Echoes of an Elusive Age – Definitive Edition</t>
  </si>
  <si>
    <t>Kirby Star Allies</t>
  </si>
  <si>
    <t>Jikkyou Powerful Pro Baseball</t>
  </si>
  <si>
    <t>eFootball Winning Eleven 2020</t>
  </si>
  <si>
    <t>FIFA 20</t>
  </si>
  <si>
    <t>Call of Duty: Modern Warfare</t>
  </si>
  <si>
    <t>Story of Seasons: Friends of Mineral Town</t>
  </si>
  <si>
    <t>Olympic Games Tokyo 2020: The Official Video Game</t>
  </si>
  <si>
    <t>Detroit: Become Human [Value Selection]</t>
  </si>
  <si>
    <t>New Sakura Wars</t>
  </si>
  <si>
    <t>Pokemon: Let’s Go, Pikachu! / Let’s Go, Eevee!</t>
  </si>
  <si>
    <t>Super Bomberman R [Smile Price Collection]</t>
  </si>
  <si>
    <t>Sega</t>
  </si>
  <si>
    <t>Electronic Arts</t>
  </si>
  <si>
    <t>Marvelous</t>
  </si>
  <si>
    <t>Level-5</t>
  </si>
  <si>
    <t>Monster Hunter World: Iceborne Master Edition</t>
  </si>
  <si>
    <t>Game Source Entertainment</t>
  </si>
  <si>
    <t>5pb.</t>
  </si>
  <si>
    <t>Neos</t>
  </si>
  <si>
    <t>Date A Live: Ren Dystopia</t>
  </si>
  <si>
    <t>F1 2020</t>
  </si>
  <si>
    <t>KonoSuba: God’s Blessing on this Wonderful World! Love for this Tempting Attire</t>
  </si>
  <si>
    <t>Meiji Katsugeki Haikara Ryuuseigumi: Seibai Shimaseu, Yonaoshi Kagyou</t>
  </si>
  <si>
    <t>Mafia: Trilogy</t>
  </si>
  <si>
    <t>Issho ni Asobo Koupen-chan</t>
  </si>
  <si>
    <t>Crash Bandicoot: It’s About Time</t>
  </si>
  <si>
    <t>Activision</t>
  </si>
  <si>
    <t>3goo</t>
  </si>
  <si>
    <t>Star Wars: Squadrons</t>
  </si>
  <si>
    <t>Ys Origin Special Edition</t>
  </si>
  <si>
    <t>FIFA 21 Legacy Edition</t>
  </si>
  <si>
    <t>FIFA 21</t>
  </si>
  <si>
    <t>Super Robot Taisen X</t>
  </si>
  <si>
    <t>13 Sentinels: Aegis Rim</t>
  </si>
  <si>
    <t>Atlus</t>
  </si>
  <si>
    <t>Warriors Orochi 4 Ultimate</t>
  </si>
  <si>
    <t>The Legend of Zelda: Link's Awakening</t>
  </si>
  <si>
    <t>Capcom</t>
  </si>
  <si>
    <t>Mario Kart Live: Home Circuit Mario Set / Luigi Set</t>
  </si>
  <si>
    <t>Moon Premium Edition</t>
  </si>
  <si>
    <t>Yomi wo Saku Hana</t>
  </si>
  <si>
    <t>Hardcore Mecha Fighter Edition</t>
  </si>
  <si>
    <t>Onion Games</t>
  </si>
  <si>
    <t>Experience</t>
  </si>
  <si>
    <t>Cadence of Hyurle: Crypt of the NecroDancer Featuring The Legend of Zelda</t>
  </si>
  <si>
    <t>Monster Hunter Generations Ultimate</t>
  </si>
  <si>
    <t>Spike Chunsoft</t>
  </si>
  <si>
    <t>DLC "The Crown Tundra" Released on 23.10.2020</t>
  </si>
  <si>
    <t>Pikmin 3 Deluxe</t>
  </si>
  <si>
    <t>Shin Megami Tensei III: Nocturne HD Remaster</t>
  </si>
  <si>
    <t>Watch Dogs: Legion</t>
  </si>
  <si>
    <t>GreedFall</t>
  </si>
  <si>
    <t>Kamen Rider: Memory of Heroez</t>
  </si>
  <si>
    <t>Sekiro: Shadows Die Twice – Game of the Year Edition</t>
  </si>
  <si>
    <t>FiNC HOME FiT</t>
  </si>
  <si>
    <t>Saints Row: The Third Remastered</t>
  </si>
  <si>
    <t>Ubisoft</t>
  </si>
  <si>
    <t>FromSoftware</t>
  </si>
  <si>
    <t>Pocket</t>
  </si>
  <si>
    <t>DMM Games</t>
  </si>
  <si>
    <t>Shadowverse: Champion’s Battle</t>
  </si>
  <si>
    <t>Pokemon Sword/Shield + Expansion Pass</t>
  </si>
  <si>
    <t>Mary Skelter Finale</t>
  </si>
  <si>
    <t>Ouchi de Rilakkuma: Rilakkuma ga Ouchi ni Yatte Kita</t>
  </si>
  <si>
    <t>Cygames</t>
  </si>
  <si>
    <t>Nihon Columbia</t>
  </si>
  <si>
    <t>PS5</t>
  </si>
  <si>
    <t>Assassin's Creed Valhalla</t>
  </si>
  <si>
    <t>Kingdom Hearts: Melody of Memory</t>
  </si>
  <si>
    <t>Call of Duty: Black Ops Cold War</t>
  </si>
  <si>
    <t>Sakuna: Of Rice and Ruin</t>
  </si>
  <si>
    <t>Marvel’s Spider-Man: Miles Morales</t>
  </si>
  <si>
    <t>Demon's Souls</t>
  </si>
  <si>
    <t>Piofiore: Episodio 1926</t>
  </si>
  <si>
    <t>Godfall</t>
  </si>
  <si>
    <t>Marvel’s Spider-Man: Miles Morales Ultimate Edition</t>
  </si>
  <si>
    <t>Playism</t>
  </si>
  <si>
    <t>Medabots Classics Plus Kabuto Ver. / Kuwagata Ver.</t>
  </si>
  <si>
    <t>Imagineer</t>
  </si>
  <si>
    <t>Momotaro Dentetsu: Showa, Heisei, Reiwa mo Teiban!</t>
  </si>
  <si>
    <t>Hyrule Warriors: Age of Calamity</t>
  </si>
  <si>
    <t>Fortnite: The Last Laugh Bundle</t>
  </si>
  <si>
    <t>Koei Tecmo</t>
  </si>
  <si>
    <t>Warner Bros.</t>
  </si>
  <si>
    <t>Taiko no Tatsujin: Rhythmic Adventure Pack</t>
  </si>
  <si>
    <t>Labyrinth of Galleria: Coven of Dusk</t>
  </si>
  <si>
    <t>Zoids Wild: Infinite Blast</t>
  </si>
  <si>
    <t>Nippon Ichi Software</t>
  </si>
  <si>
    <t>Takaram Tomy</t>
  </si>
  <si>
    <t>Derby Stallion</t>
  </si>
  <si>
    <t>Atelier Ryza 2: Lost Legends &amp; the Secret Fairy</t>
  </si>
  <si>
    <t>Dragon Quest XI S: Echoes of an Elusive Age Definitive Edition</t>
  </si>
  <si>
    <t>Densha de GO!! Hashirou Yamanote Sen</t>
  </si>
  <si>
    <t>Game Addict</t>
  </si>
  <si>
    <t>Total Year</t>
  </si>
  <si>
    <t>Total Week</t>
  </si>
  <si>
    <t>Romance of the Three Kingdoms XIV</t>
  </si>
  <si>
    <t>Yakuza: Like a Dragon</t>
  </si>
  <si>
    <t>Dragon Ball Z: Kakarot</t>
  </si>
  <si>
    <t>Tokyo Mirage Sessions #FE Encore</t>
  </si>
  <si>
    <t>Kandagawa Jet Girls</t>
  </si>
  <si>
    <t>Fire Emblem: Three Houses</t>
  </si>
  <si>
    <t>Rockstar Games</t>
  </si>
  <si>
    <t>Grand Theft Auto V: Premium Online Edition (Bargain Edition Reprint)</t>
  </si>
  <si>
    <t>void tRrLM(); //Void Terrarium</t>
  </si>
  <si>
    <t>NIS</t>
  </si>
  <si>
    <t>Total January</t>
  </si>
  <si>
    <t>Granblue Fantasy: Versus</t>
  </si>
  <si>
    <t>Hatsune Miku: Project DIVA Mega Mix</t>
  </si>
  <si>
    <t>Death end re;Quest 2</t>
  </si>
  <si>
    <t>Street Fighter V: Champion Edition</t>
  </si>
  <si>
    <t>Persona 5 Scramble: The Phantom Strikers</t>
  </si>
  <si>
    <t>Katana Kami: A Way of the Samurai Story</t>
  </si>
  <si>
    <t>Daymare: 1998</t>
  </si>
  <si>
    <t>Devil May Cry Triple Pack</t>
  </si>
  <si>
    <t>Chou no Doku Hana no Kusari: Taishou Tsuya Koi Ibun</t>
  </si>
  <si>
    <t>Prototype</t>
  </si>
  <si>
    <t>Total February</t>
  </si>
  <si>
    <t>Mega Man Zero/ZX Legacy Collection</t>
  </si>
  <si>
    <t>LoveR Kiss</t>
  </si>
  <si>
    <t>One Punch Man: A Hero Nobody Knows</t>
  </si>
  <si>
    <t>Bubble Bobble 4 Friends</t>
  </si>
  <si>
    <t>Touhou Sky Arena: Matsuri Climax</t>
  </si>
  <si>
    <t>Taito</t>
  </si>
  <si>
    <t>Mediascape</t>
  </si>
  <si>
    <t>Pokemon Mystery Dungeon: Rescue Team DX</t>
  </si>
  <si>
    <t>Doraemon: Nobita’s New Dinosaur</t>
  </si>
  <si>
    <t>Obakeidoro!</t>
  </si>
  <si>
    <t>FuRyu</t>
  </si>
  <si>
    <t>Free Style</t>
  </si>
  <si>
    <t>Nioh 2</t>
  </si>
  <si>
    <t>My Hero One’s Justice 2</t>
  </si>
  <si>
    <t>Winning Post 9 2020</t>
  </si>
  <si>
    <t>Collar x Malice</t>
  </si>
  <si>
    <t>Just Dance 2020</t>
  </si>
  <si>
    <t>The Legend of Heroes: Trails of Cold Steel III</t>
  </si>
  <si>
    <t>Subnautica</t>
  </si>
  <si>
    <t>One Piece: Pirate Warriors 4</t>
  </si>
  <si>
    <t>3DS</t>
  </si>
  <si>
    <t>Animal Crossing: New Leaf Amiibo+</t>
  </si>
  <si>
    <t>Sniper: Ghost Warrior Contracts</t>
  </si>
  <si>
    <t>Life is Strange 2</t>
  </si>
  <si>
    <t>Space Invaders Invincible Collection</t>
  </si>
  <si>
    <t>DOOM Eternal</t>
  </si>
  <si>
    <t>Fitness Boxing</t>
  </si>
  <si>
    <t>H2 Interactive</t>
  </si>
  <si>
    <t>Bethesda</t>
  </si>
  <si>
    <t>Total March</t>
  </si>
  <si>
    <t>Resident Evil 3</t>
  </si>
  <si>
    <t>Kotoba no Puzzle: Mojipittan Encore</t>
  </si>
  <si>
    <t>Final Fantasy VII Remake</t>
  </si>
  <si>
    <t>Resident Evil 2 (Best Price)</t>
  </si>
  <si>
    <t>Olympia Soiree</t>
  </si>
  <si>
    <t>Trials of Mana</t>
  </si>
  <si>
    <t>The Legend of Heroes: Zero no Kiseki</t>
  </si>
  <si>
    <t>Predator: Hunting Grounds</t>
  </si>
  <si>
    <t>Super Real Mahjong LOVE 2~7</t>
  </si>
  <si>
    <t>Naruto Shippuden: Ultimate Ninja Storm 4 – Road to Boruto</t>
  </si>
  <si>
    <t>Zombie Army 4: Dead War</t>
  </si>
  <si>
    <t>City Connection</t>
  </si>
  <si>
    <t>Total April</t>
  </si>
  <si>
    <t>Dragon Quest X All In One Package Version 1-5</t>
  </si>
  <si>
    <t>The Last of Us Remastered (PlayStation Hits)</t>
  </si>
  <si>
    <t>Phantasy Star Online 2: Episode 6 Deluxe Package</t>
  </si>
  <si>
    <t xml:space="preserve">Phantasy Star Online 2: Cloud Episode 6 Deluxe Package </t>
  </si>
  <si>
    <t>Total May</t>
  </si>
  <si>
    <t>Xenoblade Chronicles: Definitive Edition</t>
  </si>
  <si>
    <t>The Legend of Heroes: Ao no Kiseki</t>
  </si>
  <si>
    <t>Uta no Prince-sama: Amazing Aria &amp; Sweet Serenade LOVE for Nintendo Switch</t>
  </si>
  <si>
    <t>Bayonetta &amp; Vanquish 10th Anniversary Bundle</t>
  </si>
  <si>
    <t>Dairoku: Ayakashimori</t>
  </si>
  <si>
    <t>Broccoli</t>
  </si>
  <si>
    <t>Source:</t>
  </si>
  <si>
    <t>Kowloon Youma Gakuen Ki: Origin of Adventure</t>
  </si>
  <si>
    <t xml:space="preserve">PlayStation VR Worlds </t>
  </si>
  <si>
    <t>Gran Turismo Sport (PlayStaion Hits)</t>
  </si>
  <si>
    <t>Horizon Zero Dawn Complete Edition (PlayStation Hits)</t>
  </si>
  <si>
    <t>Arc System Works</t>
  </si>
  <si>
    <t>The Last of Us Part II</t>
  </si>
  <si>
    <t>Harukanaru Toki no Naka de 7</t>
  </si>
  <si>
    <t>Namcot Collection</t>
  </si>
  <si>
    <t>Zumba Burn It Up!</t>
  </si>
  <si>
    <t>Variable Barricade NS</t>
  </si>
  <si>
    <t>Total June</t>
  </si>
  <si>
    <t>Remnant: From the Ashes</t>
  </si>
  <si>
    <t>Brigandine: The Legend of Runersia</t>
  </si>
  <si>
    <t>Mr. Driller DrillLand</t>
  </si>
  <si>
    <t>Shoujo Jigoku no Doku Musume</t>
  </si>
  <si>
    <t>FIFA 20 Legacy Edition (EA Best Hits)</t>
  </si>
  <si>
    <t>Happinet</t>
  </si>
  <si>
    <t>Catherine: Full Body</t>
  </si>
  <si>
    <t>Marvel’s Iron Man VR</t>
  </si>
  <si>
    <t>Sword Art Online: Alicization Lycoris</t>
  </si>
  <si>
    <t>Blair Witch</t>
  </si>
  <si>
    <t>NA Publishing</t>
  </si>
  <si>
    <t>Together! The Battle Cats Game &amp; Pouch Set</t>
  </si>
  <si>
    <t>Indivisible</t>
  </si>
  <si>
    <t>Code: Realize ~Wintertide Miracles~</t>
  </si>
  <si>
    <t>Ponos</t>
  </si>
  <si>
    <t>Ninjala Game Card Package</t>
  </si>
  <si>
    <t>Sengoku Basara 4: Sumeragi Anniversary Edition</t>
  </si>
  <si>
    <t>GungHo Online Entertainment</t>
  </si>
  <si>
    <t>Total July</t>
  </si>
  <si>
    <t>Fairy Tail</t>
  </si>
  <si>
    <t>Hakuoki Shinkai: Ginsei no Shou</t>
  </si>
  <si>
    <t>Doraemon Story of Seasons</t>
  </si>
  <si>
    <t>Yoru, Tomosu</t>
  </si>
  <si>
    <t>Root Film</t>
  </si>
  <si>
    <t>Neptunia Virtual Stars</t>
  </si>
  <si>
    <t>Yo-kai Watch Jam: Yo-kai Academy Y – Waiwai Gakuen Seikatsu Download Card</t>
  </si>
  <si>
    <t>EA Sports UFC 4</t>
  </si>
  <si>
    <t>Kirby: Star Allies</t>
  </si>
  <si>
    <t>Cupid Parasite</t>
  </si>
  <si>
    <t>They Are Billions</t>
  </si>
  <si>
    <t>Total August</t>
  </si>
  <si>
    <t>Total September</t>
  </si>
  <si>
    <t>Total October</t>
  </si>
  <si>
    <t>Total November</t>
  </si>
  <si>
    <t>Shiren the Wanderer: The Tower of Fortune and the Dice of Fate</t>
  </si>
  <si>
    <t>Fitness Boxing 2: Rhythm &amp; Exercise</t>
  </si>
  <si>
    <t>Dragon Quest XI S: Echoes of an Elusive Age Definitive Edition (New Price Version)</t>
  </si>
  <si>
    <t>Sumikko Gurashi: Oheya no Sumi de Tabi Kibun Sugoroku</t>
  </si>
  <si>
    <t>Nippon Columbia</t>
  </si>
  <si>
    <t>Total December</t>
  </si>
  <si>
    <t>Cyberpunk 2077</t>
  </si>
  <si>
    <t>Puyo Puyo Tetris 2</t>
  </si>
  <si>
    <t>Dokapon UP! Mugen no Roulette</t>
  </si>
  <si>
    <t>Aquaplus</t>
  </si>
  <si>
    <t>Romance of the Three Kingdoms XIV: Diplomacy and Strategy Expansion Pack</t>
  </si>
  <si>
    <t>Yo-kai Watch Jam: Yo-kai Academy Y – Waiwai Gakuen Seikatsu</t>
  </si>
  <si>
    <t>Family Trainer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</si>
</sst>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]dd/mm/yy;@" x16r2:formatCode16="[$-en-CH,1]dd/mm/yy;@"/>
    <numFmt numFmtId="165" formatCode="[$-F400]h:mm:ss\ AM/PM"/>
    <numFmt numFmtId="166" formatCode="[$]dd/mm/yy;@"/>
    <numFmt numFmtId="167" formatCode="0.0%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color rgb="FF2F75B5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2"/>
      <color rgb="FF2F75B5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 tint="0.39997558519241921"/>
        <bgColor theme="8" tint="0.79998168889431442"/>
      </patternFill>
    </fill>
    <fill>
      <patternFill patternType="solid">
        <fgColor theme="5" tint="0.39997558519241921"/>
        <bgColor theme="8" tint="0.79998168889431442"/>
      </patternFill>
    </fill>
    <fill>
      <patternFill patternType="solid">
        <fgColor theme="5" tint="0.39997558519241921"/>
        <bgColor rgb="FFDDEBF7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rgb="FF5B9BD5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132">
    <xf numFmtId="0" fontId="0" fillId="0" borderId="0" xfId="0"/>
    <xf numFmtId="14" fontId="0" fillId="0" borderId="0" xfId="0" applyNumberFormat="1"/>
    <xf numFmtId="3" fontId="0" fillId="0" borderId="0" xfId="0" applyNumberFormat="1"/>
    <xf numFmtId="1" fontId="0" fillId="0" borderId="0" xfId="0" applyNumberFormat="1"/>
    <xf numFmtId="0" fontId="0" fillId="0" borderId="0" xfId="0" applyFont="1"/>
    <xf numFmtId="0" fontId="1" fillId="0" borderId="0" xfId="0" applyFont="1"/>
    <xf numFmtId="9" fontId="0" fillId="0" borderId="0" xfId="0" applyNumberFormat="1"/>
    <xf numFmtId="3" fontId="1" fillId="0" borderId="0" xfId="0" applyNumberFormat="1" applyFont="1"/>
    <xf numFmtId="0" fontId="2" fillId="0" borderId="0" xfId="1"/>
    <xf numFmtId="0" fontId="1" fillId="2" borderId="0" xfId="0" applyFont="1" applyFill="1"/>
    <xf numFmtId="3" fontId="1" fillId="2" borderId="0" xfId="0" applyNumberFormat="1" applyFont="1" applyFill="1"/>
    <xf numFmtId="3" fontId="1" fillId="0" borderId="0" xfId="0" applyNumberFormat="1" applyFont="1" applyFill="1"/>
    <xf numFmtId="3" fontId="0" fillId="0" borderId="0" xfId="0" applyNumberFormat="1" applyFont="1" applyFill="1"/>
    <xf numFmtId="1" fontId="1" fillId="2" borderId="0" xfId="0" applyNumberFormat="1" applyFont="1" applyFill="1"/>
    <xf numFmtId="14" fontId="1" fillId="2" borderId="0" xfId="0" applyNumberFormat="1" applyFont="1" applyFill="1"/>
    <xf numFmtId="0" fontId="0" fillId="0" borderId="0" xfId="0" applyFill="1"/>
    <xf numFmtId="3" fontId="0" fillId="0" borderId="0" xfId="0" applyNumberFormat="1" applyFill="1"/>
    <xf numFmtId="14" fontId="0" fillId="0" borderId="0" xfId="0" applyNumberFormat="1" applyFill="1"/>
    <xf numFmtId="0" fontId="0" fillId="0" borderId="0" xfId="0" applyFont="1" applyFill="1"/>
    <xf numFmtId="9" fontId="0" fillId="0" borderId="0" xfId="0" applyNumberFormat="1" applyFill="1"/>
    <xf numFmtId="9" fontId="1" fillId="0" borderId="0" xfId="0" applyNumberFormat="1" applyFont="1" applyFill="1"/>
    <xf numFmtId="3" fontId="2" fillId="0" borderId="0" xfId="1" applyNumberFormat="1"/>
    <xf numFmtId="164" fontId="0" fillId="0" borderId="0" xfId="0" applyNumberFormat="1"/>
    <xf numFmtId="164" fontId="1" fillId="2" borderId="0" xfId="0" applyNumberFormat="1" applyFont="1" applyFill="1"/>
    <xf numFmtId="1" fontId="0" fillId="0" borderId="0" xfId="0" applyNumberFormat="1" applyFill="1"/>
    <xf numFmtId="1" fontId="1" fillId="0" borderId="0" xfId="0" applyNumberFormat="1" applyFont="1" applyFill="1"/>
    <xf numFmtId="0" fontId="1" fillId="0" borderId="0" xfId="0" applyFont="1" applyFill="1"/>
    <xf numFmtId="1" fontId="0" fillId="0" borderId="0" xfId="0" applyNumberFormat="1" applyFont="1" applyFill="1"/>
    <xf numFmtId="9" fontId="0" fillId="0" borderId="0" xfId="0" applyNumberFormat="1" applyFont="1" applyFill="1"/>
    <xf numFmtId="1" fontId="0" fillId="3" borderId="0" xfId="0" applyNumberFormat="1" applyFont="1" applyFill="1"/>
    <xf numFmtId="0" fontId="1" fillId="3" borderId="0" xfId="0" applyFont="1" applyFill="1"/>
    <xf numFmtId="0" fontId="0" fillId="3" borderId="0" xfId="0" applyFont="1" applyFill="1"/>
    <xf numFmtId="0" fontId="0" fillId="3" borderId="0" xfId="0" applyFill="1"/>
    <xf numFmtId="3" fontId="0" fillId="3" borderId="0" xfId="0" applyNumberFormat="1" applyFont="1" applyFill="1"/>
    <xf numFmtId="14" fontId="0" fillId="3" borderId="0" xfId="0" applyNumberFormat="1" applyFill="1"/>
    <xf numFmtId="1" fontId="1" fillId="3" borderId="0" xfId="0" applyNumberFormat="1" applyFont="1" applyFill="1"/>
    <xf numFmtId="1" fontId="0" fillId="3" borderId="0" xfId="0" applyNumberFormat="1" applyFill="1"/>
    <xf numFmtId="3" fontId="0" fillId="3" borderId="0" xfId="0" applyNumberFormat="1" applyFill="1"/>
    <xf numFmtId="3" fontId="1" fillId="3" borderId="0" xfId="0" applyNumberFormat="1" applyFont="1" applyFill="1"/>
    <xf numFmtId="0" fontId="4" fillId="0" borderId="0" xfId="0" applyFont="1"/>
    <xf numFmtId="0" fontId="4" fillId="4" borderId="0" xfId="0" applyFont="1" applyFill="1"/>
    <xf numFmtId="1" fontId="3" fillId="0" borderId="1" xfId="0" applyNumberFormat="1" applyFont="1" applyBorder="1"/>
    <xf numFmtId="0" fontId="3" fillId="0" borderId="1" xfId="0" applyFont="1" applyBorder="1"/>
    <xf numFmtId="3" fontId="3" fillId="0" borderId="1" xfId="0" applyNumberFormat="1" applyFont="1" applyBorder="1"/>
    <xf numFmtId="9" fontId="3" fillId="0" borderId="1" xfId="0" applyNumberFormat="1" applyFont="1" applyBorder="1"/>
    <xf numFmtId="164" fontId="3" fillId="0" borderId="1" xfId="0" applyNumberFormat="1" applyFont="1" applyBorder="1"/>
    <xf numFmtId="0" fontId="3" fillId="2" borderId="0" xfId="0" applyFont="1" applyFill="1"/>
    <xf numFmtId="0" fontId="4" fillId="0" borderId="0" xfId="0" applyFont="1" applyFill="1"/>
    <xf numFmtId="164" fontId="4" fillId="4" borderId="0" xfId="0" applyNumberFormat="1" applyFont="1" applyFill="1"/>
    <xf numFmtId="164" fontId="4" fillId="0" borderId="0" xfId="0" applyNumberFormat="1" applyFont="1"/>
    <xf numFmtId="3" fontId="4" fillId="4" borderId="0" xfId="0" applyNumberFormat="1" applyFont="1" applyFill="1"/>
    <xf numFmtId="9" fontId="4" fillId="4" borderId="0" xfId="0" applyNumberFormat="1" applyFont="1" applyFill="1"/>
    <xf numFmtId="0" fontId="4" fillId="3" borderId="0" xfId="0" applyFont="1" applyFill="1"/>
    <xf numFmtId="3" fontId="4" fillId="5" borderId="0" xfId="0" applyNumberFormat="1" applyFont="1" applyFill="1"/>
    <xf numFmtId="9" fontId="4" fillId="5" borderId="0" xfId="0" applyNumberFormat="1" applyFont="1" applyFill="1"/>
    <xf numFmtId="3" fontId="4" fillId="0" borderId="0" xfId="0" applyNumberFormat="1" applyFont="1" applyFill="1"/>
    <xf numFmtId="9" fontId="4" fillId="0" borderId="0" xfId="0" applyNumberFormat="1" applyFont="1" applyFill="1"/>
    <xf numFmtId="0" fontId="4" fillId="5" borderId="0" xfId="0" applyFont="1" applyFill="1"/>
    <xf numFmtId="0" fontId="4" fillId="3" borderId="1" xfId="0" applyFont="1" applyFill="1" applyBorder="1"/>
    <xf numFmtId="3" fontId="3" fillId="6" borderId="0" xfId="0" applyNumberFormat="1" applyFont="1" applyFill="1"/>
    <xf numFmtId="164" fontId="4" fillId="0" borderId="0" xfId="0" applyNumberFormat="1" applyFont="1" applyFill="1"/>
    <xf numFmtId="0" fontId="5" fillId="0" borderId="0" xfId="0" applyFont="1"/>
    <xf numFmtId="0" fontId="5" fillId="3" borderId="0" xfId="0" applyFont="1" applyFill="1"/>
    <xf numFmtId="0" fontId="6" fillId="2" borderId="0" xfId="0" applyFont="1" applyFill="1"/>
    <xf numFmtId="0" fontId="7" fillId="0" borderId="0" xfId="0" applyFont="1" applyFill="1"/>
    <xf numFmtId="0" fontId="7" fillId="0" borderId="0" xfId="0" applyFont="1"/>
    <xf numFmtId="0" fontId="7" fillId="3" borderId="0" xfId="0" applyFont="1" applyFill="1"/>
    <xf numFmtId="14" fontId="0" fillId="0" borderId="0" xfId="0" applyNumberFormat="1" applyFont="1" applyFill="1"/>
    <xf numFmtId="0" fontId="5" fillId="0" borderId="0" xfId="0" applyFont="1" applyFill="1"/>
    <xf numFmtId="0" fontId="4" fillId="0" borderId="1" xfId="0" applyFont="1" applyFill="1" applyBorder="1"/>
    <xf numFmtId="3" fontId="0" fillId="0" borderId="0" xfId="0" applyNumberFormat="1" applyFont="1"/>
    <xf numFmtId="3" fontId="8" fillId="0" borderId="0" xfId="0" applyNumberFormat="1" applyFont="1" applyFill="1"/>
    <xf numFmtId="164" fontId="3" fillId="2" borderId="0" xfId="0" applyNumberFormat="1" applyFont="1" applyFill="1"/>
    <xf numFmtId="3" fontId="3" fillId="2" borderId="0" xfId="0" applyNumberFormat="1" applyFont="1" applyFill="1"/>
    <xf numFmtId="164" fontId="4" fillId="3" borderId="0" xfId="0" applyNumberFormat="1" applyFont="1" applyFill="1"/>
    <xf numFmtId="3" fontId="4" fillId="3" borderId="0" xfId="0" applyNumberFormat="1" applyFont="1" applyFill="1"/>
    <xf numFmtId="9" fontId="4" fillId="3" borderId="0" xfId="0" applyNumberFormat="1" applyFont="1" applyFill="1"/>
    <xf numFmtId="165" fontId="0" fillId="0" borderId="0" xfId="0" applyNumberFormat="1"/>
    <xf numFmtId="1" fontId="3" fillId="0" borderId="2" xfId="0" applyNumberFormat="1" applyFont="1" applyBorder="1"/>
    <xf numFmtId="0" fontId="3" fillId="0" borderId="2" xfId="0" applyFont="1" applyBorder="1"/>
    <xf numFmtId="3" fontId="3" fillId="0" borderId="2" xfId="0" applyNumberFormat="1" applyFont="1" applyBorder="1"/>
    <xf numFmtId="164" fontId="3" fillId="0" borderId="2" xfId="0" applyNumberFormat="1" applyFont="1" applyBorder="1"/>
    <xf numFmtId="9" fontId="3" fillId="0" borderId="2" xfId="0" applyNumberFormat="1" applyFont="1" applyBorder="1"/>
    <xf numFmtId="3" fontId="4" fillId="0" borderId="1" xfId="0" applyNumberFormat="1" applyFont="1" applyFill="1" applyBorder="1"/>
    <xf numFmtId="9" fontId="4" fillId="0" borderId="1" xfId="0" applyNumberFormat="1" applyFont="1" applyFill="1" applyBorder="1"/>
    <xf numFmtId="166" fontId="9" fillId="7" borderId="0" xfId="0" applyNumberFormat="1" applyFont="1" applyFill="1"/>
    <xf numFmtId="0" fontId="4" fillId="0" borderId="0" xfId="0" applyFont="1" applyFill="1" applyBorder="1"/>
    <xf numFmtId="0" fontId="9" fillId="2" borderId="0" xfId="0" applyFont="1" applyFill="1"/>
    <xf numFmtId="3" fontId="4" fillId="3" borderId="1" xfId="0" applyNumberFormat="1" applyFont="1" applyFill="1" applyBorder="1"/>
    <xf numFmtId="9" fontId="4" fillId="3" borderId="1" xfId="0" applyNumberFormat="1" applyFont="1" applyFill="1" applyBorder="1"/>
    <xf numFmtId="9" fontId="3" fillId="2" borderId="0" xfId="0" applyNumberFormat="1" applyFont="1" applyFill="1"/>
    <xf numFmtId="0" fontId="4" fillId="3" borderId="0" xfId="0" applyFont="1" applyFill="1" applyBorder="1"/>
    <xf numFmtId="9" fontId="1" fillId="2" borderId="0" xfId="0" applyNumberFormat="1" applyFont="1" applyFill="1"/>
    <xf numFmtId="14" fontId="0" fillId="3" borderId="0" xfId="0" applyNumberFormat="1" applyFont="1" applyFill="1"/>
    <xf numFmtId="0" fontId="4" fillId="0" borderId="0" xfId="0" applyFont="1" applyBorder="1"/>
    <xf numFmtId="0" fontId="3" fillId="2" borderId="0" xfId="0" applyFont="1" applyFill="1" applyBorder="1"/>
    <xf numFmtId="0" fontId="3" fillId="0" borderId="0" xfId="0" applyFont="1" applyFill="1" applyBorder="1"/>
    <xf numFmtId="9" fontId="0" fillId="3" borderId="0" xfId="0" applyNumberFormat="1" applyFont="1" applyFill="1"/>
    <xf numFmtId="0" fontId="1" fillId="8" borderId="0" xfId="0" applyFont="1" applyFill="1"/>
    <xf numFmtId="3" fontId="1" fillId="8" borderId="0" xfId="0" applyNumberFormat="1" applyFont="1" applyFill="1"/>
    <xf numFmtId="0" fontId="0" fillId="9" borderId="0" xfId="0" applyFill="1"/>
    <xf numFmtId="3" fontId="0" fillId="9" borderId="0" xfId="0" applyNumberFormat="1" applyFill="1"/>
    <xf numFmtId="14" fontId="9" fillId="2" borderId="0" xfId="0" applyNumberFormat="1" applyFont="1" applyFill="1"/>
    <xf numFmtId="0" fontId="4" fillId="4" borderId="0" xfId="0" applyFont="1" applyFill="1" applyBorder="1"/>
    <xf numFmtId="9" fontId="3" fillId="6" borderId="0" xfId="0" applyNumberFormat="1" applyFont="1" applyFill="1"/>
    <xf numFmtId="0" fontId="3" fillId="0" borderId="0" xfId="0" applyFont="1" applyFill="1"/>
    <xf numFmtId="1" fontId="1" fillId="10" borderId="0" xfId="0" applyNumberFormat="1" applyFont="1" applyFill="1"/>
    <xf numFmtId="0" fontId="1" fillId="10" borderId="0" xfId="0" applyFont="1" applyFill="1"/>
    <xf numFmtId="0" fontId="3" fillId="10" borderId="0" xfId="0" applyFont="1" applyFill="1"/>
    <xf numFmtId="3" fontId="1" fillId="10" borderId="0" xfId="0" applyNumberFormat="1" applyFont="1" applyFill="1"/>
    <xf numFmtId="14" fontId="1" fillId="10" borderId="0" xfId="0" applyNumberFormat="1" applyFont="1" applyFill="1"/>
    <xf numFmtId="9" fontId="1" fillId="10" borderId="0" xfId="0" applyNumberFormat="1" applyFont="1" applyFill="1"/>
    <xf numFmtId="0" fontId="5" fillId="0" borderId="3" xfId="0" applyFont="1" applyFill="1" applyBorder="1"/>
    <xf numFmtId="0" fontId="5" fillId="3" borderId="3" xfId="0" applyFont="1" applyFill="1" applyBorder="1"/>
    <xf numFmtId="1" fontId="4" fillId="4" borderId="0" xfId="0" applyNumberFormat="1" applyFont="1" applyFill="1"/>
    <xf numFmtId="14" fontId="9" fillId="2" borderId="0" xfId="0" applyNumberFormat="1" applyFont="1" applyFill="1" applyBorder="1"/>
    <xf numFmtId="0" fontId="9" fillId="2" borderId="3" xfId="0" applyFont="1" applyFill="1" applyBorder="1"/>
    <xf numFmtId="1" fontId="4" fillId="0" borderId="0" xfId="0" applyNumberFormat="1" applyFont="1" applyFill="1"/>
    <xf numFmtId="14" fontId="9" fillId="7" borderId="0" xfId="0" applyNumberFormat="1" applyFont="1" applyFill="1"/>
    <xf numFmtId="9" fontId="0" fillId="3" borderId="0" xfId="0" applyNumberFormat="1" applyFill="1"/>
    <xf numFmtId="0" fontId="4" fillId="11" borderId="0" xfId="0" applyFont="1" applyFill="1"/>
    <xf numFmtId="3" fontId="4" fillId="11" borderId="0" xfId="0" applyNumberFormat="1" applyFont="1" applyFill="1"/>
    <xf numFmtId="3" fontId="3" fillId="11" borderId="0" xfId="0" applyNumberFormat="1" applyFont="1" applyFill="1"/>
    <xf numFmtId="164" fontId="4" fillId="11" borderId="0" xfId="0" applyNumberFormat="1" applyFont="1" applyFill="1"/>
    <xf numFmtId="9" fontId="4" fillId="11" borderId="0" xfId="0" applyNumberFormat="1" applyFont="1" applyFill="1"/>
    <xf numFmtId="0" fontId="3" fillId="2" borderId="1" xfId="0" applyFont="1" applyFill="1" applyBorder="1"/>
    <xf numFmtId="3" fontId="3" fillId="2" borderId="1" xfId="0" applyNumberFormat="1" applyFont="1" applyFill="1" applyBorder="1"/>
    <xf numFmtId="9" fontId="3" fillId="2" borderId="1" xfId="0" applyNumberFormat="1" applyFont="1" applyFill="1" applyBorder="1"/>
    <xf numFmtId="3" fontId="3" fillId="3" borderId="0" xfId="0" applyNumberFormat="1" applyFont="1" applyFill="1"/>
    <xf numFmtId="0" fontId="3" fillId="3" borderId="1" xfId="0" applyFont="1" applyFill="1" applyBorder="1"/>
    <xf numFmtId="167" fontId="0" fillId="0" borderId="0" xfId="2" applyNumberFormat="1" applyFont="1"/>
    <xf numFmtId="0" fontId="4" fillId="2" borderId="0" xfId="0" applyFont="1" applyFill="1"/>
  </cellXfs>
  <cellStyles count="3">
    <cellStyle name="Hyperlink" xfId="1" builtinId="8"/>
    <cellStyle name="Normal" xfId="0" builtinId="0"/>
    <cellStyle name="Per cent" xfId="2" builtinId="5"/>
  </cellStyles>
  <dxfs count="6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64" formatCode="[$]dd/mm/yy;@" x16r2:formatCode16="[$-en-CH,1]dd/mm/yy;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8"/>
        </bottom>
      </border>
    </dxf>
    <dxf>
      <border outline="0">
        <top style="thin">
          <color theme="8"/>
        </top>
      </border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64" formatCode="[$]dd/mm/yy;@" x16r2:formatCode16="[$-en-CH,1]dd/mm/yy;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border outline="0">
        <top style="thin">
          <color theme="8"/>
        </top>
      </border>
    </dxf>
    <dxf>
      <font>
        <b val="0"/>
      </font>
      <fill>
        <patternFill patternType="none">
          <fgColor indexed="64"/>
          <bgColor auto="1"/>
        </patternFill>
      </fill>
    </dxf>
    <dxf>
      <border outline="0"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64" formatCode="[$]dd/mm/yy;@" x16r2:formatCode16="[$-en-CH,1]dd/mm/yy;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top style="thin">
          <color theme="8"/>
        </top>
      </border>
    </dxf>
    <dxf>
      <font>
        <b val="0"/>
      </font>
      <fill>
        <patternFill patternType="none">
          <fgColor indexed="64"/>
          <bgColor auto="1"/>
        </patternFill>
      </fill>
    </dxf>
    <dxf>
      <border outline="0"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64" formatCode="[$]dd/mm/yy;@" x16r2:formatCode16="[$-en-CH,1]dd/mm/yy;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top style="thin">
          <color theme="8"/>
        </top>
      </border>
    </dxf>
    <dxf>
      <font>
        <b val="0"/>
      </font>
      <fill>
        <patternFill patternType="none">
          <fgColor indexed="64"/>
          <bgColor auto="1"/>
        </patternFill>
      </fill>
    </dxf>
    <dxf>
      <border outline="0"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64" formatCode="[$]dd/mm/yy;@" x16r2:formatCode16="[$-en-CH,1]dd/mm/yy;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top style="thin">
          <color theme="8"/>
        </top>
      </border>
    </dxf>
    <dxf>
      <font>
        <b val="0"/>
      </font>
      <fill>
        <patternFill patternType="none">
          <fgColor indexed="64"/>
          <bgColor auto="1"/>
        </patternFill>
      </fill>
    </dxf>
    <dxf>
      <border outline="0"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64" formatCode="[$]dd/mm/yy;@" x16r2:formatCode16="[$-en-CH,1]dd/mm/yy;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top style="thin">
          <color theme="8"/>
        </top>
      </border>
    </dxf>
    <dxf>
      <font>
        <b val="0"/>
      </font>
      <fill>
        <patternFill patternType="none">
          <fgColor indexed="64"/>
          <bgColor auto="1"/>
        </patternFill>
      </fill>
    </dxf>
    <dxf>
      <border outline="0"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64" formatCode="[$]dd/mm/yy;@" x16r2:formatCode16="[$-en-CH,1]dd/mm/yy;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top style="thin">
          <color theme="8"/>
        </top>
      </border>
    </dxf>
    <dxf>
      <font>
        <b val="0"/>
      </font>
      <fill>
        <patternFill patternType="none">
          <fgColor indexed="64"/>
          <bgColor auto="1"/>
        </patternFill>
      </fill>
    </dxf>
    <dxf>
      <border outline="0"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64" formatCode="[$]dd/mm/yy;@" x16r2:formatCode16="[$-en-CH,1]dd/mm/yy;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top style="thin">
          <color theme="8"/>
        </top>
      </border>
    </dxf>
    <dxf>
      <font>
        <b val="0"/>
      </font>
      <fill>
        <patternFill patternType="none">
          <fgColor indexed="64"/>
          <bgColor auto="1"/>
        </patternFill>
      </fill>
    </dxf>
    <dxf>
      <border outline="0"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numFmt numFmtId="13" formatCode="0%"/>
      <fill>
        <patternFill patternType="none">
          <fgColor theme="8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numFmt numFmtId="3" formatCode="#,##0"/>
      <fill>
        <patternFill patternType="none">
          <fgColor theme="8" tint="0.79998168889431442"/>
          <bgColor auto="1"/>
        </patternFill>
      </fill>
    </dxf>
    <dxf>
      <font>
        <b val="0"/>
      </font>
      <numFmt numFmtId="164" formatCode="[$]dd/mm/yy;@" x16r2:formatCode16="[$-en-CH,1]dd/mm/yy;@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</font>
      <numFmt numFmtId="3" formatCode="#,##0"/>
      <fill>
        <patternFill patternType="none">
          <bgColor auto="1"/>
        </patternFill>
      </fill>
    </dxf>
    <dxf>
      <font>
        <b val="0"/>
      </font>
      <numFmt numFmtId="3" formatCode="#,##0"/>
      <fill>
        <patternFill patternType="none">
          <bgColor auto="1"/>
        </patternFill>
      </fill>
    </dxf>
    <dxf>
      <font>
        <b val="0"/>
      </font>
      <fill>
        <patternFill patternType="none">
          <bgColor auto="1"/>
        </patternFill>
      </fill>
    </dxf>
    <dxf>
      <font>
        <b val="0"/>
      </font>
      <fill>
        <patternFill patternType="none">
          <bgColor auto="1"/>
        </patternFill>
      </fill>
    </dxf>
    <dxf>
      <font>
        <b val="0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top style="thin">
          <color theme="8"/>
        </top>
      </border>
    </dxf>
    <dxf>
      <font>
        <b val="0"/>
      </font>
      <fill>
        <patternFill patternType="none">
          <bgColor auto="1"/>
        </patternFill>
      </fill>
    </dxf>
    <dxf>
      <border outline="0"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numFmt numFmtId="13" formatCode="0%"/>
      <fill>
        <patternFill patternType="none">
          <fgColor theme="8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numFmt numFmtId="3" formatCode="#,##0"/>
      <fill>
        <patternFill patternType="none">
          <fgColor theme="8" tint="0.79998168889431442"/>
          <bgColor auto="1"/>
        </patternFill>
      </fill>
    </dxf>
    <dxf>
      <font>
        <b val="0"/>
      </font>
      <numFmt numFmtId="164" formatCode="[$]dd/mm/yy;@" x16r2:formatCode16="[$-en-CH,1]dd/mm/yy;@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</font>
      <numFmt numFmtId="3" formatCode="#,##0"/>
      <fill>
        <patternFill patternType="none">
          <bgColor auto="1"/>
        </patternFill>
      </fill>
    </dxf>
    <dxf>
      <font>
        <b val="0"/>
      </font>
      <numFmt numFmtId="3" formatCode="#,##0"/>
      <fill>
        <patternFill patternType="none">
          <bgColor auto="1"/>
        </patternFill>
      </fill>
    </dxf>
    <dxf>
      <font>
        <b val="0"/>
      </font>
      <fill>
        <patternFill patternType="none">
          <bgColor auto="1"/>
        </patternFill>
      </fill>
    </dxf>
    <dxf>
      <font>
        <b val="0"/>
      </font>
      <fill>
        <patternFill patternType="none">
          <bgColor auto="1"/>
        </patternFill>
      </fill>
    </dxf>
    <dxf>
      <font>
        <b val="0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top style="thin">
          <color theme="8"/>
        </top>
      </border>
    </dxf>
    <dxf>
      <font>
        <b val="0"/>
      </font>
      <fill>
        <patternFill patternType="none">
          <bgColor auto="1"/>
        </patternFill>
      </fill>
    </dxf>
    <dxf>
      <border outline="0"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numFmt numFmtId="13" formatCode="0%"/>
      <fill>
        <patternFill patternType="none">
          <fgColor theme="8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64" formatCode="[$]dd/mm/yy;@" x16r2:formatCode16="[$-en-CH,1]dd/mm/yy;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top style="thin">
          <color theme="8"/>
        </top>
      </border>
    </dxf>
    <dxf>
      <font>
        <b val="0"/>
      </font>
      <fill>
        <patternFill patternType="none">
          <bgColor auto="1"/>
        </patternFill>
      </fill>
    </dxf>
    <dxf>
      <border outline="0"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numFmt numFmtId="13" formatCode="0%"/>
      <fill>
        <patternFill patternType="none">
          <fgColor theme="8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numFmt numFmtId="3" formatCode="#,##0"/>
      <fill>
        <patternFill patternType="none">
          <fgColor theme="8" tint="0.79998168889431442"/>
          <bgColor auto="1"/>
        </patternFill>
      </fill>
    </dxf>
    <dxf>
      <font>
        <b val="0"/>
      </font>
      <numFmt numFmtId="164" formatCode="[$]dd/mm/yy;@" x16r2:formatCode16="[$-en-CH,1]dd/mm/yy;@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</font>
      <numFmt numFmtId="3" formatCode="#,##0"/>
      <fill>
        <patternFill patternType="none">
          <bgColor auto="1"/>
        </patternFill>
      </fill>
    </dxf>
    <dxf>
      <font>
        <b val="0"/>
      </font>
      <numFmt numFmtId="3" formatCode="#,##0"/>
      <fill>
        <patternFill patternType="none">
          <bgColor auto="1"/>
        </patternFill>
      </fill>
    </dxf>
    <dxf>
      <font>
        <b val="0"/>
      </font>
      <fill>
        <patternFill patternType="none">
          <bgColor auto="1"/>
        </patternFill>
      </fill>
    </dxf>
    <dxf>
      <font>
        <b val="0"/>
      </font>
      <fill>
        <patternFill patternType="none">
          <bgColor auto="1"/>
        </patternFill>
      </fill>
    </dxf>
    <dxf>
      <font>
        <b val="0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top style="thin">
          <color theme="8"/>
        </top>
      </border>
    </dxf>
    <dxf>
      <font>
        <b val="0"/>
      </font>
      <fill>
        <patternFill patternType="none">
          <bgColor auto="1"/>
        </patternFill>
      </fill>
    </dxf>
    <dxf>
      <border outline="0"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numFmt numFmtId="13" formatCode="0%"/>
      <fill>
        <patternFill patternType="none">
          <fgColor theme="8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numFmt numFmtId="3" formatCode="#,##0"/>
      <fill>
        <patternFill patternType="none">
          <fgColor theme="8" tint="0.79998168889431442"/>
          <bgColor auto="1"/>
        </patternFill>
      </fill>
    </dxf>
    <dxf>
      <font>
        <b val="0"/>
      </font>
      <numFmt numFmtId="19" formatCode="dd/mm/yy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</font>
      <numFmt numFmtId="3" formatCode="#,##0"/>
      <fill>
        <patternFill patternType="none">
          <bgColor auto="1"/>
        </patternFill>
      </fill>
    </dxf>
    <dxf>
      <font>
        <b val="0"/>
      </font>
      <numFmt numFmtId="3" formatCode="#,##0"/>
      <fill>
        <patternFill patternType="none">
          <bgColor auto="1"/>
        </patternFill>
      </fill>
    </dxf>
    <dxf>
      <font>
        <b val="0"/>
      </font>
      <fill>
        <patternFill patternType="none">
          <bgColor auto="1"/>
        </patternFill>
      </fill>
    </dxf>
    <dxf>
      <font>
        <b val="0"/>
      </font>
      <fill>
        <patternFill patternType="none">
          <bgColor auto="1"/>
        </patternFill>
      </fill>
    </dxf>
    <dxf>
      <font>
        <b val="0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top style="thin">
          <color theme="8"/>
        </top>
      </border>
    </dxf>
    <dxf>
      <font>
        <b val="0"/>
      </font>
      <fill>
        <patternFill patternType="none">
          <bgColor auto="1"/>
        </patternFill>
      </fill>
    </dxf>
    <dxf>
      <border outline="0"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numFmt numFmtId="13" formatCode="0%"/>
      <fill>
        <patternFill patternType="solid">
          <fgColor theme="8" tint="0.79998168889431442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numFmt numFmtId="3" formatCode="#,##0"/>
      <fill>
        <patternFill patternType="solid">
          <fgColor theme="8" tint="0.79998168889431442"/>
          <bgColor theme="8" tint="0.79998168889431442"/>
        </patternFill>
      </fill>
    </dxf>
    <dxf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theme="8"/>
        </top>
      </border>
    </dxf>
    <dxf>
      <border outline="0">
        <bottom style="thin">
          <color theme="8"/>
        </bottom>
      </border>
    </dxf>
    <dxf>
      <numFmt numFmtId="13" formatCode="0%"/>
    </dxf>
    <dxf>
      <numFmt numFmtId="3" formatCode="#,##0"/>
    </dxf>
    <dxf>
      <numFmt numFmtId="164" formatCode="[$]dd/mm/yy;@" x16r2:formatCode16="[$-en-CH,1]dd/mm/yy;@"/>
    </dxf>
    <dxf>
      <numFmt numFmtId="3" formatCode="#,##0"/>
    </dxf>
    <dxf>
      <numFmt numFmtId="3" formatCode="#,##0"/>
    </dxf>
    <dxf>
      <border outline="0">
        <top style="thin">
          <color theme="8"/>
        </top>
      </border>
    </dxf>
    <dxf>
      <border outline="0">
        <bottom style="thin">
          <color theme="8"/>
        </bottom>
      </border>
    </dxf>
    <dxf>
      <numFmt numFmtId="13" formatCode="0%"/>
      <fill>
        <patternFill patternType="none">
          <fgColor indexed="64"/>
          <bgColor indexed="65"/>
        </patternFill>
      </fill>
    </dxf>
    <dxf>
      <numFmt numFmtId="3" formatCode="#,##0"/>
    </dxf>
    <dxf>
      <numFmt numFmtId="19" formatCode="dd/mm/yy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" formatCode="0"/>
    </dxf>
    <dxf>
      <numFmt numFmtId="1" formatCode="0"/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numFmt numFmtId="19" formatCode="dd/mm/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3" formatCode="0%"/>
    </dxf>
    <dxf>
      <numFmt numFmtId="3" formatCode="#,##0"/>
    </dxf>
    <dxf>
      <numFmt numFmtId="19" formatCode="dd/mm/yy"/>
    </dxf>
    <dxf>
      <numFmt numFmtId="3" formatCode="#,##0"/>
    </dxf>
    <dxf>
      <numFmt numFmtId="3" formatCode="#,##0"/>
    </dxf>
    <dxf>
      <numFmt numFmtId="164" formatCode="[$]dd/mm/yy;@" x16r2:formatCode16="[$-en-CH,1]dd/mm/yy;@"/>
    </dxf>
    <dxf>
      <numFmt numFmtId="3" formatCode="#,##0"/>
    </dxf>
    <dxf>
      <numFmt numFmtId="3" formatCode="#,##0"/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1" formatCode="0"/>
      <fill>
        <patternFill patternType="none">
          <fgColor indexed="64"/>
          <bgColor auto="1"/>
        </patternFill>
      </fill>
    </dxf>
    <dxf>
      <font>
        <b/>
      </font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1" formatCode="0"/>
      <fill>
        <patternFill patternType="none">
          <fgColor indexed="64"/>
          <bgColor auto="1"/>
        </patternFill>
      </fill>
    </dxf>
    <dxf>
      <font>
        <b/>
      </font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1" formatCode="0"/>
      <fill>
        <patternFill patternType="none">
          <fgColor indexed="64"/>
          <bgColor auto="1"/>
        </patternFill>
      </fill>
    </dxf>
    <dxf>
      <font>
        <b/>
      </font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1" formatCode="0"/>
      <fill>
        <patternFill patternType="none">
          <fgColor indexed="64"/>
          <bgColor auto="1"/>
        </patternFill>
      </fill>
    </dxf>
    <dxf>
      <font>
        <b/>
      </font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1C8B57A-42C4-EE4E-89BD-5E0E510A3CC4}" name="Table36" displayName="Table36" ref="A1:J31" totalsRowShown="0" headerRowDxfId="614" dataDxfId="613">
  <sortState xmlns:xlrd2="http://schemas.microsoft.com/office/spreadsheetml/2017/richdata2" ref="A2:J31">
    <sortCondition ref="A1:A31"/>
  </sortState>
  <tableColumns count="10">
    <tableColumn id="1" xr3:uid="{0E70E445-3A4D-224A-9A88-9EC51D5D2C2A}" name="Position" dataDxfId="612"/>
    <tableColumn id="2" xr3:uid="{DE98025E-24CA-0940-8F39-D773BEC5EC80}" name="Last Week" dataDxfId="611"/>
    <tableColumn id="3" xr3:uid="{FE14A9B8-B91D-0B48-B261-2D3C8028234E}" name="System" dataDxfId="610"/>
    <tableColumn id="4" xr3:uid="{30ED34A4-82A6-0944-B0C7-6EC65DC4A4EE}" name="Title" dataDxfId="609"/>
    <tableColumn id="5" xr3:uid="{68B9BA1C-B5C9-3349-B9C5-AE63E259AAB1}" name="Week Sales" dataDxfId="608"/>
    <tableColumn id="6" xr3:uid="{BDE07557-90B6-1445-B8D7-744AB514E6A5}" name="Total Sales" dataDxfId="607"/>
    <tableColumn id="7" xr3:uid="{D72A72E0-A690-6343-9024-53FD77D2A36A}" name="Publisher" dataDxfId="606"/>
    <tableColumn id="8" xr3:uid="{73D69AF1-1A9E-0E47-839A-75F4D373C8EA}" name="Release Date" dataDxfId="605"/>
    <tableColumn id="9" xr3:uid="{310584AF-F1E6-304B-9136-96295A2AD4D0}" name="Last Week's Sales" dataDxfId="604"/>
    <tableColumn id="10" xr3:uid="{465050BA-FD3F-1E4E-B68D-7542DD513689}" name="Percentage change" dataDxfId="603"/>
  </tableColumns>
  <tableStyleInfo name="TableStyleLight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4323776A-8186-0B4C-B971-12572A9A69BD}" name="Table36119101355" displayName="Table36119101355" ref="A1:J31" totalsRowShown="0" headerRowDxfId="507" dataDxfId="506">
  <sortState xmlns:xlrd2="http://schemas.microsoft.com/office/spreadsheetml/2017/richdata2" ref="A2:J31">
    <sortCondition ref="A1:A31"/>
  </sortState>
  <tableColumns count="10">
    <tableColumn id="1" xr3:uid="{0C9A80A4-D0DE-1F48-BF43-41DED829C513}" name="Position" dataDxfId="505"/>
    <tableColumn id="2" xr3:uid="{8747F925-DFB0-F244-A7AB-D3F9FB03EB3C}" name="Last Week" dataDxfId="504"/>
    <tableColumn id="3" xr3:uid="{45F92969-E9A9-C74C-AFC6-DFC0ADBA9F94}" name="System" dataDxfId="503"/>
    <tableColumn id="4" xr3:uid="{6715D6A7-1833-374C-83AF-7D193A745C03}" name="Title" dataDxfId="502"/>
    <tableColumn id="5" xr3:uid="{6B709696-E953-A443-A600-F26ED639A9BA}" name="Week Sales" dataDxfId="501"/>
    <tableColumn id="6" xr3:uid="{0944ABFA-7CC7-6949-B55E-C51908FBE08B}" name="Total Sales" dataDxfId="500">
      <calculatedColumnFormula>SUMIFS('Week 9 Feb 24 - Mar 1 2020'!F:F,'Week 9 Feb 24 - Mar 1 2020'!D:D,'Week 10 Mar 2 - Mar 8 2020'!D:D,'Week 9 Feb 24 - Mar 1 2020'!C:C,'Week 10 Mar 2 - Mar 8 2020'!C:C)+Table36119101355[[#This Row],[Week Sales]]</calculatedColumnFormula>
    </tableColumn>
    <tableColumn id="7" xr3:uid="{9ED88F5B-5A91-FF4F-B3F1-A1634FA40D52}" name="Publisher" dataDxfId="499">
      <calculatedColumnFormula>(VLOOKUP(D:D,'Week 9 Feb 24 - Mar 1 2020'!D:G,4,FALSE))</calculatedColumnFormula>
    </tableColumn>
    <tableColumn id="8" xr3:uid="{A6035732-F3CC-524E-9CB3-47C6C3D3CCA9}" name="Release Date" dataDxfId="498">
      <calculatedColumnFormula>(VLOOKUP(D:D,'Week 9 Feb 24 - Mar 1 2020'!D:H,5,FALSE))</calculatedColumnFormula>
    </tableColumn>
    <tableColumn id="9" xr3:uid="{C9D47F72-2312-C845-B542-0A2B1245A40E}" name="Last Week's Sales" dataDxfId="497">
      <calculatedColumnFormula>_xlfn.IFNA(SUMIFS('Week 9 Feb 24 - Mar 1 2020'!E:E,'Week 9 Feb 24 - Mar 1 2020'!D:D,'Week 10 Mar 2 - Mar 8 2020'!D:D,'Week 9 Feb 24 - Mar 1 2020'!C:C,'Week 10 Mar 2 - Mar 8 2020'!C:C),"New")</calculatedColumnFormula>
    </tableColumn>
    <tableColumn id="10" xr3:uid="{32CB542B-EBDB-9544-A4A5-DABD2CD549C1}" name="Percentage change" dataDxfId="496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FC9BDC7B-60EC-D14D-BC7D-BE6EF492FBFC}" name="Table3611910135557" displayName="Table3611910135557" ref="A1:J31" totalsRowShown="0" headerRowDxfId="495" dataDxfId="494">
  <sortState xmlns:xlrd2="http://schemas.microsoft.com/office/spreadsheetml/2017/richdata2" ref="A2:J31">
    <sortCondition ref="A1:A31"/>
  </sortState>
  <tableColumns count="10">
    <tableColumn id="1" xr3:uid="{A712052F-FD92-8D4F-9965-AA2A398423F2}" name="Position" dataDxfId="493"/>
    <tableColumn id="2" xr3:uid="{7AF2D4DF-BC4E-AF4B-A800-B5100B1E2853}" name="Last Week" dataDxfId="492"/>
    <tableColumn id="3" xr3:uid="{EB0B9114-C779-8144-B470-C6F1B972D395}" name="System" dataDxfId="491"/>
    <tableColumn id="4" xr3:uid="{988AC20B-E1FF-FE40-A898-DFCD45C8A2E4}" name="Title" dataDxfId="490"/>
    <tableColumn id="5" xr3:uid="{87937718-2FB7-CD40-8081-C60A809DC804}" name="Week Sales" dataDxfId="489"/>
    <tableColumn id="6" xr3:uid="{402CD3C4-39E4-8647-9046-23CF3A17285E}" name="Total Sales" dataDxfId="488">
      <calculatedColumnFormula>SUMIFS('Week 10 Mar 2 - Mar 8 2020'!F:F,'Week 10 Mar 2 - Mar 8 2020'!D:D,'Week 11 Mar 9 - Mar 15 2020'!D:D,'Week 10 Mar 2 - Mar 8 2020'!C:C,'Week 11 Mar 9 - Mar 15 2020'!C:C)+Table3611910135557[[#This Row],[Week Sales]]</calculatedColumnFormula>
    </tableColumn>
    <tableColumn id="7" xr3:uid="{C781683C-5253-234A-9E29-CEFA9E1A770D}" name="Publisher" dataDxfId="487">
      <calculatedColumnFormula>(VLOOKUP(D:D,'Week 9 Feb 24 - Mar 1 2020'!D:G,4,FALSE))</calculatedColumnFormula>
    </tableColumn>
    <tableColumn id="8" xr3:uid="{D073F664-B4B5-994F-B7DC-6AF1594BE0F6}" name="Release Date" dataDxfId="486">
      <calculatedColumnFormula>(VLOOKUP(D:D,'Week 9 Feb 24 - Mar 1 2020'!D:H,5,FALSE))</calculatedColumnFormula>
    </tableColumn>
    <tableColumn id="9" xr3:uid="{389F225A-CF1A-1745-9302-D538B2E08B98}" name="Last Week's Sales" dataDxfId="485">
      <calculatedColumnFormula>_xlfn.IFNA(SUMIFS('Week 9 Feb 24 - Mar 1 2020'!E:E,'Week 9 Feb 24 - Mar 1 2020'!D:D,'Week 10 Mar 2 - Mar 8 2020'!D:D,'Week 9 Feb 24 - Mar 1 2020'!C:C,'Week 10 Mar 2 - Mar 8 2020'!C:C),"New")</calculatedColumnFormula>
    </tableColumn>
    <tableColumn id="10" xr3:uid="{461CC8C7-1748-4E44-B8BF-BF4F06B668A8}" name="Percentage change" dataDxfId="484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F36D7CC-7F11-7A43-9A1D-D4AA8BD2AD2A}" name="Table361191013555712" displayName="Table361191013555712" ref="A1:J31" totalsRowShown="0" headerRowDxfId="483" dataDxfId="482">
  <sortState xmlns:xlrd2="http://schemas.microsoft.com/office/spreadsheetml/2017/richdata2" ref="A2:J31">
    <sortCondition ref="A1:A31"/>
  </sortState>
  <tableColumns count="10">
    <tableColumn id="1" xr3:uid="{A09D7524-FFAD-274B-AFFF-BE6878983CFD}" name="Position" dataDxfId="481"/>
    <tableColumn id="2" xr3:uid="{E1D12580-1E7E-6F42-9BAC-AAB2042FC682}" name="Last Week" dataDxfId="480"/>
    <tableColumn id="3" xr3:uid="{CCA760EB-A684-BF4B-88B5-B17030FEB84E}" name="System" dataDxfId="479"/>
    <tableColumn id="4" xr3:uid="{492D0423-CD09-9442-874B-35D88349ECC3}" name="Title" dataDxfId="478"/>
    <tableColumn id="5" xr3:uid="{30C1EFD6-0FEE-834D-ACE4-24670406C2E5}" name="Week Sales" dataDxfId="477"/>
    <tableColumn id="6" xr3:uid="{6E848691-99A3-5647-BA2D-C407C2D131CD}" name="Total Sales" dataDxfId="476">
      <calculatedColumnFormula>SUMIFS('Week 11 Mar 9 - Mar 15 2020'!F:F,'Week 11 Mar 9 - Mar 15 2020'!D:D,'Week 12 Mar 16 - Mar 22 2020'!D:D,'Week 11 Mar 9 - Mar 15 2020'!C:C,'Week 12 Mar 16 - Mar 22 2020'!C:C)+Table361191013555712[[#This Row],[Week Sales]]</calculatedColumnFormula>
    </tableColumn>
    <tableColumn id="7" xr3:uid="{9F2C06F9-ABBF-094B-AC6A-8E44DCA38FCE}" name="Publisher" dataDxfId="475">
      <calculatedColumnFormula>(VLOOKUP(D:D,'Week 9 Feb 24 - Mar 1 2020'!D:G,4,FALSE))</calculatedColumnFormula>
    </tableColumn>
    <tableColumn id="8" xr3:uid="{3F8520F1-863C-D44A-A2FA-B925AAD99F85}" name="Release Date" dataDxfId="474">
      <calculatedColumnFormula>(VLOOKUP(D:D,'Week 9 Feb 24 - Mar 1 2020'!D:H,5,FALSE))</calculatedColumnFormula>
    </tableColumn>
    <tableColumn id="9" xr3:uid="{433BBF55-12DD-BB4E-B5F2-74148C762664}" name="Last Week's Sales" dataDxfId="473">
      <calculatedColumnFormula>_xlfn.IFNA(SUMIFS('Week 11 Mar 9 - Mar 15 2020'!E:E,'Week 11 Mar 9 - Mar 15 2020'!D:D,'Week 12 Mar 16 - Mar 22 2020'!D:D,'Week 11 Mar 9 - Mar 15 2020'!C:C,'Week 12 Mar 16 - Mar 22 2020'!C:C),"New")</calculatedColumnFormula>
    </tableColumn>
    <tableColumn id="10" xr3:uid="{A323DADE-9145-C645-9776-ED0FA154A1BF}" name="Percentage change" dataDxfId="472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958CE8C-ED77-3B40-8FF1-A0618CBED31A}" name="Table36119101355571214" displayName="Table36119101355571214" ref="A1:J31" totalsRowShown="0" headerRowDxfId="471" dataDxfId="470">
  <sortState xmlns:xlrd2="http://schemas.microsoft.com/office/spreadsheetml/2017/richdata2" ref="A2:J31">
    <sortCondition ref="A1:A31"/>
  </sortState>
  <tableColumns count="10">
    <tableColumn id="1" xr3:uid="{1BA70DB0-44A6-C34C-AAFE-9F2052408096}" name="Position" dataDxfId="469"/>
    <tableColumn id="2" xr3:uid="{EF4F7C56-A149-644E-A67F-C1AC25F0F863}" name="Last Week" dataDxfId="468"/>
    <tableColumn id="3" xr3:uid="{60D89A03-EA91-BE4C-ABE1-A81F7508E778}" name="System" dataDxfId="467"/>
    <tableColumn id="4" xr3:uid="{658D31BD-C085-134F-83BF-3C70602FA66D}" name="Title" dataDxfId="466"/>
    <tableColumn id="5" xr3:uid="{B1CB70B9-9FA6-1042-825E-720B6DCFBE6A}" name="Week Sales" dataDxfId="465"/>
    <tableColumn id="6" xr3:uid="{01DFEC85-9E81-9C45-9BD4-1F0D4CD11E5C}" name="Total Sales" dataDxfId="464">
      <calculatedColumnFormula>SUMIFS('Week 12 Mar 16 - Mar 22 2020'!F:F,'Week 12 Mar 16 - Mar 22 2020'!D:D,'Week 13 Mar 23 - Mar 29 2020'!D:D,'Week 12 Mar 16 - Mar 22 2020'!C:C,'Week 13 Mar 23 - Mar 29 2020'!C:C)+Table36119101355571214[[#This Row],[Week Sales]]</calculatedColumnFormula>
    </tableColumn>
    <tableColumn id="7" xr3:uid="{499540D4-555B-D64B-B55E-CF67A2DD5C69}" name="Publisher" dataDxfId="463">
      <calculatedColumnFormula>(VLOOKUP(D:D,'Week 12 Mar 16 - Mar 22 2020'!D:G,4,FALSE))</calculatedColumnFormula>
    </tableColumn>
    <tableColumn id="8" xr3:uid="{E2FC8A0C-086E-394A-B2B9-9B2C32CE0A2D}" name="Release Date" dataDxfId="462">
      <calculatedColumnFormula>(VLOOKUP(D:D,'Week 12 Mar 16 - Mar 22 2020'!D:H,5,FALSE))</calculatedColumnFormula>
    </tableColumn>
    <tableColumn id="9" xr3:uid="{6FD0DE4D-3418-144A-AE9E-61A3FEF3733F}" name="Last Week's Sales" dataDxfId="461">
      <calculatedColumnFormula>_xlfn.IFNA(SUMIFS('Week 12 Mar 16 - Mar 22 2020'!E:E,'Week 12 Mar 16 - Mar 22 2020'!D:D,'Week 13 Mar 23 - Mar 29 2020'!D:D,'Week 12 Mar 16 - Mar 22 2020'!C:C,'Week 13 Mar 23 - Mar 29 2020'!C:C),"New")</calculatedColumnFormula>
    </tableColumn>
    <tableColumn id="10" xr3:uid="{7989F2D7-59E0-8E4D-B4F5-DBB99DFA6466}" name="Percentage change" dataDxfId="460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A66DDDA-2FDE-2744-802E-89F60FCEFA47}" name="Table3611910135557121417" displayName="Table3611910135557121417" ref="A1:J31" totalsRowShown="0" headerRowDxfId="459" dataDxfId="458">
  <sortState xmlns:xlrd2="http://schemas.microsoft.com/office/spreadsheetml/2017/richdata2" ref="A2:J31">
    <sortCondition ref="A1:A31"/>
  </sortState>
  <tableColumns count="10">
    <tableColumn id="1" xr3:uid="{2A79A692-558D-FB4C-AC77-850EA03F3478}" name="Position" dataDxfId="457"/>
    <tableColumn id="2" xr3:uid="{271A7157-992A-584A-B354-FDBE76B76F52}" name="Last Week" dataDxfId="456"/>
    <tableColumn id="3" xr3:uid="{0E1A6B43-5297-E949-A004-48E1B1E4D95B}" name="System" dataDxfId="455"/>
    <tableColumn id="4" xr3:uid="{044DA99B-9D5A-E444-BAD0-5B797D399521}" name="Title" dataDxfId="454"/>
    <tableColumn id="5" xr3:uid="{D609420D-8786-6B4A-A863-2899FD648C85}" name="Week Sales" dataDxfId="453"/>
    <tableColumn id="6" xr3:uid="{57E80767-6A69-9E4E-98ED-B2278F198EE7}" name="Total Sales" dataDxfId="452">
      <calculatedColumnFormula>SUMIFS('Week 13 Mar 23 - Mar 29 2020'!F:F,'Week 13 Mar 23 - Mar 29 2020'!D:D,'Week 14 Mar 30 - Apr 5 2020'!D:D,'Week 13 Mar 23 - Mar 29 2020'!C:C,'Week 14 Mar 30 - Apr 5 2020'!C:C)+Table3611910135557121417[[#This Row],[Week Sales]]</calculatedColumnFormula>
    </tableColumn>
    <tableColumn id="7" xr3:uid="{BF8DDD05-C5B6-D74B-A860-D8008E08AAE9}" name="Publisher" dataDxfId="451">
      <calculatedColumnFormula>(VLOOKUP(D:D,'Week 13 Mar 23 - Mar 29 2020'!D:G,4,FALSE))</calculatedColumnFormula>
    </tableColumn>
    <tableColumn id="8" xr3:uid="{2BE11636-E9CE-C14C-8D0C-A85595B2ADE2}" name="Release Date" dataDxfId="450">
      <calculatedColumnFormula>(VLOOKUP(D:D,'Week 13 Mar 23 - Mar 29 2020'!D:H,5,FALSE))</calculatedColumnFormula>
    </tableColumn>
    <tableColumn id="9" xr3:uid="{30DCB17D-21AB-BA4E-878D-8AD8BD41EBF9}" name="Last Week's Sales" dataDxfId="449">
      <calculatedColumnFormula>_xlfn.IFNA(SUMIFS('Week 13 Mar 23 - Mar 29 2020'!E:E,'Week 13 Mar 23 - Mar 29 2020'!D:D,'Week 14 Mar 30 - Apr 5 2020'!D:D,'Week 13 Mar 23 - Mar 29 2020'!C:C,'Week 14 Mar 30 - Apr 5 2020'!C:C),"New")</calculatedColumnFormula>
    </tableColumn>
    <tableColumn id="10" xr3:uid="{6634F7B7-06BD-BB44-B78C-155210036B4C}" name="Percentage change" dataDxfId="448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CB2F7740-7142-8044-A2A0-A87D5E934A58}" name="Table361191013555712141752" displayName="Table361191013555712141752" ref="A1:J31" totalsRowShown="0" headerRowDxfId="447" dataDxfId="446">
  <sortState xmlns:xlrd2="http://schemas.microsoft.com/office/spreadsheetml/2017/richdata2" ref="A2:J31">
    <sortCondition ref="A1:A31"/>
  </sortState>
  <tableColumns count="10">
    <tableColumn id="1" xr3:uid="{D8B8A5E1-65BA-1F48-B50D-335E74741777}" name="Position" dataDxfId="445"/>
    <tableColumn id="2" xr3:uid="{AB2B1A1D-2C07-1E4C-A368-44DA6444C402}" name="Last Week" dataDxfId="444"/>
    <tableColumn id="3" xr3:uid="{FD8746FC-292C-9C4F-ACA1-507E6BE35648}" name="System" dataDxfId="443"/>
    <tableColumn id="4" xr3:uid="{1B19868F-9570-934B-A7EE-48B427B46581}" name="Title" dataDxfId="442"/>
    <tableColumn id="5" xr3:uid="{A7ED9945-77EC-B347-9830-252DEBE0FDAF}" name="Week Sales" dataDxfId="441"/>
    <tableColumn id="6" xr3:uid="{71A39CB5-4E80-2941-8EB8-EE99824723E3}" name="Total Sales" dataDxfId="440">
      <calculatedColumnFormula>SUMIFS('Week 14 Mar 30 - Apr 5 2020'!F:F,'Week 14 Mar 30 - Apr 5 2020'!D:D,'Week 15 Apr 6 - Apr 12 2020'!D:D,'Week 14 Mar 30 - Apr 5 2020'!C:C,'Week 15 Apr 6 - Apr 12 2020'!C:C)+Table361191013555712141752[[#This Row],[Week Sales]]</calculatedColumnFormula>
    </tableColumn>
    <tableColumn id="7" xr3:uid="{83BC81D9-BA6C-4F4B-9765-6AF952D66EEB}" name="Publisher" dataDxfId="439">
      <calculatedColumnFormula>(VLOOKUP(D:D,'Week 14 Mar 30 - Apr 5 2020'!D:G,4,FALSE))</calculatedColumnFormula>
    </tableColumn>
    <tableColumn id="8" xr3:uid="{99113D64-A086-8E42-B33D-01E82FAE9404}" name="Release Date" dataDxfId="438">
      <calculatedColumnFormula>(VLOOKUP(D:D,'Week 14 Mar 30 - Apr 5 2020'!D:H,5,FALSE))</calculatedColumnFormula>
    </tableColumn>
    <tableColumn id="9" xr3:uid="{1711A070-DA18-E24F-929B-88505EDFE61E}" name="Last Week's Sales" dataDxfId="437">
      <calculatedColumnFormula>_xlfn.IFNA(SUMIFS('Week 14 Mar 30 - Apr 5 2020'!E:E,'Week 14 Mar 30 - Apr 5 2020'!D:D,'Week 15 Apr 6 - Apr 12 2020'!D:D,'Week 14 Mar 30 - Apr 5 2020'!C:C,'Week 15 Apr 6 - Apr 12 2020'!C:C),"New")</calculatedColumnFormula>
    </tableColumn>
    <tableColumn id="10" xr3:uid="{373C1448-5C03-934A-95B5-4D35775CC8DE}" name="Percentage change" dataDxfId="436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914CE2B8-6206-774A-9582-B5E0120DFA38}" name="Table36119101355571214175259" displayName="Table36119101355571214175259" ref="A1:J31" totalsRowShown="0" headerRowDxfId="435" dataDxfId="434">
  <sortState xmlns:xlrd2="http://schemas.microsoft.com/office/spreadsheetml/2017/richdata2" ref="A2:J31">
    <sortCondition ref="A1:A31"/>
  </sortState>
  <tableColumns count="10">
    <tableColumn id="1" xr3:uid="{384C6CB0-7598-2742-B5DA-B89D1D7FED33}" name="Position" dataDxfId="433"/>
    <tableColumn id="2" xr3:uid="{C64DADA7-39C2-5A48-BFB7-DAB18F122FFC}" name="Last Week" dataDxfId="432"/>
    <tableColumn id="3" xr3:uid="{D4B72D6A-8431-2B41-B2C9-20F0F8C92E75}" name="System" dataDxfId="431"/>
    <tableColumn id="4" xr3:uid="{8DB5375C-764D-A841-843C-0EF7497F6D4F}" name="Title" dataDxfId="430"/>
    <tableColumn id="5" xr3:uid="{05BCF60F-24CF-7748-B7D4-78795493234F}" name="Week Sales" dataDxfId="429"/>
    <tableColumn id="6" xr3:uid="{AA3CE9F8-5BDB-1543-BF7C-74CFC14D1C93}" name="Total Sales" dataDxfId="428">
      <calculatedColumnFormula>SUMIFS('Week 15 Apr 6 - Apr 12 2020'!F:F,'Week 15 Apr 6 - Apr 12 2020'!D:D,'Week 16 Apr 13 - Apr 19 2020'!D:D,'Week 15 Apr 6 - Apr 12 2020'!C:C,'Week 16 Apr 13 - Apr 19 2020'!C:C)+Table36119101355571214175259[[#This Row],[Week Sales]]</calculatedColumnFormula>
    </tableColumn>
    <tableColumn id="7" xr3:uid="{538A4E07-565A-DC4E-BD2F-BCDA87EBCA04}" name="Publisher" dataDxfId="427">
      <calculatedColumnFormula>(VLOOKUP(D:D,'Week 15 Apr 6 - Apr 12 2020'!D:G,4,FALSE))</calculatedColumnFormula>
    </tableColumn>
    <tableColumn id="8" xr3:uid="{49D07D0F-68A2-2D48-ABEB-F9146A2B906F}" name="Release Date" dataDxfId="426">
      <calculatedColumnFormula>(VLOOKUP(D:D,'Week 15 Apr 6 - Apr 12 2020'!D:H,5,FALSE))</calculatedColumnFormula>
    </tableColumn>
    <tableColumn id="9" xr3:uid="{F2306827-A0FF-7142-9D00-64CE40D527DB}" name="Last Week's Sales" dataDxfId="425">
      <calculatedColumnFormula>_xlfn.IFNA(SUMIFS('Week 15 Apr 6 - Apr 12 2020'!E:E,'Week 15 Apr 6 - Apr 12 2020'!D:D,'Week 16 Apr 13 - Apr 19 2020'!D:D,'Week 15 Apr 6 - Apr 12 2020'!C:C,'Week 16 Apr 13 - Apr 19 2020'!C:C),"New")</calculatedColumnFormula>
    </tableColumn>
    <tableColumn id="10" xr3:uid="{980C3231-2591-7740-99E2-43DD415F86AF}" name="Percentage change" dataDxfId="424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70FC68C3-13C0-4249-A3EF-66B5D6CAB15F}" name="Table3611910135557121417525961" displayName="Table3611910135557121417525961" ref="A1:J31" totalsRowShown="0" headerRowDxfId="423" dataDxfId="422">
  <sortState xmlns:xlrd2="http://schemas.microsoft.com/office/spreadsheetml/2017/richdata2" ref="A2:J31">
    <sortCondition ref="A1:A31"/>
  </sortState>
  <tableColumns count="10">
    <tableColumn id="1" xr3:uid="{0732A9A7-B406-AC40-8E6E-08608EAF3F52}" name="Position" dataDxfId="421"/>
    <tableColumn id="2" xr3:uid="{AEC83DCF-6F0D-A34B-8A2A-2EC3EC2687D5}" name="Last Week" dataDxfId="420"/>
    <tableColumn id="3" xr3:uid="{355C9671-727C-1D4F-9D20-9AF4F929E1C5}" name="System" dataDxfId="419"/>
    <tableColumn id="4" xr3:uid="{FEF55F8F-55E7-5E43-9087-8B069799E3FF}" name="Title" dataDxfId="418"/>
    <tableColumn id="5" xr3:uid="{31D17AC9-1009-2942-B649-867BE397346A}" name="Week Sales" dataDxfId="417"/>
    <tableColumn id="6" xr3:uid="{A4E8D576-1549-904B-BC95-11F6B5CFD499}" name="Total Sales" dataDxfId="416">
      <calculatedColumnFormula>SUMIFS('Week 16 Apr 13 - Apr 19 2020'!F:F,'Week 16 Apr 13 - Apr 19 2020'!D:D,'Week 17 Apr 20 - Apr 26 2020'!D:D,'Week 16 Apr 13 - Apr 19 2020'!C:C,'Week 17 Apr 20 - Apr 26 2020'!C:C)+Table3611910135557121417525961[[#This Row],[Week Sales]]</calculatedColumnFormula>
    </tableColumn>
    <tableColumn id="7" xr3:uid="{89393874-121C-904E-A6C7-38755A57A785}" name="Publisher" dataDxfId="415">
      <calculatedColumnFormula>(VLOOKUP(D:D,'Week 16 Apr 13 - Apr 19 2020'!D:G,4,FALSE))</calculatedColumnFormula>
    </tableColumn>
    <tableColumn id="8" xr3:uid="{8A7050B7-D175-0E4C-B77A-4B6CEE067B35}" name="Release Date" dataDxfId="414">
      <calculatedColumnFormula>(VLOOKUP(D:D,'Week 16 Apr 13 - Apr 19 2020'!D:H,5,FALSE))</calculatedColumnFormula>
    </tableColumn>
    <tableColumn id="9" xr3:uid="{364A41BA-3287-0F43-B24B-EE6D37AFB830}" name="Last Week's Sales" dataDxfId="413">
      <calculatedColumnFormula>_xlfn.IFNA(SUMIFS('Week 16 Apr 13 - Apr 19 2020'!E:E,'Week 16 Apr 13 - Apr 19 2020'!D:D,'Week 17 Apr 20 - Apr 26 2020'!D:D,'Week 16 Apr 13 - Apr 19 2020'!C:C,'Week 17 Apr 20 - Apr 26 2020'!C:C),"New")</calculatedColumnFormula>
    </tableColumn>
    <tableColumn id="10" xr3:uid="{FE1F8F65-44E7-7548-918C-F57AEA62A75D}" name="Percentage change" dataDxfId="412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5CAFEE8-BE47-6A47-9875-DDE689BAC394}" name="Table361191013555712141752596163" displayName="Table361191013555712141752596163" ref="A1:J31" totalsRowShown="0" headerRowDxfId="411" dataDxfId="410">
  <sortState xmlns:xlrd2="http://schemas.microsoft.com/office/spreadsheetml/2017/richdata2" ref="A2:J31">
    <sortCondition ref="A1:A31"/>
  </sortState>
  <tableColumns count="10">
    <tableColumn id="1" xr3:uid="{ECA097D0-B177-2D4B-8456-0A160C95332F}" name="Position" dataDxfId="409"/>
    <tableColumn id="2" xr3:uid="{7228EF03-0F6F-7E4E-AB22-FC7824608CEF}" name="Last Week" dataDxfId="408"/>
    <tableColumn id="3" xr3:uid="{549B5F36-0F1D-5E4F-9BF3-0BC1F32D16B0}" name="System" dataDxfId="407"/>
    <tableColumn id="4" xr3:uid="{AD7C48FE-1081-4A4C-BECF-7D5AD643DD2A}" name="Title" dataDxfId="406"/>
    <tableColumn id="5" xr3:uid="{FA496231-1F69-6D46-BB55-30AC506F134E}" name="Week Sales" dataDxfId="405"/>
    <tableColumn id="6" xr3:uid="{F43E7D30-E50C-E040-822F-2E6983BEE6AE}" name="Total Sales" dataDxfId="404">
      <calculatedColumnFormula>SUMIFS('Week 17 Apr 20 - Apr 26 2020'!F:F,'Week 17 Apr 20 - Apr 26 2020'!D:D,'Week 18 Apr 27 - May 3 2020'!D:D,'Week 17 Apr 20 - Apr 26 2020'!C:C,'Week 18 Apr 27 - May 3 2020'!C:C)+Table361191013555712141752596163[[#This Row],[Week Sales]]</calculatedColumnFormula>
    </tableColumn>
    <tableColumn id="7" xr3:uid="{543CE619-8157-7C4C-AD92-81EE634FE07C}" name="Publisher" dataDxfId="403">
      <calculatedColumnFormula>(VLOOKUP(D:D,'Week 17 Apr 20 - Apr 26 2020'!D:G,4,FALSE))</calculatedColumnFormula>
    </tableColumn>
    <tableColumn id="8" xr3:uid="{D470E71F-20AD-214C-B5F5-8DCC93B10741}" name="Release Date" dataDxfId="402">
      <calculatedColumnFormula>(VLOOKUP(D:D,'Week 17 Apr 20 - Apr 26 2020'!D:H,5,FALSE))</calculatedColumnFormula>
    </tableColumn>
    <tableColumn id="9" xr3:uid="{552AB9A2-1231-C24D-BE1C-58536803C9EA}" name="Last Week's Sales" dataDxfId="401">
      <calculatedColumnFormula>_xlfn.IFNA(SUMIFS('Week 17 Apr 20 - Apr 26 2020'!E:E,'Week 17 Apr 20 - Apr 26 2020'!D:D,'Week 18 Apr 27 - May 3 2020'!D:D,'Week 17 Apr 20 - Apr 26 2020'!C:C,'Week 18 Apr 27 - May 3 2020'!C:C),"New")</calculatedColumnFormula>
    </tableColumn>
    <tableColumn id="10" xr3:uid="{4ECECD4D-32FD-C043-A562-91DF70E99CFE}" name="Percentage change" dataDxfId="400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339046D9-E117-2F4E-A073-5CAF0E965ADA}" name="Table36119101355571214175259616365" displayName="Table36119101355571214175259616365" ref="A1:J31" totalsRowShown="0" headerRowDxfId="399" dataDxfId="398">
  <sortState xmlns:xlrd2="http://schemas.microsoft.com/office/spreadsheetml/2017/richdata2" ref="A2:J31">
    <sortCondition ref="A1:A31"/>
  </sortState>
  <tableColumns count="10">
    <tableColumn id="1" xr3:uid="{6B2E7D3B-EDB1-4A46-9E71-B21CCEC0FA86}" name="Position" dataDxfId="397"/>
    <tableColumn id="2" xr3:uid="{341E2356-8C92-9F4E-A206-42436F50BFDB}" name="Last Week" dataDxfId="396"/>
    <tableColumn id="3" xr3:uid="{3775F6AA-BCE4-4B43-B880-A74D72748639}" name="System" dataDxfId="395"/>
    <tableColumn id="4" xr3:uid="{E7C7BBCD-19F3-2140-8BC5-3F481B890E05}" name="Title" dataDxfId="394"/>
    <tableColumn id="5" xr3:uid="{40D1BBD8-91A3-3F44-9CB2-6B68424D3029}" name="Week Sales" dataDxfId="393"/>
    <tableColumn id="6" xr3:uid="{7F51022C-81A6-424E-B108-36920DDF2B12}" name="Total Sales" dataDxfId="392">
      <calculatedColumnFormula>SUMIFS('Week 17 Apr 20 - Apr 26 2020'!F:F,'Week 17 Apr 20 - Apr 26 2020'!D:D,'Week 18 Apr 27 - May 3 2020'!D:D,'Week 17 Apr 20 - Apr 26 2020'!C:C,'Week 18 Apr 27 - May 3 2020'!C:C)+Table36119101355571214175259616365[[#This Row],[Week Sales]]</calculatedColumnFormula>
    </tableColumn>
    <tableColumn id="7" xr3:uid="{462E4A59-10F5-EC4C-B78C-BE3A87894B25}" name="Publisher" dataDxfId="391">
      <calculatedColumnFormula>(VLOOKUP(D:D,'Week 18 Apr 27 - May 3 2020'!D:G,4,FALSE))</calculatedColumnFormula>
    </tableColumn>
    <tableColumn id="8" xr3:uid="{36F6B1F9-FB13-0642-B72A-24AEA7863B04}" name="Release Date" dataDxfId="390">
      <calculatedColumnFormula>(VLOOKUP(D:D,'Week 18 Apr 27 - May 3 2020'!D:H,5,FALSE))</calculatedColumnFormula>
    </tableColumn>
    <tableColumn id="9" xr3:uid="{0AA80BA0-144C-F540-9F48-CEB09FB9A7BD}" name="Last Week's Sales" dataDxfId="389">
      <calculatedColumnFormula>_xlfn.IFNA(SUMIFS('Week 18 Apr 27 - May 3 2020'!E:E,'Week 18 Apr 27 - May 3 2020'!D:D,'Week 19 May 4 - May 10 2020'!D:D,'Week 18 Apr 27 - May 3 2020'!C:C,'Week 19 May 4 - May 10 2020'!C:C),"New")</calculatedColumnFormula>
    </tableColumn>
    <tableColumn id="10" xr3:uid="{BD8850D4-6EDB-1F41-A1A1-ECC15FEA2743}" name="Percentage change" dataDxfId="388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1E78A8F-4945-D54F-A038-694F6A810663}" name="Table367" displayName="Table367" ref="A1:J31" totalsRowShown="0" headerRowDxfId="602" dataDxfId="601">
  <sortState xmlns:xlrd2="http://schemas.microsoft.com/office/spreadsheetml/2017/richdata2" ref="A2:J31">
    <sortCondition ref="A1:A31"/>
  </sortState>
  <tableColumns count="10">
    <tableColumn id="1" xr3:uid="{A7CC905F-5D99-A148-9016-60C124B62D4A}" name="Position" dataDxfId="600"/>
    <tableColumn id="2" xr3:uid="{5FE615F2-BE67-4543-A5E2-3685CADE2164}" name="Last Week" dataDxfId="599"/>
    <tableColumn id="3" xr3:uid="{CBF9424C-0933-3B41-A7DC-BDF3D2340BA7}" name="System" dataDxfId="598"/>
    <tableColumn id="4" xr3:uid="{1CB11FFE-E487-CC4A-81F0-BA4C619FBE14}" name="Title" dataDxfId="597"/>
    <tableColumn id="5" xr3:uid="{21B0F511-4522-3141-8032-4A3B0BB9799B}" name="Week Sales" dataDxfId="596"/>
    <tableColumn id="6" xr3:uid="{BFCD1FE8-439C-F949-BBB4-AB23EADB18A5}" name="Total Sales" dataDxfId="595">
      <calculatedColumnFormula>SUMIFS('Week 1 Dec 30 - Jan 5 2020'!F:F,'Week 1 Dec 30 - Jan 5 2020'!D:D,'Week 2 Jan 6 - Jan 12 2020'!D:D,'Week 1 Dec 30 - Jan 5 2020'!C:C,'Week 2 Jan 6 - Jan 12 2020'!C:C)+Table367[[#This Row],[Week Sales]]</calculatedColumnFormula>
    </tableColumn>
    <tableColumn id="7" xr3:uid="{6C43A595-461F-4B4E-81F3-80D5630CEA3E}" name="Publisher" dataDxfId="594">
      <calculatedColumnFormula>(VLOOKUP(D:D,'Week 1 Dec 30 - Jan 5 2020'!D:G,4,FALSE))</calculatedColumnFormula>
    </tableColumn>
    <tableColumn id="8" xr3:uid="{A999B0FC-3E06-9F48-A686-DFFDBE25AA94}" name="Release Date" dataDxfId="593">
      <calculatedColumnFormula>(VLOOKUP(D:D,'Week 1 Dec 30 - Jan 5 2020'!D:H,5,FALSE))</calculatedColumnFormula>
    </tableColumn>
    <tableColumn id="9" xr3:uid="{E110C7C3-EC74-5345-BD94-1EC065DE0ADD}" name="Last Week's Sales" dataDxfId="592">
      <calculatedColumnFormula>_xlfn.IFNA(VLOOKUP('Week 2 Jan 6 - Jan 12 2020'!D:D,'Week 1 Dec 30 - Jan 5 2020'!D:E, 2, FALSE),"New")</calculatedColumnFormula>
    </tableColumn>
    <tableColumn id="10" xr3:uid="{A52489E7-C759-E443-80B3-6E8C53AA8992}" name="Percentage change" dataDxfId="591"/>
  </tableColumns>
  <tableStyleInfo name="TableStyleLight6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8EAF0FE7-AD2E-0A4E-BB14-B10DF6D1EDA6}" name="Table3611910135557121417525961636567" displayName="Table3611910135557121417525961636567" ref="A1:J31" totalsRowShown="0" headerRowDxfId="387" dataDxfId="386">
  <sortState xmlns:xlrd2="http://schemas.microsoft.com/office/spreadsheetml/2017/richdata2" ref="A2:J31">
    <sortCondition ref="A1:A31"/>
  </sortState>
  <tableColumns count="10">
    <tableColumn id="1" xr3:uid="{053673E7-6168-0A48-B49D-77E597B1EC51}" name="Position" dataDxfId="385"/>
    <tableColumn id="2" xr3:uid="{27BB5C0B-F81A-DB44-B45C-CCD3942FCBDF}" name="Last Week" dataDxfId="384"/>
    <tableColumn id="3" xr3:uid="{894AD03E-A9B4-F643-B0AF-C35159000FBA}" name="System" dataDxfId="383"/>
    <tableColumn id="4" xr3:uid="{EE7FA0CA-3667-9D40-A9EA-58B2CEF3847B}" name="Title" dataDxfId="382"/>
    <tableColumn id="5" xr3:uid="{D116D281-2240-2441-8F9D-AB8A58C2DE46}" name="Week Sales" dataDxfId="381"/>
    <tableColumn id="6" xr3:uid="{1E845AC9-5680-0F48-A297-BDCD386FB42C}" name="Total Sales" dataDxfId="380">
      <calculatedColumnFormula>SUMIFS('Week 19 May 4 - May 10 2020'!F:F,'Week 19 May 4 - May 10 2020'!D:D,'Week 20 May 11 - May 17 2020'!D:D,'Week 19 May 4 - May 10 2020'!C:C,'Week 20 May 11 - May 17 2020'!C:C)+Table3611910135557121417525961636567[[#This Row],[Week Sales]]</calculatedColumnFormula>
    </tableColumn>
    <tableColumn id="7" xr3:uid="{F49C2AB4-44CE-FA41-BD6D-75760BDD0CCC}" name="Publisher" dataDxfId="379">
      <calculatedColumnFormula>(VLOOKUP(D:D,'Week 19 May 4 - May 10 2020'!D:G,4,FALSE))</calculatedColumnFormula>
    </tableColumn>
    <tableColumn id="8" xr3:uid="{043DDA9F-0717-7642-B3E7-C81C834E8EFC}" name="Release Date" dataDxfId="378">
      <calculatedColumnFormula>(VLOOKUP(D:D,'Week 19 May 4 - May 10 2020'!D:H,5,FALSE))</calculatedColumnFormula>
    </tableColumn>
    <tableColumn id="9" xr3:uid="{FA75DAA0-A657-754E-AF94-B43BB39C1616}" name="Last Week's Sales" dataDxfId="377">
      <calculatedColumnFormula>_xlfn.IFNA(SUMIFS('Week 19 May 4 - May 10 2020'!E:E,'Week 19 May 4 - May 10 2020'!D:D,'Week 20 May 11 - May 17 2020'!D:D,'Week 19 May 4 - May 10 2020'!C:C,'Week 20 May 11 - May 17 2020'!C:C),"New")</calculatedColumnFormula>
    </tableColumn>
    <tableColumn id="10" xr3:uid="{B9CCA4C5-4C60-A040-BED6-A4B690A1D019}" name="Percentage change" dataDxfId="376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D8BAFF66-C36A-074E-BE9F-A249EC7287E3}" name="Table361191013555712141752596163656769" displayName="Table361191013555712141752596163656769" ref="A1:J31" totalsRowShown="0" headerRowDxfId="375" dataDxfId="374">
  <sortState xmlns:xlrd2="http://schemas.microsoft.com/office/spreadsheetml/2017/richdata2" ref="A2:J31">
    <sortCondition ref="A1:A31"/>
  </sortState>
  <tableColumns count="10">
    <tableColumn id="1" xr3:uid="{0105B4E9-FEAE-1940-A650-E08D3F46468E}" name="Position" dataDxfId="373"/>
    <tableColumn id="2" xr3:uid="{07118655-2014-8448-A3FB-7DC073189FE6}" name="Last Week" dataDxfId="372"/>
    <tableColumn id="3" xr3:uid="{46BFD365-EF93-0A49-841F-9B6C4201F8D2}" name="System" dataDxfId="371"/>
    <tableColumn id="4" xr3:uid="{15AD4CCA-E694-AE4B-8099-C28309B9A59F}" name="Title" dataDxfId="370"/>
    <tableColumn id="5" xr3:uid="{91575B6C-A66F-4B43-A984-221F15FEBAB4}" name="Week Sales" dataDxfId="369"/>
    <tableColumn id="6" xr3:uid="{6CECDCD6-6560-2D4A-BE5C-A32B22E39C6F}" name="Total Sales" dataDxfId="368">
      <calculatedColumnFormula>SUMIFS('Week 20 May 11 - May 17 2020'!F:F,'Week 20 May 11 - May 17 2020'!D:D,'Week 21 May 18 - May 24 2020'!D:D,'Week 20 May 11 - May 17 2020'!C:C,'Week 21 May 18 - May 24 2020'!C:C)+Table361191013555712141752596163656769[[#This Row],[Week Sales]]</calculatedColumnFormula>
    </tableColumn>
    <tableColumn id="7" xr3:uid="{D083354A-09EA-E04F-9AD1-42ECAE2989F9}" name="Publisher" dataDxfId="367">
      <calculatedColumnFormula>(VLOOKUP(D:D,'Week 20 May 11 - May 17 2020'!D:G,4,FALSE))</calculatedColumnFormula>
    </tableColumn>
    <tableColumn id="8" xr3:uid="{8394B3FF-365B-AD4F-87DF-3F37DC80A2E0}" name="Release Date" dataDxfId="366">
      <calculatedColumnFormula>(VLOOKUP(D:D,'Week 20 May 11 - May 17 2020'!D:H,5,FALSE))</calculatedColumnFormula>
    </tableColumn>
    <tableColumn id="9" xr3:uid="{071A8F54-7FC3-F54B-A4CD-4DEB8197BAC9}" name="Last Week's Sales" dataDxfId="365">
      <calculatedColumnFormula>_xlfn.IFNA(SUMIFS('Week 20 May 11 - May 17 2020'!E:E,'Week 20 May 11 - May 17 2020'!D:D,'Week 21 May 18 - May 24 2020'!D:D,'Week 20 May 11 - May 17 2020'!C:C,'Week 21 May 18 - May 24 2020'!C:C),"New")</calculatedColumnFormula>
    </tableColumn>
    <tableColumn id="10" xr3:uid="{2AE2D10E-BF60-5B45-8C75-8745F17F3DB7}" name="Percentage change" dataDxfId="364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FC535202-8B35-AA43-8DEE-AC057B3D008A}" name="Table36119101355571214175259616365676971" displayName="Table36119101355571214175259616365676971" ref="A1:J31" totalsRowShown="0" headerRowDxfId="363" dataDxfId="362">
  <sortState xmlns:xlrd2="http://schemas.microsoft.com/office/spreadsheetml/2017/richdata2" ref="A2:J31">
    <sortCondition ref="A1:A31"/>
  </sortState>
  <tableColumns count="10">
    <tableColumn id="1" xr3:uid="{C1495769-387C-364A-B806-C1B2E4AD58AA}" name="Position" dataDxfId="361"/>
    <tableColumn id="2" xr3:uid="{BE34903B-9770-094D-8C1C-EB14BBCC490B}" name="Last Week" dataDxfId="360"/>
    <tableColumn id="3" xr3:uid="{E28A70AE-B666-0A4D-8F5F-67EB28416727}" name="System" dataDxfId="359"/>
    <tableColumn id="4" xr3:uid="{99E460BD-254D-0344-A8A8-A47DAF4F5FD3}" name="Title" dataDxfId="358"/>
    <tableColumn id="5" xr3:uid="{9673D3FF-6C1B-5142-BB52-6BB3F43EA423}" name="Week Sales" dataDxfId="357"/>
    <tableColumn id="6" xr3:uid="{6E5BFB45-EB32-2C4B-8813-5F56EE496D2A}" name="Total Sales" dataDxfId="356">
      <calculatedColumnFormula>SUMIFS('Week 21 May 18 - May 24 2020'!F:F,'Week 21 May 18 - May 24 2020'!D:D,'Week 22 May 25 - May 31 2020'!D:D,'Week 21 May 18 - May 24 2020'!C:C,'Week 22 May 25 - May 31 2020'!C:C)+Table36119101355571214175259616365676971[[#This Row],[Week Sales]]</calculatedColumnFormula>
    </tableColumn>
    <tableColumn id="7" xr3:uid="{2717D527-B6D1-8640-B338-0B8F66EA51BD}" name="Publisher" dataDxfId="355">
      <calculatedColumnFormula>(VLOOKUP(D:D,'Week 21 May 18 - May 24 2020'!D:G,4,FALSE))</calculatedColumnFormula>
    </tableColumn>
    <tableColumn id="8" xr3:uid="{85819A36-3B83-1545-AF0A-CCEB0FF0B562}" name="Release Date" dataDxfId="354">
      <calculatedColumnFormula>(VLOOKUP(D:D,'Week 21 May 18 - May 24 2020'!D:H,5,FALSE))</calculatedColumnFormula>
    </tableColumn>
    <tableColumn id="9" xr3:uid="{D091DA81-72EB-A24C-888E-8962BF4127A0}" name="Last Week's Sales" dataDxfId="353">
      <calculatedColumnFormula>_xlfn.IFNA(SUMIFS('Week 21 May 18 - May 24 2020'!E:E,'Week 21 May 18 - May 24 2020'!D:D,'Week 22 May 25 - May 31 2020'!D:D,'Week 21 May 18 - May 24 2020'!C:C,'Week 22 May 25 - May 31 2020'!C:C),"New")</calculatedColumnFormula>
    </tableColumn>
    <tableColumn id="10" xr3:uid="{7C5BD955-7A81-914C-92D8-CF6DBC12382E}" name="Percentage change" dataDxfId="352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E3B77033-27C8-1240-B935-836CC2DD7AF7}" name="Table3611910135557121417525961636567697173" displayName="Table3611910135557121417525961636567697173" ref="A1:J31" totalsRowShown="0" headerRowDxfId="351" dataDxfId="350">
  <sortState xmlns:xlrd2="http://schemas.microsoft.com/office/spreadsheetml/2017/richdata2" ref="A2:J31">
    <sortCondition ref="A1:A31"/>
  </sortState>
  <tableColumns count="10">
    <tableColumn id="1" xr3:uid="{40B03DC3-1117-9D41-AC51-3702C690F802}" name="Position" dataDxfId="349"/>
    <tableColumn id="2" xr3:uid="{07D0150A-2B52-1B4E-875B-3509DCE0FB3F}" name="Last Week" dataDxfId="348"/>
    <tableColumn id="3" xr3:uid="{1877859C-E36B-CB4D-AA3B-25A021BAA177}" name="System" dataDxfId="347"/>
    <tableColumn id="4" xr3:uid="{FC265208-CF04-4247-B95E-53DF051A1E24}" name="Title" dataDxfId="346"/>
    <tableColumn id="5" xr3:uid="{71105EF7-0481-0941-9CB5-B81C4C887BCF}" name="Week Sales" dataDxfId="345"/>
    <tableColumn id="6" xr3:uid="{53559B64-D346-7240-97C6-6CEB0E226B94}" name="Total Sales" dataDxfId="344">
      <calculatedColumnFormula>SUMIFS('Week 22 May 25 - May 31 2020'!F:F,'Week 22 May 25 - May 31 2020'!D:D,'Week 23 June 1 - June 7 2020'!D:D,'Week 22 May 25 - May 31 2020'!C:C,'Week 23 June 1 - June 7 2020'!C:C)+Table3611910135557121417525961636567697173[[#This Row],[Week Sales]]</calculatedColumnFormula>
    </tableColumn>
    <tableColumn id="7" xr3:uid="{E69C4558-0E23-BE48-BEEF-881DB08C196F}" name="Publisher" dataDxfId="343">
      <calculatedColumnFormula>(VLOOKUP(D:D,'Week 22 May 25 - May 31 2020'!D:G,4,FALSE))</calculatedColumnFormula>
    </tableColumn>
    <tableColumn id="8" xr3:uid="{6D501958-CDC1-2543-87EA-1561B6B81714}" name="Release Date" dataDxfId="342">
      <calculatedColumnFormula>(VLOOKUP(D:D,'Week 22 May 25 - May 31 2020'!D:H,5,FALSE))</calculatedColumnFormula>
    </tableColumn>
    <tableColumn id="9" xr3:uid="{08AA4E65-93B4-AB4C-929F-B5A69BE34BCF}" name="Last Week's Sales" dataDxfId="341">
      <calculatedColumnFormula>_xlfn.IFNA(SUMIFS('Week 22 May 25 - May 31 2020'!E:E,'Week 22 May 25 - May 31 2020'!D:D,'Week 23 June 1 - June 7 2020'!D:D,'Week 22 May 25 - May 31 2020'!C:C,'Week 23 June 1 - June 7 2020'!C:C),"New")</calculatedColumnFormula>
    </tableColumn>
    <tableColumn id="10" xr3:uid="{D6F7C895-04C9-554A-8F21-AA5F3D63CCDB}" name="Percentage change" dataDxfId="340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4B5129B5-8CC0-1D49-93DC-A4344AE3969F}" name="Table361191013555712141752596163656769717375" displayName="Table361191013555712141752596163656769717375" ref="A1:J31" totalsRowShown="0" headerRowDxfId="339" dataDxfId="338">
  <sortState xmlns:xlrd2="http://schemas.microsoft.com/office/spreadsheetml/2017/richdata2" ref="A2:J31">
    <sortCondition ref="A1:A31"/>
  </sortState>
  <tableColumns count="10">
    <tableColumn id="1" xr3:uid="{757D6604-2907-2B4D-9423-F6B4A1E518F5}" name="Position" dataDxfId="337"/>
    <tableColumn id="2" xr3:uid="{33A66E54-8C0D-494F-BC4A-B79AF508A660}" name="Last Week" dataDxfId="336"/>
    <tableColumn id="3" xr3:uid="{89206FDA-CCBF-204C-8BE2-F9283062434B}" name="System" dataDxfId="335"/>
    <tableColumn id="4" xr3:uid="{3A3285A8-1809-8848-A8EF-F793F38077F9}" name="Title" dataDxfId="334"/>
    <tableColumn id="5" xr3:uid="{36FB1664-2857-7344-AA68-F7FBC43BE45D}" name="Week Sales" dataDxfId="333"/>
    <tableColumn id="6" xr3:uid="{5DC58A27-EC74-1140-AAC4-5D0784BCEF73}" name="Total Sales" dataDxfId="332">
      <calculatedColumnFormula>SUMIFS('Week 23 June 1 - June 7 2020'!F:F,'Week 23 June 1 - June 7 2020'!D:D,'Week 24 June 8 - June 14 2020'!D:D,'Week 23 June 1 - June 7 2020'!C:C,'Week 24 June 8 - June 14 2020'!C:C)+Table361191013555712141752596163656769717375[[#This Row],[Week Sales]]</calculatedColumnFormula>
    </tableColumn>
    <tableColumn id="7" xr3:uid="{510C2919-6A77-3846-9E5A-6F4C599331AF}" name="Publisher" dataDxfId="331">
      <calculatedColumnFormula>(VLOOKUP(D:D,'Week 23 June 1 - June 7 2020'!D:G,4,FALSE))</calculatedColumnFormula>
    </tableColumn>
    <tableColumn id="8" xr3:uid="{FE4B308C-BD65-9441-A52A-3A770966F272}" name="Release Date" dataDxfId="330">
      <calculatedColumnFormula>(VLOOKUP(D:D,'Week 23 June 1 - June 7 2020'!D:H,5,FALSE))</calculatedColumnFormula>
    </tableColumn>
    <tableColumn id="9" xr3:uid="{C78F817B-1277-494D-9120-A4090BAC9256}" name="Last Week's Sales" dataDxfId="329">
      <calculatedColumnFormula>_xlfn.IFNA(SUMIFS('Week 23 June 1 - June 7 2020'!F:F,'Week 23 June 1 - June 7 2020'!D:D,'Week 24 June 8 - June 14 2020'!D:D,'Week 23 June 1 - June 7 2020'!C:C,'Week 24 June 8 - June 14 2020'!C:C),"New")</calculatedColumnFormula>
    </tableColumn>
    <tableColumn id="10" xr3:uid="{50E1872B-EA53-EA47-A035-DE0867CE0010}" name="Percentage change" dataDxfId="328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23E494AB-71D0-6C4F-AADC-8D1B45E55B58}" name="Table36119101355571214175259616365676971737577" displayName="Table36119101355571214175259616365676971737577" ref="A1:J31" totalsRowShown="0" headerRowDxfId="327" dataDxfId="326">
  <sortState xmlns:xlrd2="http://schemas.microsoft.com/office/spreadsheetml/2017/richdata2" ref="A2:J31">
    <sortCondition ref="A1:A31"/>
  </sortState>
  <tableColumns count="10">
    <tableColumn id="1" xr3:uid="{23518319-BD46-6E4B-AC21-1D0E2D6BCABB}" name="Position" dataDxfId="325"/>
    <tableColumn id="2" xr3:uid="{76E11F22-F9A1-F24A-9E17-C1C31D92F152}" name="Last Week" dataDxfId="324"/>
    <tableColumn id="3" xr3:uid="{F8292F45-D1F8-A343-863E-50C559B18C83}" name="System" dataDxfId="323"/>
    <tableColumn id="4" xr3:uid="{4B5FC493-9292-2447-B715-1679AD198E99}" name="Title" dataDxfId="322"/>
    <tableColumn id="5" xr3:uid="{FE8299D6-85F4-444D-811B-B6843FD5281F}" name="Week Sales" dataDxfId="321"/>
    <tableColumn id="6" xr3:uid="{C1491458-3282-8B4A-8ADD-AADD2BCAABD7}" name="Total Sales" dataDxfId="320">
      <calculatedColumnFormula>SUMIFS('Week 24 June 8 - June 14 2020'!F:F,'Week 24 June 8 - June 14 2020'!D:D,'Week 25 June 15 - June 21 2020'!D:D,'Week 24 June 8 - June 14 2020'!C:C,'Week 25 June 15 - June 21 2020'!C:C)+Table36119101355571214175259616365676971737577[[#This Row],[Week Sales]]</calculatedColumnFormula>
    </tableColumn>
    <tableColumn id="7" xr3:uid="{26C79506-935E-1E46-BCAB-AC433A98D7BB}" name="Publisher" dataDxfId="319">
      <calculatedColumnFormula>(VLOOKUP(D:D,'Week 24 June 8 - June 14 2020'!D:G,4,FALSE))</calculatedColumnFormula>
    </tableColumn>
    <tableColumn id="8" xr3:uid="{044843DD-BF80-304D-B6D3-E323CC6382D5}" name="Release Date" dataDxfId="318">
      <calculatedColumnFormula>(VLOOKUP(D:D,'Week 24 June 8 - June 14 2020'!D:H,5,FALSE))</calculatedColumnFormula>
    </tableColumn>
    <tableColumn id="9" xr3:uid="{E4E68BCA-5E6E-574E-9D35-E6D80F98D9B8}" name="Last Week's Sales" dataDxfId="317">
      <calculatedColumnFormula>_xlfn.IFNA(SUMIFS('Week 24 June 8 - June 14 2020'!E:E,'Week 24 June 8 - June 14 2020'!D:D,'Week 25 June 15 - June 21 2020'!D:D,'Week 24 June 8 - June 14 2020'!C:C,'Week 25 June 15 - June 21 2020'!C:C),"New")</calculatedColumnFormula>
    </tableColumn>
    <tableColumn id="10" xr3:uid="{A9DD3BFD-4FF5-734D-AACC-61AC087EBE43}" name="Percentage change" dataDxfId="316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68C98759-6909-AD47-A11F-7F1F20D4D0B3}" name="Table3611910135557121417525961636567697173757779" displayName="Table3611910135557121417525961636567697173757779" ref="A1:J31" totalsRowShown="0" headerRowDxfId="315" dataDxfId="314">
  <sortState xmlns:xlrd2="http://schemas.microsoft.com/office/spreadsheetml/2017/richdata2" ref="A2:J31">
    <sortCondition ref="A1:A31"/>
  </sortState>
  <tableColumns count="10">
    <tableColumn id="1" xr3:uid="{A118B8E9-0BD1-0344-86C4-F9AE43A82EB2}" name="Position" dataDxfId="313"/>
    <tableColumn id="2" xr3:uid="{7B99107C-426B-6848-95CF-DD42AFC45E20}" name="Last Week" dataDxfId="312"/>
    <tableColumn id="3" xr3:uid="{4C66265E-77D8-FC4F-9084-DB8A851107D6}" name="System" dataDxfId="311"/>
    <tableColumn id="4" xr3:uid="{58D79742-DB4B-5D4B-9802-2B12EB3A896E}" name="Title" dataDxfId="310"/>
    <tableColumn id="5" xr3:uid="{B4753EEE-B3F3-E646-9686-A680233317BA}" name="Week Sales" dataDxfId="309"/>
    <tableColumn id="6" xr3:uid="{681D0597-0889-C24E-AB6F-AD66C08D3EB8}" name="Total Sales" dataDxfId="308">
      <calculatedColumnFormula>SUMIFS('Week 25 June 15 - June 21 2020'!F:F,'Week 25 June 15 - June 21 2020'!D:D,'Week 26 June 22 - June 28 2020'!D:D,'Week 25 June 15 - June 21 2020'!C:C,'Week 26 June 22 - June 28 2020'!C:C)+Table3611910135557121417525961636567697173757779[[#This Row],[Week Sales]]</calculatedColumnFormula>
    </tableColumn>
    <tableColumn id="7" xr3:uid="{4CC13F3D-99D2-7A48-AD7B-2EE1DFA6F023}" name="Publisher" dataDxfId="307">
      <calculatedColumnFormula>(VLOOKUP(D:D,'Week 25 June 15 - June 21 2020'!D:G,4,FALSE))</calculatedColumnFormula>
    </tableColumn>
    <tableColumn id="8" xr3:uid="{47284F09-2321-014B-AFB7-07BD73F47F62}" name="Release Date" dataDxfId="306">
      <calculatedColumnFormula>(VLOOKUP(D:D,'Week 25 June 15 - June 21 2020'!D:H,5,FALSE))</calculatedColumnFormula>
    </tableColumn>
    <tableColumn id="9" xr3:uid="{2D482EFE-DD22-5A45-B919-7E2687427568}" name="Last Week's Sales" dataDxfId="305">
      <calculatedColumnFormula>_xlfn.IFNA(SUMIFS('Week 25 June 15 - June 21 2020'!E:E,'Week 25 June 15 - June 21 2020'!D:D,'Week 26 June 22 - June 28 2020'!D:D,'Week 25 June 15 - June 21 2020'!C:C,'Week 26 June 22 - June 28 2020'!C:C),"New")</calculatedColumnFormula>
    </tableColumn>
    <tableColumn id="10" xr3:uid="{E26AA6B3-94E3-2645-8565-1FC9F31B4B31}" name="Percentage change" dataDxfId="304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B2F57FA6-AA95-9B48-8133-A90743C2B16C}" name="Table361191013555712141752596163656769717375777982" displayName="Table361191013555712141752596163656769717375777982" ref="A1:J31" totalsRowShown="0" headerRowDxfId="303" dataDxfId="302">
  <sortState xmlns:xlrd2="http://schemas.microsoft.com/office/spreadsheetml/2017/richdata2" ref="A2:J31">
    <sortCondition ref="A1:A31"/>
  </sortState>
  <tableColumns count="10">
    <tableColumn id="1" xr3:uid="{DABA06A1-E6EB-F146-A132-090E90872BB7}" name="Position" dataDxfId="301"/>
    <tableColumn id="2" xr3:uid="{7BB7981B-9C0B-E941-9A05-8717539F2FAA}" name="Last Week" dataDxfId="300"/>
    <tableColumn id="3" xr3:uid="{21AAD603-07D8-7A48-B21F-94169C261F50}" name="System" dataDxfId="299"/>
    <tableColumn id="4" xr3:uid="{003912CC-3961-5447-B8EE-4E56D45AE1B3}" name="Title" dataDxfId="298"/>
    <tableColumn id="5" xr3:uid="{6D9D4656-7E70-1042-B9C8-20128E1B2A77}" name="Week Sales" dataDxfId="297"/>
    <tableColumn id="6" xr3:uid="{2BB1F836-AA10-4D43-990A-6164D7AE1D79}" name="Total Sales" dataDxfId="296">
      <calculatedColumnFormula>SUMIFS('Week 26 June 22 - June 28 2020'!F:F,'Week 26 June 22 - June 28 2020'!D:D,'Week 27 June 29 - July 5 2020'!D:D,'Week 26 June 22 - June 28 2020'!C:C,'Week 27 June 29 - July 5 2020'!C:C)+Table361191013555712141752596163656769717375777982[[#This Row],[Week Sales]]</calculatedColumnFormula>
    </tableColumn>
    <tableColumn id="7" xr3:uid="{BBE1E315-4473-B941-9C42-D01D3E857FE8}" name="Publisher" dataDxfId="295">
      <calculatedColumnFormula>(VLOOKUP(D:D,'Week 26 June 22 - June 28 2020'!D:G,4,FALSE))</calculatedColumnFormula>
    </tableColumn>
    <tableColumn id="8" xr3:uid="{11D0B43B-8193-D64E-A097-2834AF6FA859}" name="Release Date" dataDxfId="294">
      <calculatedColumnFormula>(VLOOKUP(D:D,'Week 26 June 22 - June 28 2020'!D:H,5,FALSE))</calculatedColumnFormula>
    </tableColumn>
    <tableColumn id="9" xr3:uid="{CBFF87BB-D408-C341-9236-1634E873D176}" name="Last Week's Sales" dataDxfId="293">
      <calculatedColumnFormula>_xlfn.IFNA(SUMIFS('Week 26 June 22 - June 28 2020'!E:E,'Week 26 June 22 - June 28 2020'!D:D,'Week 27 June 29 - July 5 2020'!D:D,'Week 26 June 22 - June 28 2020'!C:C,'Week 27 June 29 - July 5 2020'!C:C),"New")</calculatedColumnFormula>
    </tableColumn>
    <tableColumn id="10" xr3:uid="{F874C054-20C5-C142-A6F8-0715319A77E7}" name="Percentage change" dataDxfId="292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CF775319-8D41-0B43-8584-AC5646DD40A5}" name="Table36119101355571214175259616365676971737577798284" displayName="Table36119101355571214175259616365676971737577798284" ref="A1:J31" totalsRowShown="0" headerRowDxfId="291" dataDxfId="290">
  <sortState xmlns:xlrd2="http://schemas.microsoft.com/office/spreadsheetml/2017/richdata2" ref="A2:J31">
    <sortCondition ref="A1:A31"/>
  </sortState>
  <tableColumns count="10">
    <tableColumn id="1" xr3:uid="{A209A377-355E-CF4E-93F8-10584913AA48}" name="Position" dataDxfId="289"/>
    <tableColumn id="2" xr3:uid="{65AB614E-EC1E-2744-901A-6829E5727458}" name="Last Week"/>
    <tableColumn id="3" xr3:uid="{DC012931-58ED-CA46-8EE2-27EBACE9DCFA}" name="System"/>
    <tableColumn id="4" xr3:uid="{F221381E-9D25-E94D-B098-1AE8892BCBAD}" name="Title"/>
    <tableColumn id="5" xr3:uid="{DA4354D5-359A-524D-B742-0C53EF58857E}" name="Week Sales" dataDxfId="288"/>
    <tableColumn id="6" xr3:uid="{AAC5D32C-83CA-8240-9B9F-F06A834BB8F0}" name="Total Sales" dataDxfId="287">
      <calculatedColumnFormula>SUMIFS('Week 27 June 29 - July 5 2020'!F:F,'Week 27 June 29 - July 5 2020'!D:D,'Week 28 July 6 - July 12 2020'!D:D,'Week 27 June 29 - July 5 2020'!C:C,'Week 28 July 6 - July 12 2020'!C:C)+Table36119101355571214175259616365676971737577798284[[#This Row],[Week Sales]]</calculatedColumnFormula>
    </tableColumn>
    <tableColumn id="7" xr3:uid="{A1F4BAD8-1F05-684C-8F64-224A35CD49E8}" name="Publisher" dataDxfId="286">
      <calculatedColumnFormula>(VLOOKUP(D:D,'Week 27 June 29 - July 5 2020'!D:G,4,FALSE))</calculatedColumnFormula>
    </tableColumn>
    <tableColumn id="8" xr3:uid="{649BD752-83A8-5749-96CD-1948A439E1B0}" name="Release Date" dataDxfId="285">
      <calculatedColumnFormula>(VLOOKUP(D:D,'Week 27 June 29 - July 5 2020'!D:H,5,FALSE))</calculatedColumnFormula>
    </tableColumn>
    <tableColumn id="9" xr3:uid="{17FEE14F-EB4C-3C4F-A7FE-8278BA049486}" name="Last Week's Sales" dataDxfId="284">
      <calculatedColumnFormula>_xlfn.IFNA(SUMIFS('Week 27 June 29 - July 5 2020'!E:E,'Week 27 June 29 - July 5 2020'!D:D,'Week 28 July 6 - July 12 2020'!D:D,'Week 27 June 29 - July 5 2020'!C:C,'Week 28 July 6 - July 12 2020'!C:C),"New")</calculatedColumnFormula>
    </tableColumn>
    <tableColumn id="10" xr3:uid="{2C2D14CE-967F-9B48-B39E-76C442EF9E54}" name="Percentage change" dataDxfId="283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836F8C79-02DE-994D-B15F-F210D5962642}" name="Table3611910135557121417525961636567697173757779828486" displayName="Table3611910135557121417525961636567697173757779828486" ref="A1:J31" totalsRowShown="0" headerRowDxfId="282" dataDxfId="281">
  <sortState xmlns:xlrd2="http://schemas.microsoft.com/office/spreadsheetml/2017/richdata2" ref="A2:J31">
    <sortCondition ref="A1:A31"/>
  </sortState>
  <tableColumns count="10">
    <tableColumn id="1" xr3:uid="{48CAB551-EDFE-014E-AB3B-D1B3310E0FB4}" name="Position" dataDxfId="280"/>
    <tableColumn id="2" xr3:uid="{63CCF9FA-72E2-D746-B9D1-A0D3A967FA9D}" name="Last Week" dataDxfId="279"/>
    <tableColumn id="3" xr3:uid="{63F21A5E-E095-BB4E-A028-82E8A8F0D240}" name="System" dataDxfId="278"/>
    <tableColumn id="4" xr3:uid="{90BD94DC-4A26-7B4E-A639-1C8414D98B11}" name="Title" dataDxfId="277"/>
    <tableColumn id="5" xr3:uid="{FEFDAF8E-07B2-214F-83D1-1708959F04C2}" name="Week Sales" dataDxfId="276"/>
    <tableColumn id="6" xr3:uid="{73798E72-15A8-1043-94E3-1A3316546FA1}" name="Total Sales" dataDxfId="275">
      <calculatedColumnFormula>SUMIFS('Week 28 July 6 - July 12 2020'!F:F,'Week 28 July 6 - July 12 2020'!D:D,'Week 29 July 13 - July 19 2020'!D:D,'Week 28 July 6 - July 12 2020'!C:C,'Week 29 July 13 - July 19 2020'!C:C)+Table3611910135557121417525961636567697173757779828486[[#This Row],[Week Sales]]</calculatedColumnFormula>
    </tableColumn>
    <tableColumn id="7" xr3:uid="{FA6E8FCC-FA0A-C34E-906C-9F6E98A2F63E}" name="Publisher" dataDxfId="274">
      <calculatedColumnFormula>(VLOOKUP(D:D,'Week 28 July 6 - July 12 2020'!D:G,4,FALSE))</calculatedColumnFormula>
    </tableColumn>
    <tableColumn id="8" xr3:uid="{0CE5E5B7-2775-954B-A593-B81C2043ED00}" name="Release Date" dataDxfId="273">
      <calculatedColumnFormula>(VLOOKUP(D:D,'Week 28 July 6 - July 12 2020'!D:H,5,FALSE))</calculatedColumnFormula>
    </tableColumn>
    <tableColumn id="9" xr3:uid="{79B56A08-615D-A24E-AA84-FD31C3763ACD}" name="Last Week's Sales" dataDxfId="272">
      <calculatedColumnFormula>_xlfn.IFNA(SUMIFS('Week 28 July 6 - July 12 2020'!E:E,'Week 28 July 6 - July 12 2020'!D:D,'Week 29 July 13 - July 19 2020'!D:D,'Week 28 July 6 - July 12 2020'!C:C,'Week 29 July 13 - July 19 2020'!C:C),"New")</calculatedColumnFormula>
    </tableColumn>
    <tableColumn id="10" xr3:uid="{D00DA203-520B-954D-9299-DC4198C57994}" name="Percentage change" dataDxfId="271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8D10146C-AEF5-D442-B6A3-93148A7FA7C8}" name="Table36749" displayName="Table36749" ref="A1:J31" totalsRowShown="0" headerRowDxfId="590" dataDxfId="589">
  <sortState xmlns:xlrd2="http://schemas.microsoft.com/office/spreadsheetml/2017/richdata2" ref="A2:J31">
    <sortCondition ref="A1:A31"/>
  </sortState>
  <tableColumns count="10">
    <tableColumn id="1" xr3:uid="{B70433BA-F506-5546-9521-5CEE35263A1E}" name="Position" dataDxfId="588"/>
    <tableColumn id="2" xr3:uid="{26DD975C-3F4E-B64B-8237-A5F431AC9EEA}" name="Last Week" dataDxfId="587"/>
    <tableColumn id="3" xr3:uid="{129D1165-5C91-584F-A1EE-E721A9B10D54}" name="System" dataDxfId="586"/>
    <tableColumn id="4" xr3:uid="{8A2E567A-A5EF-774E-B4BA-1E00D09B254D}" name="Title" dataDxfId="585"/>
    <tableColumn id="5" xr3:uid="{73586047-D4DA-224E-AB86-2803256FC0C0}" name="Week Sales" dataDxfId="584"/>
    <tableColumn id="6" xr3:uid="{F79D6E8B-FEA6-6B40-8E5E-FE8266767270}" name="Total Sales" dataDxfId="583">
      <calculatedColumnFormula>SUMIFS('Week 2 Jan 6 - Jan 12 2020'!F:F,'Week 2 Jan 6 - Jan 12 2020'!D:D,'Week 3 Jan 13 - Jan 19 2020'!D:D,'Week 2 Jan 6 - Jan 12 2020'!C:C,'Week 3 Jan 13 - Jan 19 2020'!C:C)+Table36749[[#This Row],[Week Sales]]</calculatedColumnFormula>
    </tableColumn>
    <tableColumn id="7" xr3:uid="{2DF9D487-1673-5E40-9ED2-D23FCA5B00A6}" name="Publisher" dataDxfId="582">
      <calculatedColumnFormula>(VLOOKUP(D:D,'Week 2 Jan 6 - Jan 12 2020'!D:G,4,FALSE))</calculatedColumnFormula>
    </tableColumn>
    <tableColumn id="8" xr3:uid="{6B92E1A9-177F-BA40-84C7-9F5B96E5E9C1}" name="Release Date" dataDxfId="581">
      <calculatedColumnFormula>(VLOOKUP(D:D,'Week 2 Jan 6 - Jan 12 2020'!D:H,5,FALSE))</calculatedColumnFormula>
    </tableColumn>
    <tableColumn id="9" xr3:uid="{B0BF12C5-FFFD-5F42-97F6-C2F39353B68D}" name="Last Week's Sales" dataDxfId="580">
      <calculatedColumnFormula>_xlfn.IFNA(VLOOKUP('Week 3 Jan 13 - Jan 19 2020'!D:D,'Week 2 Jan 6 - Jan 12 2020'!D:E, 2, FALSE),"New")</calculatedColumnFormula>
    </tableColumn>
    <tableColumn id="10" xr3:uid="{53319BB5-B368-0F4D-A997-7115AAE4AFE0}" name="Percentage change" dataDxfId="579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00E543E6-3AA4-AA43-BCF2-87AF98B5DD94}" name="Table361191013555712141752596163656769717375777982848688" displayName="Table361191013555712141752596163656769717375777982848688" ref="A1:J31" totalsRowShown="0" headerRowDxfId="270" dataDxfId="269">
  <sortState xmlns:xlrd2="http://schemas.microsoft.com/office/spreadsheetml/2017/richdata2" ref="A2:J31">
    <sortCondition ref="A1:A31"/>
  </sortState>
  <tableColumns count="10">
    <tableColumn id="1" xr3:uid="{404486E4-C982-594C-90C2-6AC8A7A1290D}" name="Position" dataDxfId="268"/>
    <tableColumn id="2" xr3:uid="{C3D77CC1-C5D1-AC45-92D4-5DD6BEB77955}" name="Last Week" dataDxfId="267"/>
    <tableColumn id="3" xr3:uid="{087958F8-0BB8-2149-AE96-534368ADADDC}" name="System" dataDxfId="266"/>
    <tableColumn id="4" xr3:uid="{BAE2BC0C-6431-C144-8A5B-0724D34C2C76}" name="Title" dataDxfId="265"/>
    <tableColumn id="5" xr3:uid="{21E62E9F-018D-E840-AD67-7D64280DEA5B}" name="Week Sales" dataDxfId="264"/>
    <tableColumn id="6" xr3:uid="{A86A6047-8347-8F4A-8222-555723C9685A}" name="Total Sales" dataDxfId="263">
      <calculatedColumnFormula>SUMIFS('Week 29 July 13 - July 19 2020'!F:F,'Week 29 July 13 - July 19 2020'!D:D,'Week 30 July 20 - July 26 2020'!D:D,'Week 29 July 13 - July 19 2020'!C:C,'Week 30 July 20 - July 26 2020'!C:C)+Table361191013555712141752596163656769717375777982848688[[#This Row],[Week Sales]]</calculatedColumnFormula>
    </tableColumn>
    <tableColumn id="7" xr3:uid="{E1192CF3-7047-8B44-ACDE-DB1931F180C3}" name="Publisher" dataDxfId="262">
      <calculatedColumnFormula>(VLOOKUP(D:D,'Week 29 July 13 - July 19 2020'!D:G,4,FALSE))</calculatedColumnFormula>
    </tableColumn>
    <tableColumn id="8" xr3:uid="{CA860716-1438-A147-98FE-CE2B0C627F82}" name="Release Date" dataDxfId="261">
      <calculatedColumnFormula>(VLOOKUP(D:D,'Week 29 July 13 - July 19 2020'!D:H,5,FALSE))</calculatedColumnFormula>
    </tableColumn>
    <tableColumn id="9" xr3:uid="{3C6CA0D3-00E8-8546-BF9D-6AEB15991546}" name="Last Week's Sales" dataDxfId="260">
      <calculatedColumnFormula>_xlfn.IFNA(SUMIFS('Week 29 July 13 - July 19 2020'!E:E,'Week 29 July 13 - July 19 2020'!D:D,'Week 30 July 20 - July 26 2020'!D:D,'Week 29 July 13 - July 19 2020'!C:C,'Week 30 July 20 - July 26 2020'!C:C),"New")</calculatedColumnFormula>
    </tableColumn>
    <tableColumn id="10" xr3:uid="{1F9DA87D-8124-DC43-90EF-2D5E9943CF32}" name="Percentage change" dataDxfId="259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74E3197B-A353-114D-843E-4040B7D5C5F8}" name="Table36119101355571214175259616365676971737577798284868890" displayName="Table36119101355571214175259616365676971737577798284868890" ref="A1:J31" totalsRowShown="0" headerRowDxfId="258" dataDxfId="257">
  <sortState xmlns:xlrd2="http://schemas.microsoft.com/office/spreadsheetml/2017/richdata2" ref="A2:J31">
    <sortCondition ref="A1:A31"/>
  </sortState>
  <tableColumns count="10">
    <tableColumn id="1" xr3:uid="{254516E0-D5D4-AB43-A8D9-3A20562E8223}" name="Position" dataDxfId="256"/>
    <tableColumn id="2" xr3:uid="{E3D76C59-C69D-5542-8FD3-FBF77950BA93}" name="Last Week" dataDxfId="255"/>
    <tableColumn id="3" xr3:uid="{CEF28BB3-F2E7-4D48-B72B-C5E89A89881E}" name="System" dataDxfId="254"/>
    <tableColumn id="4" xr3:uid="{E7FCBB95-8EB7-514C-8B5A-BE48007A053F}" name="Title" dataDxfId="253"/>
    <tableColumn id="5" xr3:uid="{4B1DBB60-4EE8-6541-92EF-49EC29201656}" name="Week Sales" dataDxfId="252"/>
    <tableColumn id="6" xr3:uid="{E42B7D00-E202-6E4E-AD4F-6D5F936D51F0}" name="Total Sales" dataDxfId="251">
      <calculatedColumnFormula>SUMIFS('Week 30 July 20 - July 26 2020'!F:F,'Week 30 July 20 - July 26 2020'!D:D,'Week 31 July 27 - Aug 2 2020'!D:D,'Week 30 July 20 - July 26 2020'!C:C,'Week 31 July 27 - Aug 2 2020'!C:C)+Table36119101355571214175259616365676971737577798284868890[[#This Row],[Week Sales]]</calculatedColumnFormula>
    </tableColumn>
    <tableColumn id="7" xr3:uid="{3E0996DC-3D08-6644-8E44-CC55EAC5DDEE}" name="Publisher" dataDxfId="250">
      <calculatedColumnFormula>(VLOOKUP(D:D,'Week 30 July 20 - July 26 2020'!D:G,4,FALSE))</calculatedColumnFormula>
    </tableColumn>
    <tableColumn id="8" xr3:uid="{5239D1B7-562B-AD4F-8151-D9B62F7BF32B}" name="Release Date" dataDxfId="249">
      <calculatedColumnFormula>(VLOOKUP(D:D,'Week 30 July 20 - July 26 2020'!D:H,5,FALSE))</calculatedColumnFormula>
    </tableColumn>
    <tableColumn id="9" xr3:uid="{8C34C42D-9FF6-D14A-A28B-3B1759A2146D}" name="Last Week's Sales" dataDxfId="248">
      <calculatedColumnFormula>_xlfn.IFNA(SUMIFS('Week 30 July 20 - July 26 2020'!E:E,'Week 30 July 20 - July 26 2020'!D:D,'Week 31 July 27 - Aug 2 2020'!D:D,'Week 30 July 20 - July 26 2020'!C:C,'Week 31 July 27 - Aug 2 2020'!C:C),"New")</calculatedColumnFormula>
    </tableColumn>
    <tableColumn id="10" xr3:uid="{A3FC8798-1E59-B643-96F6-21A22022AC8D}" name="Percentage change" dataDxfId="247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87CDF47-4264-8742-9147-343CBE9D1638}" name="Table3611910135557121417525961636567697173757779828486889019" displayName="Table3611910135557121417525961636567697173757779828486889019" ref="A1:J31" totalsRowShown="0" headerRowDxfId="246" dataDxfId="245">
  <sortState xmlns:xlrd2="http://schemas.microsoft.com/office/spreadsheetml/2017/richdata2" ref="A2:J31">
    <sortCondition ref="A1:A31"/>
  </sortState>
  <tableColumns count="10">
    <tableColumn id="1" xr3:uid="{0BBEA885-3D10-8D47-9C8B-9AC9A0DCE980}" name="Position" dataDxfId="244"/>
    <tableColumn id="2" xr3:uid="{09F39744-3FB3-1849-9018-FA0FFD20A4EC}" name="Last Week" dataDxfId="243"/>
    <tableColumn id="3" xr3:uid="{60E25AAE-3303-2344-B9F2-06B59D98EC87}" name="System" dataDxfId="242"/>
    <tableColumn id="4" xr3:uid="{D52809D9-8CBA-6B45-A1B1-949A2713FBE9}" name="Title" dataDxfId="241"/>
    <tableColumn id="5" xr3:uid="{35EC0A02-C934-EC42-82FA-C70EC6802CDA}" name="Week Sales" dataDxfId="240"/>
    <tableColumn id="6" xr3:uid="{3A2C87A3-45F1-2A4B-BAF2-FEDC52625C08}" name="Total Sales" dataDxfId="239">
      <calculatedColumnFormula>SUMIFS('Week 31 July 27 - Aug 2 2020'!F:F,'Week 31 July 27 - Aug 2 2020'!D:D,'Week 32 Aug 3 - Aug 9 2020'!D:D,'Week 31 July 27 - Aug 2 2020'!C:C,'Week 32 Aug 3 - Aug 9 2020'!C:C)+Table3611910135557121417525961636567697173757779828486889019[[#This Row],[Week Sales]]</calculatedColumnFormula>
    </tableColumn>
    <tableColumn id="7" xr3:uid="{AF66B8B6-9824-8848-9B73-2CD44D2A0CBD}" name="Publisher" dataDxfId="238">
      <calculatedColumnFormula>(VLOOKUP(D:D,'Week 31 July 27 - Aug 2 2020'!D:G,4,FALSE))</calculatedColumnFormula>
    </tableColumn>
    <tableColumn id="8" xr3:uid="{1EDD3728-41F0-6C4A-98A4-095B2C5FBCAA}" name="Release Date" dataDxfId="237">
      <calculatedColumnFormula>(VLOOKUP(D:D,'Week 31 July 27 - Aug 2 2020'!D:H,5,FALSE))</calculatedColumnFormula>
    </tableColumn>
    <tableColumn id="9" xr3:uid="{EDCC2903-E959-F64C-953D-6883065AFB10}" name="Last Week's Sales" dataDxfId="236">
      <calculatedColumnFormula>_xlfn.IFNA(SUMIFS('Week 31 July 27 - Aug 2 2020'!E:E,'Week 31 July 27 - Aug 2 2020'!D:D,'Week 32 Aug 3 - Aug 9 2020'!D:D,'Week 31 July 27 - Aug 2 2020'!C:C,'Week 32 Aug 3 - Aug 9 2020'!C:C),"New")</calculatedColumnFormula>
    </tableColumn>
    <tableColumn id="10" xr3:uid="{54E99495-0EF6-E045-9713-F1FD4CDC579E}" name="Percentage change" dataDxfId="235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71A8C89-5022-6644-BBBA-6E496BB72506}" name="Table361191013555712141752596163656769717375777982848688901921" displayName="Table361191013555712141752596163656769717375777982848688901921" ref="A1:J31" totalsRowShown="0" headerRowDxfId="234" dataDxfId="233">
  <sortState xmlns:xlrd2="http://schemas.microsoft.com/office/spreadsheetml/2017/richdata2" ref="A2:J31">
    <sortCondition ref="A1:A31"/>
  </sortState>
  <tableColumns count="10">
    <tableColumn id="1" xr3:uid="{38D18A6A-93BA-6C4F-995D-227A3DF87CBA}" name="Position" dataDxfId="232"/>
    <tableColumn id="2" xr3:uid="{5045DEEE-5664-8B43-8EB0-F586F290B14B}" name="Last Week" dataDxfId="231"/>
    <tableColumn id="3" xr3:uid="{446FBC28-B389-C64B-A33A-EEE20DC7B810}" name="System" dataDxfId="230"/>
    <tableColumn id="4" xr3:uid="{13AF0645-0AD8-044B-A183-F249D99CE6ED}" name="Title" dataDxfId="229"/>
    <tableColumn id="5" xr3:uid="{EC470753-2611-F243-8C1F-61E6B302066C}" name="Week Sales" dataDxfId="228"/>
    <tableColumn id="6" xr3:uid="{D8F9686A-218B-9942-817C-F45A25AD49E3}" name="Total Sales" dataDxfId="227">
      <calculatedColumnFormula>SUMIFS('Week 32 Aug 3 - Aug 9 2020'!F:F,'Week 32 Aug 3 - Aug 9 2020'!D:D,'Week 33 Aug 10 - Aug 16 2020'!D:D,'Week 32 Aug 3 - Aug 9 2020'!C:C,'Week 33 Aug 10 - Aug 16 2020'!C:C)+Table361191013555712141752596163656769717375777982848688901921[[#This Row],[Week Sales]]</calculatedColumnFormula>
    </tableColumn>
    <tableColumn id="7" xr3:uid="{EAA20CD4-3E9C-9146-BB3F-5BAF68F68537}" name="Publisher" dataDxfId="226">
      <calculatedColumnFormula>(VLOOKUP(D:D,'Week 32 Aug 3 - Aug 9 2020'!D:G,4,FALSE))</calculatedColumnFormula>
    </tableColumn>
    <tableColumn id="8" xr3:uid="{842FDF5C-6655-254B-AA56-94905B6EB4AE}" name="Release Date" dataDxfId="225">
      <calculatedColumnFormula>(VLOOKUP(D:D,'Week 32 Aug 3 - Aug 9 2020'!D:H,5,FALSE))</calculatedColumnFormula>
    </tableColumn>
    <tableColumn id="9" xr3:uid="{D05FA1DF-63C5-7741-9EDF-3D7D8FDC6CBC}" name="Last Week's Sales" dataDxfId="224">
      <calculatedColumnFormula>_xlfn.IFNA(SUMIFS('Week 32 Aug 3 - Aug 9 2020'!E:E,'Week 32 Aug 3 - Aug 9 2020'!D:D,'Week 33 Aug 10 - Aug 16 2020'!D:D,'Week 32 Aug 3 - Aug 9 2020'!C:C,'Week 33 Aug 10 - Aug 16 2020'!C:C),"New")</calculatedColumnFormula>
    </tableColumn>
    <tableColumn id="10" xr3:uid="{3FA14C24-2E70-CF47-AE7F-3F2E2BCCA404}" name="Percentage change" dataDxfId="223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C3E2A2A3-2FDE-7B44-B8F9-3129E8E5C3BB}" name="Table36119101355571214175259616365676971737577798284868890192123" displayName="Table36119101355571214175259616365676971737577798284868890192123" ref="A1:J31" totalsRowShown="0" headerRowDxfId="222" dataDxfId="221">
  <sortState xmlns:xlrd2="http://schemas.microsoft.com/office/spreadsheetml/2017/richdata2" ref="A2:J31">
    <sortCondition ref="A1:A31"/>
  </sortState>
  <tableColumns count="10">
    <tableColumn id="1" xr3:uid="{CAE700BF-55F5-C645-920A-940A994A73CA}" name="Position" dataDxfId="220"/>
    <tableColumn id="2" xr3:uid="{4CDFFF08-E7DC-B047-8807-A3C164D973B2}" name="Last Week" dataDxfId="219"/>
    <tableColumn id="3" xr3:uid="{8544A105-26DE-974E-98FF-CC3D58D0AE8D}" name="System" dataDxfId="218"/>
    <tableColumn id="4" xr3:uid="{8F34E7D0-E9C5-F544-B517-DFDE8B9E29C1}" name="Title" dataDxfId="217"/>
    <tableColumn id="5" xr3:uid="{06A605B1-8A31-384D-8405-56EC9CFCCCE3}" name="Week Sales" dataDxfId="216"/>
    <tableColumn id="6" xr3:uid="{93212F40-E845-5748-80A0-154EDE6C27BC}" name="Total Sales" dataDxfId="215">
      <calculatedColumnFormula>SUMIFS('Week 33 Aug 10 - Aug 16 2020'!F:F,'Week 33 Aug 10 - Aug 16 2020'!D:D,'Week 34 Aug 17 - Aug 23 2020'!D:D,'Week 33 Aug 10 - Aug 16 2020'!C:C,'Week 34 Aug 17 - Aug 23 2020'!C:C)+Table36119101355571214175259616365676971737577798284868890192123[[#This Row],[Week Sales]]</calculatedColumnFormula>
    </tableColumn>
    <tableColumn id="7" xr3:uid="{54D4F6A2-B655-194E-8CBA-47B1BF8F9940}" name="Publisher" dataDxfId="214">
      <calculatedColumnFormula>(VLOOKUP(D:D,'Week 33 Aug 10 - Aug 16 2020'!D:G,4,FALSE))</calculatedColumnFormula>
    </tableColumn>
    <tableColumn id="8" xr3:uid="{2D62F925-3B4C-9A4E-890A-4E85CF8745AB}" name="Release Date" dataDxfId="213">
      <calculatedColumnFormula>(VLOOKUP(D:D,'Week 33 Aug 10 - Aug 16 2020'!D:H,5,FALSE))</calculatedColumnFormula>
    </tableColumn>
    <tableColumn id="9" xr3:uid="{5B4E5AF5-5EF4-284D-8F83-6451A3985C2E}" name="Last Week's Sales" dataDxfId="212">
      <calculatedColumnFormula>_xlfn.IFNA(SUMIFS('Week 33 Aug 10 - Aug 16 2020'!E:E,'Week 33 Aug 10 - Aug 16 2020'!D:D,'Week 34 Aug 17 - Aug 23 2020'!D:D,'Week 33 Aug 10 - Aug 16 2020'!C:C,'Week 34 Aug 17 - Aug 23 2020'!C:C),"New")</calculatedColumnFormula>
    </tableColumn>
    <tableColumn id="10" xr3:uid="{685C9B9E-6331-8048-9543-417F1B2CC3DA}" name="Percentage change" dataDxfId="211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04F97FC-546F-484D-B0A8-1E308766D366}" name="Table15" displayName="Table15" ref="A1:J31" totalsRowShown="0" headerRowCellStyle="Normal" dataCellStyle="Normal">
  <tableColumns count="10">
    <tableColumn id="1" xr3:uid="{18E1C8A1-9A90-3946-B7B1-20737B4AF872}" name="Position" dataCellStyle="Normal"/>
    <tableColumn id="2" xr3:uid="{D052B035-9E0C-EE40-959A-2593EC142F2C}" name="Last Week" dataCellStyle="Normal"/>
    <tableColumn id="3" xr3:uid="{ED4466DA-22B3-5043-920D-3004D36BBB2F}" name="System" dataCellStyle="Normal"/>
    <tableColumn id="4" xr3:uid="{5F0B5CE6-DEA8-024D-A1AE-97D5071BE1E1}" name="Title" dataCellStyle="Normal"/>
    <tableColumn id="5" xr3:uid="{279D11C0-1A99-8748-9E97-F1AF6D32AB64}" name="Week Sales" dataDxfId="210" dataCellStyle="Normal"/>
    <tableColumn id="6" xr3:uid="{50434136-CE34-5E4D-84B3-95A0C55CE24D}" name="Total Sales" dataDxfId="209" dataCellStyle="Normal">
      <calculatedColumnFormula>SUMIFS('Week 34 Aug 17 - Aug 23 2020'!F:F,'Week 34 Aug 17 - Aug 23 2020'!D:D,'Week 35 Aug 24 - Aug 30 2020'!D:D,'Week 34 Aug 17 - Aug 23 2020'!C:C,'Week 35 Aug 24 - Aug 30 2020'!C:C)+Table15[[#This Row],[Week Sales]]</calculatedColumnFormula>
    </tableColumn>
    <tableColumn id="7" xr3:uid="{2479C541-BBB8-9143-9810-52AE5887ADB6}" name="Publisher" dataCellStyle="Normal"/>
    <tableColumn id="8" xr3:uid="{F00EACFE-F397-C141-87C4-E2A440E6365A}" name="Release Date" dataDxfId="208" dataCellStyle="Normal"/>
    <tableColumn id="9" xr3:uid="{26F50561-AAE1-994F-A8AD-71445CA1DFAB}" name="Last Week's Sales" dataCellStyle="Normal">
      <calculatedColumnFormula>_xlfn.IFNA(SUMIFS('Week 34 Aug 17 - Aug 23 2020'!E:E,'Week 34 Aug 17 - Aug 23 2020'!D:D,'Week 35 Aug 24 - Aug 30 2020'!D:D,'Week 34 Aug 17 - Aug 23 2020'!C:C,'Week 35 Aug 24 - Aug 30 2020'!C:C),"New")</calculatedColumnFormula>
    </tableColumn>
    <tableColumn id="10" xr3:uid="{E195998E-23BB-EC4D-BF5E-6BAC0AC4905B}" name="Percentage change" dataCellStyle="Normal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A91DAB-8F0B-E243-BFCC-E412CB00728C}" name="Table1" displayName="Table1" ref="A1:J31" totalsRowShown="0">
  <tableColumns count="10">
    <tableColumn id="1" xr3:uid="{1C7444AB-7D66-0142-BC0C-2EF1916D5B66}" name="Position"/>
    <tableColumn id="2" xr3:uid="{4194EBD9-695B-DC45-AD84-68E68A38BE3D}" name="Last Week"/>
    <tableColumn id="3" xr3:uid="{7058F086-6178-B040-92DA-6C050999046D}" name="System"/>
    <tableColumn id="4" xr3:uid="{4A2BEE38-30D7-EF43-8C6F-099130AC150B}" name="Title"/>
    <tableColumn id="5" xr3:uid="{BA4F83F7-C719-8645-9505-3734C9C840B8}" name="Week Sales" dataDxfId="207"/>
    <tableColumn id="6" xr3:uid="{27F46DD8-AED6-584B-9952-F78824F1930B}" name="Total Sales" dataDxfId="206">
      <calculatedColumnFormula>SUMIFS('Week 35 Aug 24 - Aug 30 2020'!F:F,'Week 35 Aug 24 - Aug 30 2020'!D:D,'Week 36 Aug 31 - Sept 6 2020'!D:D,'Week 35 Aug 24 - Aug 30 2020'!C:C,'Week 36 Aug 31 - Sept 6 2020'!C:C)+Table1[[#This Row],[Week Sales]]</calculatedColumnFormula>
    </tableColumn>
    <tableColumn id="7" xr3:uid="{7598CE41-CEE4-254B-9C00-743B8A5D26D7}" name="Publisher"/>
    <tableColumn id="8" xr3:uid="{5A519BFF-F0B8-9C45-8326-A6D2C0A84954}" name="Release Date" dataDxfId="205"/>
    <tableColumn id="9" xr3:uid="{2DB96915-FE6B-6646-9E9F-E38A737DB340}" name="Last Week's Sales" dataDxfId="204">
      <calculatedColumnFormula>_xlfn.IFNA(SUMIFS('Week 35 Aug 24 - Aug 30 2020'!E:E,'Week 35 Aug 24 - Aug 30 2020'!D:D,'Week 36 Aug 31 - Sept 6 2020'!D:D,'Week 35 Aug 24 - Aug 30 2020'!C:C,'Week 36 Aug 31 - Sept 6 2020'!C:C),"New")</calculatedColumnFormula>
    </tableColumn>
    <tableColumn id="10" xr3:uid="{C5D81811-9DE9-1A4A-83ED-87BB5D4F4469}" name="Percentage change" dataDxfId="203">
      <calculatedColumnFormula>(E2-I2)/I2</calculatedColumnFormula>
    </tableColumn>
  </tableColumns>
  <tableStyleInfo name="TableStyleLight6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C9A6A0-3F28-F74C-86FA-F827C6EBB1DF}" name="Table2" displayName="Table2" ref="A1:J31" totalsRowShown="0">
  <tableColumns count="10">
    <tableColumn id="1" xr3:uid="{7617B880-85D2-D440-9978-A83AD955F217}" name="Position" dataDxfId="202"/>
    <tableColumn id="2" xr3:uid="{1F236074-6C31-3441-9F23-DAFEE41FC0C6}" name="Last Week" dataDxfId="201"/>
    <tableColumn id="3" xr3:uid="{DCE33D45-6AEB-374E-A436-D9E41A4A249A}" name="System" dataDxfId="200"/>
    <tableColumn id="4" xr3:uid="{B994E710-D292-6049-86D1-09DB531F52C8}" name="Title" dataDxfId="199"/>
    <tableColumn id="5" xr3:uid="{B6F5930C-7A87-864F-AA96-69B4D668DA29}" name="Week Sales" dataDxfId="198"/>
    <tableColumn id="6" xr3:uid="{2812FC86-8AC2-6A4A-93DF-188A295E0BE8}" name="Total Sales" dataDxfId="197">
      <calculatedColumnFormula>SUMIFS('Week 36 Aug 31 - Sept 6 2020'!F:F,'Week 36 Aug 31 - Sept 6 2020'!D:D,'Week 37 Sept 7 - Sept 13 2020'!D:D,'Week 36 Aug 31 - Sept 6 2020'!C:C,'Week 37 Sept 7 - Sept 13 2020'!C:C)+Table2[[#This Row],[Week Sales]]</calculatedColumnFormula>
    </tableColumn>
    <tableColumn id="7" xr3:uid="{7CCEE7A1-F5D8-5A4E-96C6-1424D9EC86EE}" name="Publisher" dataDxfId="196"/>
    <tableColumn id="8" xr3:uid="{93089C36-D2B5-474D-84EB-42723DA5815B}" name="Release Date" dataDxfId="195"/>
    <tableColumn id="9" xr3:uid="{DB5E1CB0-0250-504B-87B3-BA20F1569B08}" name="Last Week's Sales" dataDxfId="194">
      <calculatedColumnFormula>_xlfn.IFNA(VLOOKUP(D2,'Week 36 Aug 31 - Sept 6 2020'!D:E,2,FALSE),"New")</calculatedColumnFormula>
    </tableColumn>
    <tableColumn id="10" xr3:uid="{174BE3B3-C875-8242-B00B-4F606AB22E72}" name="Percentage change" dataDxfId="193"/>
  </tableColumns>
  <tableStyleInfo name="TableStyleLight6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C73FE5-EAFF-4145-8DC4-35FB99E085C9}" name="Table3" displayName="Table3" ref="A1:J31" totalsRowShown="0">
  <sortState xmlns:xlrd2="http://schemas.microsoft.com/office/spreadsheetml/2017/richdata2" ref="A2:J31">
    <sortCondition ref="A1:A31"/>
  </sortState>
  <tableColumns count="10">
    <tableColumn id="1" xr3:uid="{D714B4CE-11D7-0D40-938B-CDAEAABD4F4B}" name="Position" dataDxfId="192"/>
    <tableColumn id="2" xr3:uid="{45245AE6-FCBE-3647-AEED-B739ACDFA1A8}" name="Last Week" dataDxfId="191"/>
    <tableColumn id="3" xr3:uid="{FC410DA2-4FDD-9E4F-A9E5-89AAA7D6E156}" name="System"/>
    <tableColumn id="4" xr3:uid="{4284BCAC-4391-414A-86B6-24211DB37D2D}" name="Title" dataDxfId="190"/>
    <tableColumn id="5" xr3:uid="{755E64EB-D6F3-4B41-876B-696B3502DF3D}" name="Week Sales" dataDxfId="189"/>
    <tableColumn id="6" xr3:uid="{55BBCBB9-DA81-4D45-A1E5-AEF74F728AF2}" name="Total Sales" dataDxfId="188"/>
    <tableColumn id="7" xr3:uid="{E3A635A5-1FBD-1A45-8F02-204E8383F70A}" name="Publisher"/>
    <tableColumn id="8" xr3:uid="{36C98386-436A-C44A-AE71-D16F713A8F44}" name="Release Date" dataDxfId="187"/>
    <tableColumn id="9" xr3:uid="{A6E8458D-2810-A64C-8A3A-2CD5382116FD}" name="Last Week's Sales" dataDxfId="186">
      <calculatedColumnFormula>_xlfn.IFNA(VLOOKUP(D2,'Week 37 Sept 7 - Sept 13 2020'!D:E,2,FALSE),"New")</calculatedColumnFormula>
    </tableColumn>
    <tableColumn id="10" xr3:uid="{5958B696-5AE6-1245-8583-A5968B7CC955}" name="Percentage change" dataDxfId="185"/>
  </tableColumns>
  <tableStyleInfo name="TableStyleLight6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7B537280-76BC-8047-A1C3-6C08EA615EFF}" name="Table39" displayName="Table39" ref="A1:J31" totalsRowShown="0" headerRowBorderDxfId="184" tableBorderDxfId="183">
  <tableColumns count="10">
    <tableColumn id="1" xr3:uid="{97BCB9EB-E800-9A4A-9715-225B1EDC47B0}" name="Position"/>
    <tableColumn id="2" xr3:uid="{9A587F65-3C90-1C43-98AC-4949BACB4344}" name="Last Week"/>
    <tableColumn id="3" xr3:uid="{6023BCD9-163F-3C45-A6E8-B0EFEF821B03}" name="System"/>
    <tableColumn id="4" xr3:uid="{F72E465A-B856-0D4C-9C21-15A58517D101}" name="Title"/>
    <tableColumn id="5" xr3:uid="{38AFF480-D609-6947-BBC8-E4FCC24FD77D}" name="Week Sales" dataDxfId="182"/>
    <tableColumn id="6" xr3:uid="{9F0A5F27-0E6F-BA4D-8F50-BE307CDD7700}" name="Total Sales" dataDxfId="181"/>
    <tableColumn id="7" xr3:uid="{507AFB8E-B922-A747-8591-A2465BECB9BC}" name="Publisher"/>
    <tableColumn id="8" xr3:uid="{21FE3B30-3B6A-B640-9069-AC04422BD7EB}" name="Release Date" dataDxfId="180"/>
    <tableColumn id="9" xr3:uid="{74B1DE23-F057-AF4E-B72C-9ADAF4FFB916}" name="Last Week's Sales" dataDxfId="179">
      <calculatedColumnFormula>_xlfn.IFNA(SUMIFS('Week 38 Sept 14 - Sept 20 2020'!E:E,'Week 38 Sept 14 - Sept 20 2020'!D:D,'Week 39 Sept 21 - Sept 27 2020'!D:D,'Week 38 Sept 14 - Sept 20 2020'!C:C,'Week 39 Sept 21 - Sept 27 2020'!C:C),"New")</calculatedColumnFormula>
    </tableColumn>
    <tableColumn id="10" xr3:uid="{987E77E7-926C-0C44-9C6D-E4E1CB2DC993}" name="Percentage change" dataDxfId="178">
      <calculatedColumnFormula>(E2-I2)/I2</calculatedColumnFormula>
    </tableColumn>
  </tableColumns>
  <tableStyleInfo name="TableStyleLight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05D4860-F252-AD43-9578-EFB19287EB76}" name="Table367498" displayName="Table367498" ref="A1:J31" totalsRowShown="0" headerRowDxfId="578" dataDxfId="577">
  <sortState xmlns:xlrd2="http://schemas.microsoft.com/office/spreadsheetml/2017/richdata2" ref="A2:J31">
    <sortCondition ref="A1:A31"/>
  </sortState>
  <tableColumns count="10">
    <tableColumn id="1" xr3:uid="{A1F9D82E-063F-5C48-9D39-530C65AF7507}" name="Position" dataDxfId="576"/>
    <tableColumn id="2" xr3:uid="{354FA05D-0579-574B-A951-22D74E03A74A}" name="Last Week" dataDxfId="575"/>
    <tableColumn id="3" xr3:uid="{244E8B81-CB24-2C46-9640-12FAC89D5D59}" name="System" dataDxfId="574"/>
    <tableColumn id="4" xr3:uid="{E1A315B6-E935-2741-A5C3-23FC82EA1B6C}" name="Title" dataDxfId="573"/>
    <tableColumn id="5" xr3:uid="{69E4AC9F-088F-CD4E-B58F-E35183D24C79}" name="Week Sales" dataDxfId="572"/>
    <tableColumn id="6" xr3:uid="{17513A6B-BDBC-4E4B-9B23-8F7873361433}" name="Total Sales" dataDxfId="571">
      <calculatedColumnFormula>SUMIFS(Table36749[Total Sales],Table36749[Title],Table367498[Title],Table36749[System],Table367498[System])+Table367498[[#This Row],[Week Sales]]</calculatedColumnFormula>
    </tableColumn>
    <tableColumn id="7" xr3:uid="{A0CF5A1C-9FF0-6A4B-8E05-7C94B0F51A0B}" name="Publisher" dataDxfId="570">
      <calculatedColumnFormula>(VLOOKUP(D:D,'Week 3 Jan 13 - Jan 19 2020'!D:G,4,FALSE))</calculatedColumnFormula>
    </tableColumn>
    <tableColumn id="8" xr3:uid="{3A20F2CC-950E-0447-9E8B-8489E87970CA}" name="Release Date" dataDxfId="569">
      <calculatedColumnFormula>(VLOOKUP(D:D,'Week 3 Jan 13 - Jan 19 2020'!D:H,5,FALSE))</calculatedColumnFormula>
    </tableColumn>
    <tableColumn id="9" xr3:uid="{6BFFFC1D-0CA9-2343-9591-822FF8B17232}" name="Last Week's Sales" dataDxfId="568">
      <calculatedColumnFormula>_xlfn.IFNA(VLOOKUP('Week 4 Jan 20 - Jan 26 2020'!D:D,'Week 3 Jan 13 - Jan 19 2020'!D:E, 2, FALSE),"New")</calculatedColumnFormula>
    </tableColumn>
    <tableColumn id="10" xr3:uid="{2D5E4B44-AE1E-A04E-971A-A84F0B433E12}" name="Percentage change" dataDxfId="567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DE719832-EEDE-7B47-B524-DC5CFA6BB2E1}" name="Table40" displayName="Table40" ref="A1:J31" totalsRowShown="0" headerRowBorderDxfId="177" tableBorderDxfId="176">
  <tableColumns count="10">
    <tableColumn id="1" xr3:uid="{7ED005CB-759F-664C-86CF-FA5B290C0B03}" name="Position" dataDxfId="175"/>
    <tableColumn id="2" xr3:uid="{BB49B8CF-FC3B-3744-83CA-7ECFB13B8BE1}" name="Last Week"/>
    <tableColumn id="3" xr3:uid="{25258007-8EB9-6647-BFE0-EE4E7D35A86E}" name="System"/>
    <tableColumn id="4" xr3:uid="{699CA018-2DD5-6247-AA4A-EC46471DE384}" name="Title"/>
    <tableColumn id="5" xr3:uid="{AA3E5422-C73F-2345-AC80-69D772651677}" name="Week Sales" dataDxfId="174"/>
    <tableColumn id="6" xr3:uid="{8C5B9419-7260-164E-89BF-544A5B623169}" name="Total Sales" dataDxfId="173"/>
    <tableColumn id="7" xr3:uid="{ED4F67F4-4D6C-B947-8144-DED21B12284E}" name="Publisher" dataDxfId="172"/>
    <tableColumn id="8" xr3:uid="{6209FFE8-EAAA-F749-A7BD-7714C0B0D7BC}" name="Release Date" dataDxfId="171"/>
    <tableColumn id="9" xr3:uid="{A15FAF83-CD0B-BF41-B8BA-F83979D59A0B}" name="Last Week's Sales" dataDxfId="170">
      <calculatedColumnFormula>_xlfn.IFNA(SUMIFS('Week 39 Sept 21 - Sept 27 2020'!E:E,'Week 39 Sept 21 - Sept 27 2020'!D:D,'Week 40 Sept 28 - Oct 4 2020'!D:D,'Week 39 Sept 21 - Sept 27 2020'!C:C,'Week 40 Sept 28 - Oct 4 2020'!C:C),"New")</calculatedColumnFormula>
    </tableColumn>
    <tableColumn id="10" xr3:uid="{F68EF2FF-C922-C044-AEAA-80CA430E6AE0}" name="Percentage change" dataDxfId="169">
      <calculatedColumnFormula>(E2-I2)/I2</calculatedColumnFormula>
    </tableColumn>
  </tableColumns>
  <tableStyleInfo name="TableStyleLight6" showFirstColumn="1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5D2D1515-17D7-C047-9618-9C66A2088811}" name="Table4042" displayName="Table4042" ref="A1:J31" totalsRowShown="0" dataDxfId="167" headerRowBorderDxfId="168" tableBorderDxfId="166">
  <tableColumns count="10">
    <tableColumn id="1" xr3:uid="{9577A64C-6B31-5A4C-B849-F2C609E74FC0}" name="Position" dataDxfId="165"/>
    <tableColumn id="2" xr3:uid="{5084D5A0-E324-9B43-B69D-1C5356DE67C5}" name="Last Week" dataDxfId="164"/>
    <tableColumn id="3" xr3:uid="{653695E5-2EA8-8742-8B3D-A134636AF79C}" name="System" dataDxfId="163"/>
    <tableColumn id="4" xr3:uid="{756A7800-930F-624F-BF15-859B90CBAEDF}" name="Title" dataDxfId="162"/>
    <tableColumn id="5" xr3:uid="{290086A9-CFB9-DD44-9495-4633801B4BA9}" name="Week Sales" dataDxfId="161"/>
    <tableColumn id="6" xr3:uid="{E9C6FD99-8CC8-FB4F-B829-0B05CBCAB3A1}" name="Total Sales" dataDxfId="160"/>
    <tableColumn id="7" xr3:uid="{B707D5DB-F3D4-8447-A68D-723D91546578}" name="Publisher" dataDxfId="159"/>
    <tableColumn id="8" xr3:uid="{90D7B309-E2CD-9748-ABDD-95B49810B16C}" name="Release Date" dataDxfId="158"/>
    <tableColumn id="9" xr3:uid="{E1FD9860-A8BB-C849-933F-C44ED0B1E78C}" name="Last Week's Sales" dataDxfId="157">
      <calculatedColumnFormula>_xlfn.IFNA(VLOOKUP(D2,'Week 40 Sept 28 - Oct 4 2020'!D:E,2,FALSE),"New")</calculatedColumnFormula>
    </tableColumn>
    <tableColumn id="10" xr3:uid="{0C01D65D-7B66-3F45-80DB-4371CCCD762C}" name="Percentage change" dataDxfId="156">
      <calculatedColumnFormula>(E2-I2)/I2</calculatedColumnFormula>
    </tableColumn>
  </tableColumns>
  <tableStyleInfo name="TableStyleLight6" showFirstColumn="1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10D9431F-401E-E044-ABEC-BC6EBA5942D3}" name="Table404243" displayName="Table404243" ref="A1:J31" totalsRowShown="0" dataDxfId="154" headerRowBorderDxfId="155" tableBorderDxfId="153">
  <tableColumns count="10">
    <tableColumn id="1" xr3:uid="{5C245496-A220-3541-BA9C-E9D8B0930140}" name="Position" dataDxfId="152"/>
    <tableColumn id="2" xr3:uid="{82B73739-9F95-CE4C-992D-EE0AFBB48091}" name="Last Week" dataDxfId="151"/>
    <tableColumn id="3" xr3:uid="{34E51630-68EE-9F45-BC56-DC096A38AACB}" name="System" dataDxfId="150"/>
    <tableColumn id="4" xr3:uid="{8A6E822D-EDBB-254F-AED4-AC7330D6C5E0}" name="Title" dataDxfId="149"/>
    <tableColumn id="5" xr3:uid="{07930B2A-2E55-0B46-8A54-3634D4B1DE46}" name="Week Sales" dataDxfId="148"/>
    <tableColumn id="6" xr3:uid="{1DB88BE8-A4D8-4A48-9717-555BA28FBD20}" name="Total Sales" dataDxfId="147">
      <calculatedColumnFormula>_xlfn.IFNA(VLOOKUP(D:D,'Week 41 Oct 5 - Oct 11 2020'!D:F,3,FALSE),"")+Table404243[[#This Row],[Week Sales]]</calculatedColumnFormula>
    </tableColumn>
    <tableColumn id="7" xr3:uid="{0587C331-B632-ED44-B087-0FF01BC46B23}" name="Publisher" dataDxfId="146"/>
    <tableColumn id="8" xr3:uid="{108A9CDC-47C6-7F41-BF5F-446DC9FB6D5F}" name="Release Date" dataDxfId="145">
      <calculatedColumnFormula>(VLOOKUP(D:D,'Week 41 Oct 5 - Oct 11 2020'!D:H,5,FALSE))</calculatedColumnFormula>
    </tableColumn>
    <tableColumn id="9" xr3:uid="{8B839F9D-36BE-DB48-9A3F-960AB633FB9C}" name="Last Week's Sales" dataDxfId="144">
      <calculatedColumnFormula>_xlfn.IFNA(VLOOKUP(D2,'Week 40 Sept 28 - Oct 4 2020'!D:E,2,FALSE),"New")</calculatedColumnFormula>
    </tableColumn>
    <tableColumn id="10" xr3:uid="{CC3B1F23-ED87-4A45-A4E7-24600AF7919A}" name="Percentage change" dataDxfId="143">
      <calculatedColumnFormula>IFERROR((E2-I2)/I2,"New")</calculatedColumnFormula>
    </tableColumn>
  </tableColumns>
  <tableStyleInfo name="TableStyleLight6" showFirstColumn="1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1C00CA54-EA50-044E-A3F5-CD439E94CA02}" name="Table40424347" displayName="Table40424347" ref="A1:J31" totalsRowShown="0" dataDxfId="141" headerRowBorderDxfId="142" tableBorderDxfId="140">
  <tableColumns count="10">
    <tableColumn id="1" xr3:uid="{ADA8DF49-C30D-6045-8367-D29300E28208}" name="Position" dataDxfId="139"/>
    <tableColumn id="2" xr3:uid="{D310AEBF-A1EB-0444-BCC1-3471C2E4B96B}" name="Last Week" dataDxfId="138"/>
    <tableColumn id="3" xr3:uid="{FD6048F4-7CF5-ED47-BC09-8D57829BA5D8}" name="System" dataDxfId="137"/>
    <tableColumn id="4" xr3:uid="{328C71BB-63B8-D947-AD90-FE0DBB59145C}" name="Title" dataDxfId="136"/>
    <tableColumn id="5" xr3:uid="{A16815C2-53D1-8C48-9FC0-35CBDCC4A373}" name="Week Sales" dataDxfId="135"/>
    <tableColumn id="6" xr3:uid="{347E51D6-CC31-D745-B79C-CEE7989EF36B}" name="Total Sales" dataDxfId="134">
      <calculatedColumnFormula>_xlfn.IFNA(VLOOKUP(D:D,'Week 42 Oct 12 - Oct 18 2020'!D:F,3,FALSE),"")+Table40424347[[#This Row],[Week Sales]]</calculatedColumnFormula>
    </tableColumn>
    <tableColumn id="7" xr3:uid="{2A4F4101-6E74-2041-8C87-110F0F278D3B}" name="Publisher" dataDxfId="133">
      <calculatedColumnFormula>(VLOOKUP(D:D,'Week 42 Oct 12 - Oct 18 2020'!D:G,4,FALSE))</calculatedColumnFormula>
    </tableColumn>
    <tableColumn id="8" xr3:uid="{460D62B1-AC4F-1A4E-A346-C736C4BBB172}" name="Release Date" dataDxfId="132">
      <calculatedColumnFormula>(VLOOKUP(D:D,'Week 42 Oct 12 - Oct 18 2020'!D:H,5,FALSE))</calculatedColumnFormula>
    </tableColumn>
    <tableColumn id="9" xr3:uid="{7F0CA930-C878-F34E-A3A7-D1CB0D654F45}" name="Last Week's Sales" dataDxfId="131">
      <calculatedColumnFormula>_xlfn.IFNA(VLOOKUP(D:D,'Week 42 Oct 12 - Oct 18 2020'!D:E,2,FALSE),"New")</calculatedColumnFormula>
    </tableColumn>
    <tableColumn id="10" xr3:uid="{FF561FE6-97BF-4440-AD2D-88D090013D94}" name="Percentage change" dataDxfId="130">
      <calculatedColumnFormula>(E2-I2)/I2</calculatedColumnFormula>
    </tableColumn>
  </tableColumns>
  <tableStyleInfo name="TableStyleLight6" showFirstColumn="1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7CAB4A4C-3C40-6849-86DF-62C9D7FD55DE}" name="Table40424345" displayName="Table40424345" ref="A1:J31" totalsRowShown="0" dataDxfId="128" headerRowBorderDxfId="129" tableBorderDxfId="127">
  <tableColumns count="10">
    <tableColumn id="1" xr3:uid="{D1A7D4FA-3699-0D4D-9847-7055728CFB10}" name="Position" dataDxfId="126"/>
    <tableColumn id="2" xr3:uid="{D379B122-F196-E84B-86FB-8B5D9ADA1ACB}" name="Last Week" dataDxfId="125"/>
    <tableColumn id="3" xr3:uid="{0450ECDA-279C-6545-AD69-D095854335B8}" name="System" dataDxfId="124"/>
    <tableColumn id="4" xr3:uid="{3701B781-19FE-C64D-A787-006F7576831F}" name="Title" dataDxfId="123"/>
    <tableColumn id="5" xr3:uid="{EDA71B0E-AEB2-F543-AB4E-349AC542EAB3}" name="Week Sales" dataDxfId="122"/>
    <tableColumn id="6" xr3:uid="{51995BDA-1357-554D-9735-4BF503A948B7}" name="Total Sales" dataDxfId="121">
      <calculatedColumnFormula>_xlfn.IFNA(VLOOKUP(D:D,'Week 43 Oct 19 - Oct 25 2020'!D:F,3,FALSE),"New")+Table40424345[[#This Row],[Week Sales]]</calculatedColumnFormula>
    </tableColumn>
    <tableColumn id="7" xr3:uid="{F0DE1638-4245-C34C-B2B0-2130B7142686}" name="Publisher" dataDxfId="120">
      <calculatedColumnFormula>(VLOOKUP(D:D,'Week 43 Oct 19 - Oct 25 2020'!D:G,4,FALSE))</calculatedColumnFormula>
    </tableColumn>
    <tableColumn id="8" xr3:uid="{334BD166-EA12-354C-833E-5A6326D84769}" name="Release Date" dataDxfId="119">
      <calculatedColumnFormula>(VLOOKUP(D:D,'Week 43 Oct 19 - Oct 25 2020'!D:H,5,FALSE))</calculatedColumnFormula>
    </tableColumn>
    <tableColumn id="9" xr3:uid="{34B70D02-598C-0F4D-AED1-9D5218FBDEA7}" name="Last Week's Sales" dataDxfId="118">
      <calculatedColumnFormula>_xlfn.IFNA(VLOOKUP(D2,'Week 43 Oct 19 - Oct 25 2020'!D:E,2,FALSE),"New")</calculatedColumnFormula>
    </tableColumn>
    <tableColumn id="10" xr3:uid="{2D97E9AA-5E94-BF48-B34C-A7F74A6A0E95}" name="Percentage change" dataDxfId="117">
      <calculatedColumnFormula>IFERROR((E2-I2)/I2,"New")</calculatedColumnFormula>
    </tableColumn>
  </tableColumns>
  <tableStyleInfo name="TableStyleLight6" showFirstColumn="1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DBD59F12-73D9-F24C-BF52-E6770EE9BE0D}" name="Table40424346" displayName="Table40424346" ref="A1:J31" totalsRowShown="0" dataDxfId="115" headerRowBorderDxfId="116" tableBorderDxfId="114">
  <tableColumns count="10">
    <tableColumn id="1" xr3:uid="{1BDAE4BB-E631-B845-A78B-564747E41EB5}" name="Position" dataDxfId="113"/>
    <tableColumn id="2" xr3:uid="{05F58662-4D2C-8948-AE7B-D8E0B814905F}" name="Last Week" dataDxfId="112"/>
    <tableColumn id="3" xr3:uid="{448D766A-4CCD-F743-A0FE-319AA1D7B391}" name="System" dataDxfId="111"/>
    <tableColumn id="4" xr3:uid="{DA6E9EC1-3869-4540-B3DD-D6A8224D02E2}" name="Title" dataDxfId="110"/>
    <tableColumn id="5" xr3:uid="{C7F6F03E-3096-504C-9438-1E8FC1EB0078}" name="Week Sales" dataDxfId="109"/>
    <tableColumn id="6" xr3:uid="{D17C6286-415E-6E43-B239-06470B30300F}" name="Total Sales" dataDxfId="108">
      <calculatedColumnFormula>_xlfn.IFNA(VLOOKUP(D:D,'Week 44 Oct 26 - Nov 1 2020'!D:F,3,FALSE),"")+Table40424346[[#This Row],[Week Sales]]</calculatedColumnFormula>
    </tableColumn>
    <tableColumn id="7" xr3:uid="{10379800-87C2-FB46-8044-9419FE864482}" name="Publisher" dataDxfId="107">
      <calculatedColumnFormula>(VLOOKUP(D:D,'Week 44 Oct 26 - Nov 1 2020'!D:G,4,FALSE))</calculatedColumnFormula>
    </tableColumn>
    <tableColumn id="8" xr3:uid="{A8A0AA2C-1C7D-D649-8B35-FB6BF699898D}" name="Release Date" dataDxfId="106">
      <calculatedColumnFormula>(VLOOKUP(D:D,'Week 44 Oct 26 - Nov 1 2020'!D:H,5,FALSE))</calculatedColumnFormula>
    </tableColumn>
    <tableColumn id="9" xr3:uid="{4B5439F3-607C-6F4D-9377-51DC338A45AE}" name="Last Week's Sales" dataDxfId="105">
      <calculatedColumnFormula>_xlfn.IFNA(VLOOKUP(D2,'Week 44 Oct 26 - Nov 1 2020'!D:E,2,FALSE),"New")</calculatedColumnFormula>
    </tableColumn>
    <tableColumn id="10" xr3:uid="{A570521E-E412-C145-A442-4D3368BD40BC}" name="Percentage change" dataDxfId="104">
      <calculatedColumnFormula>IFERROR((E2-I2)/I2,"New")</calculatedColumnFormula>
    </tableColumn>
  </tableColumns>
  <tableStyleInfo name="TableStyleLight6" showFirstColumn="1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B677CD8E-FDA3-3B48-A6AC-DC4483D139C9}" name="Table4042434650" displayName="Table4042434650" ref="A1:J31" totalsRowShown="0" dataDxfId="102" headerRowBorderDxfId="103" tableBorderDxfId="101">
  <tableColumns count="10">
    <tableColumn id="1" xr3:uid="{3207FD98-E1F7-4849-B115-92B05CAAAE2D}" name="Position" dataDxfId="100"/>
    <tableColumn id="2" xr3:uid="{53286FCD-176B-A148-8AAA-3F1C56A687B0}" name="Last Week" dataDxfId="99"/>
    <tableColumn id="3" xr3:uid="{B92B7C39-0D0E-1F40-BC3D-6FFF32148ABB}" name="System" dataDxfId="98"/>
    <tableColumn id="4" xr3:uid="{020B72BF-4E42-DB47-A351-27C6F25A0460}" name="Title" dataDxfId="97"/>
    <tableColumn id="5" xr3:uid="{F2D489A5-D1FF-C34B-9587-A1C1C728080A}" name="Week Sales" dataDxfId="96"/>
    <tableColumn id="6" xr3:uid="{769928F5-3851-164E-AA27-42C919740736}" name="Total Sales" dataDxfId="95">
      <calculatedColumnFormula>_xlfn.IFNA(VLOOKUP(D:D,'Week 45 Nov 2 - Nov 8 2020'!D:F,3,FALSE),"")+Table4042434650[[#This Row],[Week Sales]]</calculatedColumnFormula>
    </tableColumn>
    <tableColumn id="7" xr3:uid="{A0782F19-5711-7A49-9DD0-B6633088966D}" name="Publisher" dataDxfId="94">
      <calculatedColumnFormula>(VLOOKUP(D:D,'Week 45 Nov 2 - Nov 8 2020'!D:G,4,FALSE))</calculatedColumnFormula>
    </tableColumn>
    <tableColumn id="8" xr3:uid="{ED2B2030-6DC7-CC4B-8D5D-CE8FB5EB6365}" name="Release Date" dataDxfId="93">
      <calculatedColumnFormula>(VLOOKUP(D:D,'Week 45 Nov 2 - Nov 8 2020'!D:H,5,FALSE))</calculatedColumnFormula>
    </tableColumn>
    <tableColumn id="9" xr3:uid="{3598EBD7-6056-E444-AB43-E3CDB1861459}" name="Last Week's Sales" dataDxfId="92">
      <calculatedColumnFormula>_xlfn.IFNA(VLOOKUP(D:D,'Week 45 Nov 2 - Nov 8 2020'!D:E,2,FALSE),"New")</calculatedColumnFormula>
    </tableColumn>
    <tableColumn id="10" xr3:uid="{F24FBBF1-1270-9446-B27A-B871537DCF3B}" name="Percentage change" dataDxfId="91">
      <calculatedColumnFormula>IFERROR((E2-I2)/I2,"New")</calculatedColumnFormula>
    </tableColumn>
  </tableColumns>
  <tableStyleInfo name="TableStyleLight6" showFirstColumn="1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7FCED8DD-FB5F-BD44-B13E-2061465C3E87}" name="Table404243465051" displayName="Table404243465051" ref="A1:J31" totalsRowShown="0" dataDxfId="89" headerRowBorderDxfId="90" tableBorderDxfId="88">
  <tableColumns count="10">
    <tableColumn id="1" xr3:uid="{F8321C4C-BE85-9D42-BC91-7A08FA2238B9}" name="Position" dataDxfId="87"/>
    <tableColumn id="2" xr3:uid="{4AE305C5-3A54-A24A-A8D4-AD640FF49F03}" name="Last Week" dataDxfId="86"/>
    <tableColumn id="3" xr3:uid="{5BE02602-E032-4D47-86E5-FD68197EED66}" name="System" dataDxfId="85"/>
    <tableColumn id="4" xr3:uid="{00042E0B-38EF-9645-B1DB-18A802B794D8}" name="Title" dataDxfId="84"/>
    <tableColumn id="5" xr3:uid="{9CEF9DB2-A8CD-0D4E-8CDE-9648AC5E4D49}" name="Week Sales" dataDxfId="83"/>
    <tableColumn id="6" xr3:uid="{BA1C5AE8-E68A-B044-8A53-13588F4C52A4}" name="Total Sales" dataDxfId="82">
      <calculatedColumnFormula>SUMIFS(Table4042434650[Total Sales],Table4042434650[Title],Table404243465051[Title],Table4042434650[System],Table404243465051[System])+Table404243465051[[#This Row],[Week Sales]]</calculatedColumnFormula>
    </tableColumn>
    <tableColumn id="7" xr3:uid="{C2AA950F-5D85-E54E-9DC5-F574BBABF4D3}" name="Publisher" dataDxfId="81">
      <calculatedColumnFormula>(VLOOKUP(D:D,'Week 46 Nov 9 - Nov 15 2020'!D:G,4,FALSE))</calculatedColumnFormula>
    </tableColumn>
    <tableColumn id="8" xr3:uid="{81FDB3D9-CF05-8A4E-81CF-B1BB4A8EADEA}" name="Release Date" dataDxfId="80">
      <calculatedColumnFormula>(VLOOKUP(D:D,'Week 46 Nov 9 - Nov 15 2020'!D:H,5,FALSE))</calculatedColumnFormula>
    </tableColumn>
    <tableColumn id="9" xr3:uid="{6F4BD217-955F-8946-BCCA-631C8E24A8D9}" name="Last Week's Sales" dataDxfId="79">
      <calculatedColumnFormula>_xlfn.IFNA(VLOOKUP(D:D,'Week 46 Nov 9 - Nov 15 2020'!D:E,2,FALSE),"New")</calculatedColumnFormula>
    </tableColumn>
    <tableColumn id="10" xr3:uid="{A3C3FF97-B9E7-C143-8AAC-29F505FC5B02}" name="Percentage change" dataDxfId="78">
      <calculatedColumnFormula>(E2-I2)/I2</calculatedColumnFormula>
    </tableColumn>
  </tableColumns>
  <tableStyleInfo name="TableStyleLight6" showFirstColumn="1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CC9A3CA1-9911-924A-8446-A46C13E1C9BF}" name="Table40424346505144" displayName="Table40424346505144" ref="A1:J31" totalsRowShown="0" dataDxfId="76" headerRowBorderDxfId="77" tableBorderDxfId="75">
  <tableColumns count="10">
    <tableColumn id="1" xr3:uid="{ACD94095-8281-1445-819D-F653BED42B73}" name="Position" dataDxfId="74"/>
    <tableColumn id="2" xr3:uid="{D85C9615-9965-334A-9476-E7B4EAEBCB32}" name="Last Week" dataDxfId="73"/>
    <tableColumn id="3" xr3:uid="{6FB354D0-DC56-7D4D-91AF-19F6E2930548}" name="System" dataDxfId="72"/>
    <tableColumn id="4" xr3:uid="{A719294C-791D-F14D-8DF7-A53937296FB8}" name="Title" dataDxfId="71"/>
    <tableColumn id="5" xr3:uid="{A6614BBB-B7FE-0045-B06B-668F4628F4E7}" name="Week Sales" dataDxfId="70"/>
    <tableColumn id="6" xr3:uid="{23ED8568-CE19-3B4B-A468-DFC0CC9A7202}" name="Total Sales" dataDxfId="69">
      <calculatedColumnFormula>SUMIFS('Week 47 Nov 16 - Nov 22 2020'!F:F,'Week 47 Nov 16 - Nov 22 2020'!D:D,'Week 48 Nov 23 - Nov 29 2020'!D:D,'Week 47 Nov 16 - Nov 22 2020'!C:C,'Week 48 Nov 23 - Nov 29 2020'!C:C)+Table40424346505144[[#This Row],[Week Sales]]</calculatedColumnFormula>
    </tableColumn>
    <tableColumn id="7" xr3:uid="{B7D8CA40-E4F2-9F4B-AD45-0EC0AE4DA8D6}" name="Publisher" dataDxfId="68">
      <calculatedColumnFormula>(VLOOKUP(D:D,'Week 47 Nov 16 - Nov 22 2020'!D:G,4,FALSE))</calculatedColumnFormula>
    </tableColumn>
    <tableColumn id="8" xr3:uid="{1A6C1CBA-0100-FC44-9F44-9287EEE5B670}" name="Release Date" dataDxfId="67">
      <calculatedColumnFormula>(VLOOKUP(D:D,'Week 47 Nov 16 - Nov 22 2020'!D:H,5,FALSE))</calculatedColumnFormula>
    </tableColumn>
    <tableColumn id="9" xr3:uid="{34D5D7F6-576F-2141-8B4E-EA3BF5D508D3}" name="Last Week's Sales" dataDxfId="66">
      <calculatedColumnFormula>_xlfn.IFNA(VLOOKUP(D:D,'Week 47 Nov 16 - Nov 22 2020'!D:E,2,FALSE),"New")</calculatedColumnFormula>
    </tableColumn>
    <tableColumn id="10" xr3:uid="{8A3C8B04-E867-4746-B17B-DF97555196DF}" name="Percentage change" dataDxfId="65">
      <calculatedColumnFormula>(E2-I2)/I2</calculatedColumnFormula>
    </tableColumn>
  </tableColumns>
  <tableStyleInfo name="TableStyleLight6" showFirstColumn="1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740A9405-2FB7-C44D-B791-985C5C6272AE}" name="Table4042434650514448" displayName="Table4042434650514448" ref="A1:J31" totalsRowShown="0" dataDxfId="63" headerRowBorderDxfId="64" tableBorderDxfId="62">
  <tableColumns count="10">
    <tableColumn id="1" xr3:uid="{F50A65B3-3964-E64C-A818-63B4D4DC8841}" name="Position" dataDxfId="61"/>
    <tableColumn id="2" xr3:uid="{7815380D-AF75-CC4C-BFA2-494928371715}" name="Last Week" dataDxfId="60"/>
    <tableColumn id="3" xr3:uid="{9DE275CD-D868-CE4C-AB4E-0A48940ED518}" name="System" dataDxfId="59"/>
    <tableColumn id="4" xr3:uid="{CB89D077-FD36-2842-97E6-F25D662AB86C}" name="Title" dataDxfId="58"/>
    <tableColumn id="5" xr3:uid="{26F023A4-A4AB-FE4C-80C3-BCA01508A767}" name="Week Sales" dataDxfId="57"/>
    <tableColumn id="6" xr3:uid="{D1E6E0F1-2670-8B45-AB6C-D663A432B6DB}" name="Total Sales" dataDxfId="56">
      <calculatedColumnFormula>SUMIFS('Week 48 Nov 23 - Nov 29 2020'!F:F,'Week 48 Nov 23 - Nov 29 2020'!D:D,'Week 49 Nov 30 - Dec 6 2020'!D:D,'Week 48 Nov 23 - Nov 29 2020'!C:C,'Week 49 Nov 30 - Dec 6 2020'!C:C)+Table4042434650514448[[#This Row],[Week Sales]]</calculatedColumnFormula>
    </tableColumn>
    <tableColumn id="7" xr3:uid="{53B79D72-7C60-6D42-A998-D9135CB47E01}" name="Publisher" dataDxfId="55">
      <calculatedColumnFormula>(VLOOKUP(D:D,'Week 48 Nov 23 - Nov 29 2020'!D:G,4,FALSE))</calculatedColumnFormula>
    </tableColumn>
    <tableColumn id="8" xr3:uid="{1902CF51-8D43-E245-89B7-B03369E9C887}" name="Release Date" dataDxfId="54">
      <calculatedColumnFormula>(VLOOKUP(D:D,'Week 48 Nov 23 - Nov 29 2020'!D:H,5,FALSE))</calculatedColumnFormula>
    </tableColumn>
    <tableColumn id="9" xr3:uid="{BC0FCD4D-2215-7945-A89C-F1E129D7DFD8}" name="Last Week's Sales" dataDxfId="53">
      <calculatedColumnFormula>SUMIFS('Week 48 Nov 23 - Nov 29 2020'!E:E,'Week 48 Nov 23 - Nov 29 2020'!D:D,'Week 49 Nov 30 - Dec 6 2020'!D:D,'Week 48 Nov 23 - Nov 29 2020'!C:C,'Week 49 Nov 30 - Dec 6 2020'!C:C)</calculatedColumnFormula>
    </tableColumn>
    <tableColumn id="10" xr3:uid="{FF212204-DCF4-084C-A5AE-717F86862287}" name="Percentage change" dataDxfId="52">
      <calculatedColumnFormula>IFERROR((E2-I2)/I2,"New")</calculatedColumnFormula>
    </tableColumn>
  </tableColumns>
  <tableStyleInfo name="TableStyleLight6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3B6E4B7D-5803-214D-8E7C-A58B16B07D26}" name="Table36749853" displayName="Table36749853" ref="A1:J31" totalsRowShown="0" headerRowDxfId="566" dataDxfId="565">
  <sortState xmlns:xlrd2="http://schemas.microsoft.com/office/spreadsheetml/2017/richdata2" ref="A2:J31">
    <sortCondition ref="A1:A31"/>
  </sortState>
  <tableColumns count="10">
    <tableColumn id="1" xr3:uid="{6FC82013-6139-8D42-915D-199BB1FB1FEC}" name="Position" dataDxfId="564"/>
    <tableColumn id="2" xr3:uid="{C4AC77B0-A3E1-CA4C-B3BD-94A8720F3971}" name="Last Week" dataDxfId="563"/>
    <tableColumn id="3" xr3:uid="{1B88439B-AD69-AF46-B5F6-6F607F0360D4}" name="System" dataDxfId="562"/>
    <tableColumn id="4" xr3:uid="{46AC40A4-D6CA-914C-B549-2F1E4EF6BF45}" name="Title" dataDxfId="561"/>
    <tableColumn id="5" xr3:uid="{FC286F8D-21FB-7840-9169-7243B0BA0040}" name="Week Sales" dataDxfId="560"/>
    <tableColumn id="6" xr3:uid="{9335A53E-439E-B64A-92F3-3912FCC99030}" name="Total Sales" dataDxfId="559">
      <calculatedColumnFormula>SUMIFS(Table367498[Total Sales],Table367498[Title],Table36749853[Title],Table367498[System],Table36749853[System])+Table36749853[[#This Row],[Week Sales]]</calculatedColumnFormula>
    </tableColumn>
    <tableColumn id="7" xr3:uid="{99232D91-2539-514B-BC82-45683E7F6791}" name="Publisher" dataDxfId="558">
      <calculatedColumnFormula>(VLOOKUP(D:D,'Week 3 Jan 13 - Jan 19 2020'!D:G,4,FALSE))</calculatedColumnFormula>
    </tableColumn>
    <tableColumn id="8" xr3:uid="{078061FE-138F-B64A-AF86-E1DAD04E43E9}" name="Release Date" dataDxfId="557">
      <calculatedColumnFormula>(VLOOKUP(D:D,'Week 3 Jan 13 - Jan 19 2020'!D:H,5,FALSE))</calculatedColumnFormula>
    </tableColumn>
    <tableColumn id="9" xr3:uid="{92F9C5E2-682E-ED4E-9918-B362FA6F722D}" name="Last Week's Sales" dataDxfId="556">
      <calculatedColumnFormula>_xlfn.IFNA(VLOOKUP('Week 5 Jan 27 - Feb 2 2020'!D:D,'Week 4 Jan 20 - Jan 26 2020'!D:E, 2, FALSE),"New")</calculatedColumnFormula>
    </tableColumn>
    <tableColumn id="10" xr3:uid="{40CA3838-7192-A44D-B6F2-CE7EB8178302}" name="Percentage change" dataDxfId="555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8A9E66C1-07C9-BA48-ACF8-A4AB99639D64}" name="Table404243465051444825" displayName="Table404243465051444825" ref="A1:J31" totalsRowShown="0" dataDxfId="50" headerRowBorderDxfId="51" tableBorderDxfId="49">
  <tableColumns count="10">
    <tableColumn id="1" xr3:uid="{A65A241E-1BBD-FB4F-8141-89B86C7B1A35}" name="Position" dataDxfId="48"/>
    <tableColumn id="2" xr3:uid="{24DD285D-0A9D-5244-9FE6-E51E1BB4372A}" name="Last Week" dataDxfId="47"/>
    <tableColumn id="3" xr3:uid="{F05268C9-EDC4-AB46-B5B5-9F8F1DCBC8FA}" name="System" dataDxfId="46"/>
    <tableColumn id="4" xr3:uid="{850F0F0B-E90D-7244-AE92-4985D841963F}" name="Title" dataDxfId="45"/>
    <tableColumn id="5" xr3:uid="{A48CE7D2-19F3-B64F-9A6D-BC683FBC4F4C}" name="Week Sales" dataDxfId="44"/>
    <tableColumn id="6" xr3:uid="{C8B64FC7-DC30-FD4E-86ED-4C270CDDE27D}" name="Total Sales" dataDxfId="43">
      <calculatedColumnFormula>SUMIFS('Week 49 Nov 30 - Dec 6 2020'!F:F,'Week 49 Nov 30 - Dec 6 2020'!D:D,'Week 50 Dec 7 - Dec 13 2020'!D:D,'Week 49 Nov 30 - Dec 6 2020'!C:C,'Week 50 Dec 7 - Dec 13 2020'!C:C)+Table404243465051444825[[#This Row],[Week Sales]]</calculatedColumnFormula>
    </tableColumn>
    <tableColumn id="7" xr3:uid="{1DC043F7-48AA-1B47-98F4-6EC555D37F55}" name="Publisher" dataDxfId="42">
      <calculatedColumnFormula>(VLOOKUP(D:D,'Week 49 Nov 30 - Dec 6 2020'!D:G,4,FALSE))</calculatedColumnFormula>
    </tableColumn>
    <tableColumn id="8" xr3:uid="{CFE60E7D-1C74-114D-8E59-840067264738}" name="Release Date" dataDxfId="41">
      <calculatedColumnFormula>(VLOOKUP(D:D,'Week 49 Nov 30 - Dec 6 2020'!D:H,5,FALSE))</calculatedColumnFormula>
    </tableColumn>
    <tableColumn id="9" xr3:uid="{0193828D-07D9-5C48-B3F3-8E531602CDF9}" name="Last Week's Sales" dataDxfId="40">
      <calculatedColumnFormula>SUMIFS('Week 49 Nov 30 - Dec 6 2020'!E:E,'Week 49 Nov 30 - Dec 6 2020'!D:D,'Week 50 Dec 7 - Dec 13 2020'!D:D,'Week 49 Nov 30 - Dec 6 2020'!C:C,'Week 50 Dec 7 - Dec 13 2020'!C:C)</calculatedColumnFormula>
    </tableColumn>
    <tableColumn id="10" xr3:uid="{9D1599EB-371C-BF42-9C76-8D1CABC39F38}" name="Percentage change" dataDxfId="39">
      <calculatedColumnFormula>IFERROR((E2-I2)/I2,"New")</calculatedColumnFormula>
    </tableColumn>
  </tableColumns>
  <tableStyleInfo name="TableStyleLight6" showFirstColumn="1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23DF51DC-84ED-2F4C-9D41-393765CC2E13}" name="Table40424346505144482522" displayName="Table40424346505144482522" ref="A1:J31" totalsRowShown="0" dataDxfId="37" headerRowBorderDxfId="38" tableBorderDxfId="36">
  <tableColumns count="10">
    <tableColumn id="1" xr3:uid="{8512EF55-448C-9248-9233-49DAAE4F3D18}" name="Position" dataDxfId="35"/>
    <tableColumn id="2" xr3:uid="{77EFC21C-E764-DE41-97F5-4E2A6E5201DB}" name="Last Week" dataDxfId="34"/>
    <tableColumn id="3" xr3:uid="{8B3033E9-2DFD-8E40-96A4-94207C9FE0EA}" name="System" dataDxfId="33"/>
    <tableColumn id="4" xr3:uid="{C6999C7E-98D1-344A-8C4B-A080C2BEA1FC}" name="Title" dataDxfId="32"/>
    <tableColumn id="5" xr3:uid="{A53D50E0-B480-024F-B874-0E29799A5AD3}" name="Week Sales" dataDxfId="31"/>
    <tableColumn id="6" xr3:uid="{BC315803-0E8F-5544-BFAC-BA18776FFA9E}" name="Total Sales" dataDxfId="30">
      <calculatedColumnFormula>SUMIFS('Week 50 Dec 7 - Dec 13 2020'!F:F,'Week 50 Dec 7 - Dec 13 2020'!D:D,'Week 51 Dec 14 - Dec 20 2020'!D:D,'Week 50 Dec 7 - Dec 13 2020'!C:C,'Week 51 Dec 14 - Dec 20 2020'!C:C)+Table40424346505144482522[[#This Row],[Week Sales]]</calculatedColumnFormula>
    </tableColumn>
    <tableColumn id="7" xr3:uid="{C23664F9-4A82-DB49-8767-1FCE0D318AE2}" name="Publisher" dataDxfId="29">
      <calculatedColumnFormula>(VLOOKUP(D:D,'Week 50 Dec 7 - Dec 13 2020'!D:G,4,FALSE))</calculatedColumnFormula>
    </tableColumn>
    <tableColumn id="8" xr3:uid="{8256B78E-C0E9-3844-A039-C12FF2EF598E}" name="Release Date" dataDxfId="28">
      <calculatedColumnFormula>(VLOOKUP(D:D,'Week 50 Dec 7 - Dec 13 2020'!D:H,5,FALSE))</calculatedColumnFormula>
    </tableColumn>
    <tableColumn id="9" xr3:uid="{E6DBC491-AB8D-C542-A02C-F5E74C89EC2A}" name="Last Week's Sales" dataDxfId="27">
      <calculatedColumnFormula>SUMIFS('Week 50 Dec 7 - Dec 13 2020'!E:E,'Week 50 Dec 7 - Dec 13 2020'!D:D,'Week 51 Dec 14 - Dec 20 2020'!D:D,'Week 50 Dec 7 - Dec 13 2020'!C:C,'Week 51 Dec 14 - Dec 20 2020'!C:C)</calculatedColumnFormula>
    </tableColumn>
    <tableColumn id="10" xr3:uid="{7F23AEFE-EAAF-1E4E-BA84-5150C3F1274E}" name="Percentage change" dataDxfId="26">
      <calculatedColumnFormula>IFERROR((E2-I2)/I2,"New")</calculatedColumnFormula>
    </tableColumn>
  </tableColumns>
  <tableStyleInfo name="TableStyleLight6" showFirstColumn="1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7783C1CF-030D-7843-9658-358A649A25BD}" name="Table404243465051444854" displayName="Table404243465051444854" ref="A1:J31" totalsRowShown="0" dataDxfId="24" headerRowBorderDxfId="25" tableBorderDxfId="23">
  <tableColumns count="10">
    <tableColumn id="1" xr3:uid="{A98D3FB3-CB40-BF4D-8F9C-FE39EF9EDAC2}" name="Position" dataDxfId="13"/>
    <tableColumn id="2" xr3:uid="{B3411046-9C7A-7448-8C9F-B2B8FF4C100F}" name="Last Week" dataDxfId="14"/>
    <tableColumn id="3" xr3:uid="{F0181DD8-155D-6B49-917A-FF23FD874D37}" name="System" dataDxfId="22"/>
    <tableColumn id="4" xr3:uid="{ECC14832-83B1-7646-9C18-89AD9BC25C03}" name="Title" dataDxfId="21"/>
    <tableColumn id="5" xr3:uid="{301ADE7E-3223-504E-8BB7-D28188C76B03}" name="Week Sales" dataDxfId="20"/>
    <tableColumn id="6" xr3:uid="{7C8DE824-22E5-6644-ADD6-CB529D3DE70B}" name="Total Sales" dataDxfId="19">
      <calculatedColumnFormula>SUMIFS('Week 51 Dec 14 - Dec 20 2020'!F:F,'Week 51 Dec 14 - Dec 20 2020'!D:D,'Week 52 Dec 21 - Dec 27 2020'!D:D,'Week 51 Dec 14 - Dec 20 2020'!C:C,'Week 52 Dec 21 - Dec 27 2020'!C:C)+Table404243465051444854[[#This Row],[Week Sales]]</calculatedColumnFormula>
    </tableColumn>
    <tableColumn id="7" xr3:uid="{520DCFB0-4844-6546-80DE-E693AC029DAF}" name="Publisher" dataDxfId="18">
      <calculatedColumnFormula>(VLOOKUP(D:D,'Week 51 Dec 14 - Dec 20 2020'!D:G,4,FALSE))</calculatedColumnFormula>
    </tableColumn>
    <tableColumn id="8" xr3:uid="{39C41961-584C-CF40-BC26-0FA373860457}" name="Release Date" dataDxfId="17">
      <calculatedColumnFormula>(VLOOKUP(D:D,'Week 51 Dec 14 - Dec 20 2020'!D:H,5,FALSE))</calculatedColumnFormula>
    </tableColumn>
    <tableColumn id="9" xr3:uid="{35A0F175-6C5C-9A46-83BB-87213435DD74}" name="Last Week's Sales" dataDxfId="16">
      <calculatedColumnFormula>SUMIFS('Week 51 Dec 14 - Dec 20 2020'!E:E,'Week 51 Dec 14 - Dec 20 2020'!D:D,'Week 52 Dec 21 - Dec 27 2020'!D:D,'Week 51 Dec 14 - Dec 20 2020'!C:C,'Week 52 Dec 21 - Dec 27 2020'!C:C)</calculatedColumnFormula>
    </tableColumn>
    <tableColumn id="10" xr3:uid="{EA78992D-ADFB-4F42-8A80-9575FD3BFF59}" name="Percentage change" dataDxfId="15">
      <calculatedColumnFormula>(E2-I2)/I2</calculatedColumnFormula>
    </tableColumn>
  </tableColumns>
  <tableStyleInfo name="TableStyleLight6" showFirstColumn="1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7404C06-B4C2-4D41-9D34-2FABCA18881B}" name="Table40424346505144485415" displayName="Table40424346505144485415" ref="A1:J31" totalsRowShown="0" dataDxfId="12" headerRowBorderDxfId="10" tableBorderDxfId="11">
  <tableColumns count="10">
    <tableColumn id="1" xr3:uid="{51626B2E-26C7-134E-8284-63D1D3991CED}" name="Position" dataDxfId="9"/>
    <tableColumn id="2" xr3:uid="{A5A6BFB0-32FC-784C-885D-0844BE8AAAE5}" name="Last Week" dataDxfId="8"/>
    <tableColumn id="3" xr3:uid="{DB42AC7D-53D1-EF45-BE97-D88D748DC50B}" name="System" dataDxfId="7"/>
    <tableColumn id="4" xr3:uid="{9F8824BC-9609-DB42-A89C-04C50C3456F1}" name="Title" dataDxfId="6"/>
    <tableColumn id="5" xr3:uid="{9B83014B-ACB0-684A-838F-1856797A8595}" name="Week Sales" dataDxfId="5"/>
    <tableColumn id="6" xr3:uid="{4917FA7D-8DF0-E047-ACAA-E125CF0BA527}" name="Total Sales" dataDxfId="4">
      <calculatedColumnFormula>SUMIFS('Week 52 Dec 21 - Dec 27 2020'!F:F,'Week 52 Dec 21 - Dec 27 2020'!D:D,'Week 53 Dec 28 - Jan 3 2021'!D:D,'Week 52 Dec 21 - Dec 27 2020'!C:C,'Week 53 Dec 28 - Jan 3 2021'!C:C)+Table40424346505144485415[[#This Row],[Week Sales]]</calculatedColumnFormula>
    </tableColumn>
    <tableColumn id="7" xr3:uid="{4E709F4B-FFCB-2541-B5DE-28D5B82A6562}" name="Publisher" dataDxfId="3">
      <calculatedColumnFormula>(VLOOKUP(D:D,'Week 52 Dec 21 - Dec 27 2020'!D:G,4,FALSE))</calculatedColumnFormula>
    </tableColumn>
    <tableColumn id="8" xr3:uid="{0036718D-BE7D-6B40-9744-60209B9C4B2E}" name="Release Date" dataDxfId="2">
      <calculatedColumnFormula>(VLOOKUP(D:D,'Week 52 Dec 21 - Dec 27 2020'!D:H,5,FALSE))</calculatedColumnFormula>
    </tableColumn>
    <tableColumn id="9" xr3:uid="{AF4A8AD3-78AD-F94A-8C8C-69CF464C8C90}" name="Last Week's Sales" dataDxfId="1">
      <calculatedColumnFormula>SUMIFS('Week 52 Dec 21 - Dec 27 2020'!E:E,'Week 52 Dec 21 - Dec 27 2020'!D:D,'Week 53 Dec 28 - Jan 3 2021'!D:D,'Week 52 Dec 21 - Dec 27 2020'!C:C,'Week 53 Dec 28 - Jan 3 2021'!C:C)</calculatedColumnFormula>
    </tableColumn>
    <tableColumn id="10" xr3:uid="{667B9046-9D51-9348-A56A-3EF66A4BEC8E}" name="Percentage change" dataDxfId="0">
      <calculatedColumnFormula>(E2-I2)/I2</calculatedColumnFormula>
    </tableColumn>
  </tableColumns>
  <tableStyleInfo name="TableStyleLight6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53D47CE-BD5B-8241-95BD-B0DA30B61BAA}" name="Table3611" displayName="Table3611" ref="A1:J31" totalsRowShown="0" headerRowDxfId="554" dataDxfId="553">
  <sortState xmlns:xlrd2="http://schemas.microsoft.com/office/spreadsheetml/2017/richdata2" ref="A2:J31">
    <sortCondition ref="A1:A31"/>
  </sortState>
  <tableColumns count="10">
    <tableColumn id="1" xr3:uid="{E60CCDFF-73CE-9344-9A06-6475E48CFA44}" name="Position" dataDxfId="552"/>
    <tableColumn id="2" xr3:uid="{3EF47C7C-D4F1-864B-A1C7-46AE16B31075}" name="Last Week" dataDxfId="551"/>
    <tableColumn id="3" xr3:uid="{F25A0A87-508D-ED43-9ADF-233B4BFC6DF7}" name="System" dataDxfId="550"/>
    <tableColumn id="4" xr3:uid="{8A7F12BF-1BDD-FC43-B26B-A5CCE79EB662}" name="Title" dataDxfId="549"/>
    <tableColumn id="5" xr3:uid="{FAF9A0A7-A47D-D44A-AF97-A0601EF69823}" name="Week Sales" dataDxfId="548"/>
    <tableColumn id="6" xr3:uid="{5A5AF934-F46B-2846-997A-F46D399D0AFF}" name="Total Sales" dataDxfId="547">
      <calculatedColumnFormula>SUMIFS('Week 5 Jan 27 - Feb 2 2020'!F:F,'Week 5 Jan 27 - Feb 2 2020'!D:D,'Week 6 Feb 3 - Feb 9 2020'!D:D,'Week 5 Jan 27 - Feb 2 2020'!C:C,'Week 6 Feb 3 - Feb 9 2020'!C:C)+Table3611[[#This Row],[Week Sales]]</calculatedColumnFormula>
    </tableColumn>
    <tableColumn id="7" xr3:uid="{C1CD48E4-12D4-A145-A369-591FECB9F7DA}" name="Publisher" dataDxfId="546"/>
    <tableColumn id="8" xr3:uid="{5A87DB8B-E6A2-FF44-AE55-1DACB41B0FA9}" name="Release Date" dataDxfId="545"/>
    <tableColumn id="9" xr3:uid="{11B005DE-3372-D142-96AE-A4AF77F96BD0}" name="Last Week's Sales" dataDxfId="544"/>
    <tableColumn id="10" xr3:uid="{5870EAAB-0C62-C344-9CB3-EB99B98AB81A}" name="Percentage change" dataDxfId="543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83C635A-8D3A-8E4F-8ADC-D3BEDD21F52A}" name="Table36119" displayName="Table36119" ref="A1:J31" totalsRowShown="0" headerRowDxfId="542" dataDxfId="541">
  <sortState xmlns:xlrd2="http://schemas.microsoft.com/office/spreadsheetml/2017/richdata2" ref="A2:J31">
    <sortCondition ref="A1:A31"/>
  </sortState>
  <tableColumns count="10">
    <tableColumn id="1" xr3:uid="{23686A57-637B-E249-8CD0-9ED736D97F9B}" name="Position" dataDxfId="540"/>
    <tableColumn id="2" xr3:uid="{4887398F-3246-0640-A0FE-AEBB04EE4306}" name="Last Week" dataDxfId="539"/>
    <tableColumn id="3" xr3:uid="{C233EEAF-3853-CD42-98D1-051F8F937BE0}" name="System" dataDxfId="538"/>
    <tableColumn id="4" xr3:uid="{457A886D-D452-5540-9183-CC837B4934A0}" name="Title" dataDxfId="537"/>
    <tableColumn id="5" xr3:uid="{F1047F71-2379-D04A-8AD5-2A0772D61A61}" name="Week Sales" dataDxfId="536"/>
    <tableColumn id="6" xr3:uid="{534B4A66-EB93-A941-9702-01353D1073EE}" name="Total Sales" dataDxfId="535">
      <calculatedColumnFormula>SUMIFS('Week 6 Feb 3 - Feb 9 2020'!F:F,'Week 6 Feb 3 - Feb 9 2020'!D:D,'Week 7 Feb 10 - Feb 16 2020'!D:D,'Week 6 Feb 3 - Feb 9 2020'!C:C,'Week 7 Feb 10 - Feb 16 2020'!C:C)+Table36119[[#This Row],[Week Sales]]</calculatedColumnFormula>
    </tableColumn>
    <tableColumn id="7" xr3:uid="{8A7419FA-FD4A-E645-B172-470EA584AAB9}" name="Publisher" dataDxfId="534">
      <calculatedColumnFormula>(VLOOKUP(D:D,'Week 6 Feb 3 - Feb 9 2020'!D:G,4,FALSE))</calculatedColumnFormula>
    </tableColumn>
    <tableColumn id="8" xr3:uid="{F0757722-256F-4A48-B625-5B6414FD9317}" name="Release Date" dataDxfId="533"/>
    <tableColumn id="9" xr3:uid="{4930A98A-1272-9D47-8E46-EDAE98AD4A49}" name="Last Week's Sales" dataDxfId="532">
      <calculatedColumnFormula>_xlfn.IFNA(VLOOKUP(Table36119[Title],'Week 6 Feb 3 - Feb 9 2020'!D:E, 2, FALSE),"New")</calculatedColumnFormula>
    </tableColumn>
    <tableColumn id="10" xr3:uid="{1255BC04-34B6-6E43-A521-53E4838F55B2}" name="Percentage change" dataDxfId="531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C9D67EE-C686-A948-92C5-2EC4C2A4D0DB}" name="Table3611910" displayName="Table3611910" ref="A1:J31" totalsRowShown="0" headerRowDxfId="530" dataDxfId="529">
  <sortState xmlns:xlrd2="http://schemas.microsoft.com/office/spreadsheetml/2017/richdata2" ref="A2:J31">
    <sortCondition ref="A1:A31"/>
  </sortState>
  <tableColumns count="10">
    <tableColumn id="1" xr3:uid="{0568EA83-846C-684F-A7F3-952D4F050C2D}" name="Position" dataDxfId="528"/>
    <tableColumn id="2" xr3:uid="{D7FAD8DF-36F1-DE49-B75E-8F7B3D789348}" name="Last Week" dataDxfId="527"/>
    <tableColumn id="3" xr3:uid="{410FBE91-AAE6-B84A-945D-BD8EB151F98F}" name="System" dataDxfId="526"/>
    <tableColumn id="4" xr3:uid="{7E62DC79-93EC-6B46-8583-3B64FD27530E}" name="Title"/>
    <tableColumn id="5" xr3:uid="{110A3F61-3510-FE4A-9B4A-AB0225339A32}" name="Week Sales" dataDxfId="525"/>
    <tableColumn id="6" xr3:uid="{F9C8B8D6-1795-AB47-98D9-1AD54702A8BC}" name="Total Sales" dataDxfId="524">
      <calculatedColumnFormula>SUMIFS('Week 7 Feb 10 - Feb 16 2020'!F:F,'Week 7 Feb 10 - Feb 16 2020'!D:D,'Week 8 Feb 17 - Feb 23 2020'!D:D,'Week 7 Feb 10 - Feb 16 2020'!C:C,'Week 8 Feb 17 - Feb 23 2020'!C:C)+Table3611910[[#This Row],[Week Sales]]</calculatedColumnFormula>
    </tableColumn>
    <tableColumn id="7" xr3:uid="{2046E1CC-9336-8C42-B038-CCC36F095D93}" name="Publisher" dataDxfId="523">
      <calculatedColumnFormula>(VLOOKUP(D:D,'Week 7 Feb 10 - Feb 16 2020'!D:G,4,FALSE))</calculatedColumnFormula>
    </tableColumn>
    <tableColumn id="8" xr3:uid="{6B8A45C9-5704-0542-B718-8C6DFA443394}" name="Release Date" dataDxfId="522"/>
    <tableColumn id="9" xr3:uid="{383142AB-0FF8-F543-9047-5F6E68E6FA36}" name="Last Week's Sales" dataDxfId="521">
      <calculatedColumnFormula>_xlfn.IFNA(VLOOKUP(Table3611910[Title],'Week 7 Feb 10 - Feb 16 2020'!D:E, 2, FALSE),"New")</calculatedColumnFormula>
    </tableColumn>
    <tableColumn id="10" xr3:uid="{6DF80252-E2C9-FD46-8D6D-A5E9231D848B}" name="Percentage change" dataDxfId="520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E9E36BB-37CC-164A-A89A-A021E7CC16B9}" name="Table361191013" displayName="Table361191013" ref="A1:J31" totalsRowShown="0" headerRowDxfId="519" dataDxfId="518">
  <sortState xmlns:xlrd2="http://schemas.microsoft.com/office/spreadsheetml/2017/richdata2" ref="A2:J31">
    <sortCondition ref="A1:A31"/>
  </sortState>
  <tableColumns count="10">
    <tableColumn id="1" xr3:uid="{526B67D2-B4A2-AF4C-B31E-079472B9E27A}" name="Position" dataDxfId="517"/>
    <tableColumn id="2" xr3:uid="{4207CA10-8C21-BD47-BC45-5B99293F1C1B}" name="Last Week" dataDxfId="516"/>
    <tableColumn id="3" xr3:uid="{A1FBB6DF-0DB7-114A-A770-B37A0B75BCBC}" name="System" dataDxfId="515"/>
    <tableColumn id="4" xr3:uid="{67FE4EC2-B85A-F84B-AF03-8F8A0874C243}" name="Title" dataDxfId="514"/>
    <tableColumn id="5" xr3:uid="{44571E95-CD3E-FB41-9F5E-6B9484A05446}" name="Week Sales" dataDxfId="513"/>
    <tableColumn id="6" xr3:uid="{37D7F011-A005-A245-BEB6-E0880D02E956}" name="Total Sales" dataDxfId="512">
      <calculatedColumnFormula>SUMIFS('Week 8 Feb 17 - Feb 23 2020'!F:F,'Week 8 Feb 17 - Feb 23 2020'!D:D,'Week 9 Feb 24 - Mar 1 2020'!D:D,'Week 8 Feb 17 - Feb 23 2020'!C:C,'Week 9 Feb 24 - Mar 1 2020'!C:C)+Table361191013[[#This Row],[Week Sales]]</calculatedColumnFormula>
    </tableColumn>
    <tableColumn id="7" xr3:uid="{3F8AFE72-B8E4-144C-A71A-9F03EDCA71CF}" name="Publisher" dataDxfId="511">
      <calculatedColumnFormula>(VLOOKUP(D:D,'Week 7 Feb 10 - Feb 16 2020'!D:G,4,FALSE))</calculatedColumnFormula>
    </tableColumn>
    <tableColumn id="8" xr3:uid="{6309BC94-EE7A-714A-A6AC-32C6E456F5F2}" name="Release Date" dataDxfId="510"/>
    <tableColumn id="9" xr3:uid="{7D2F7524-F8DB-B947-84AD-BEAA5199B010}" name="Last Week's Sales" dataDxfId="509">
      <calculatedColumnFormula>_xlfn.IFNA(SUMIFS('Week 8 Feb 17 - Feb 23 2020'!E:E,'Week 8 Feb 17 - Feb 23 2020'!D:D,'Week 9 Feb 24 - Mar 1 2020'!D:D,'Week 8 Feb 17 - Feb 23 2020'!C:C,'Week 9 Feb 24 - Mar 1 2020'!C:C),"New")</calculatedColumnFormula>
    </tableColumn>
    <tableColumn id="10" xr3:uid="{5A320604-492D-8345-9B29-E29D8BA011B1}" name="Percentage change" dataDxfId="508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1/15190752.html" TargetMode="External"/><Relationship Id="rId2" Type="http://schemas.openxmlformats.org/officeDocument/2006/relationships/hyperlink" Target="https://www.gematsu.com/2020/01/famitsu-sales-12-30-19-1-12-20" TargetMode="External"/><Relationship Id="rId1" Type="http://schemas.openxmlformats.org/officeDocument/2006/relationships/hyperlink" Target="https://www.perfectly-nintendo.com/japan-famitsu-sales-for-week-1-2020-december-30-january-05-top-30/" TargetMode="Externa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3/11194356.html" TargetMode="External"/><Relationship Id="rId2" Type="http://schemas.openxmlformats.org/officeDocument/2006/relationships/hyperlink" Target="https://www.perfectly-nintendo.com/japan-famitsu-sales-for-week-10-2020-march-02-march-08/" TargetMode="External"/><Relationship Id="rId1" Type="http://schemas.openxmlformats.org/officeDocument/2006/relationships/hyperlink" Target="https://www.gematsu.com/2020/03/famitsu-sales-3-2-20-3-8-20" TargetMode="External"/><Relationship Id="rId4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3/18194917.html" TargetMode="External"/><Relationship Id="rId2" Type="http://schemas.openxmlformats.org/officeDocument/2006/relationships/hyperlink" Target="https://www.perfectly-nintendo.com/japan-famitsu-sales-for-week-11-2020-march-09-march-15/" TargetMode="External"/><Relationship Id="rId1" Type="http://schemas.openxmlformats.org/officeDocument/2006/relationships/hyperlink" Target="https://www.gematsu.com/2020/03/famitsu-sales-3-9-20-3-15-20" TargetMode="External"/><Relationship Id="rId4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3/25195365.html" TargetMode="External"/><Relationship Id="rId2" Type="http://schemas.openxmlformats.org/officeDocument/2006/relationships/hyperlink" Target="https://www.perfectly-nintendo.com/japan-famitsu-sales-for-week-12-2020-march-16-march-22/" TargetMode="External"/><Relationship Id="rId1" Type="http://schemas.openxmlformats.org/officeDocument/2006/relationships/hyperlink" Target="https://www.gematsu.com/2020/03/famitsu-sales-3-16-20-3-22-20" TargetMode="External"/><Relationship Id="rId4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4/01195865.html" TargetMode="External"/><Relationship Id="rId2" Type="http://schemas.openxmlformats.org/officeDocument/2006/relationships/hyperlink" Target="https://www.perfectly-nintendo.com/japan-famitsu-sales-for-week-13-2020-march-23-march-29/" TargetMode="External"/><Relationship Id="rId1" Type="http://schemas.openxmlformats.org/officeDocument/2006/relationships/hyperlink" Target="https://www.gematsu.com/2020/04/famitsu-sales-3-23-20-3-29-20" TargetMode="External"/><Relationship Id="rId4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4/01195865.html" TargetMode="External"/><Relationship Id="rId2" Type="http://schemas.openxmlformats.org/officeDocument/2006/relationships/hyperlink" Target="https://www.perfectly-nintendo.com/japan-famitsu-sales-for-week-14-2020-march-30-april-05/" TargetMode="External"/><Relationship Id="rId1" Type="http://schemas.openxmlformats.org/officeDocument/2006/relationships/hyperlink" Target="https://www.gematsu.com/2020/04/famitsu-sales-3-23-20-3-29-20" TargetMode="External"/><Relationship Id="rId4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4/16196823.html" TargetMode="External"/><Relationship Id="rId2" Type="http://schemas.openxmlformats.org/officeDocument/2006/relationships/hyperlink" Target="https://www.gematsu.com/2020/04/famitsu-sales-4-6-20-4-12-20" TargetMode="External"/><Relationship Id="rId1" Type="http://schemas.openxmlformats.org/officeDocument/2006/relationships/hyperlink" Target="https://www.perfectly-nintendo.com/japan-famitsu-sales-for-week-15-2020-april-06-april-12/" TargetMode="External"/><Relationship Id="rId4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4/23197315.html" TargetMode="External"/><Relationship Id="rId2" Type="http://schemas.openxmlformats.org/officeDocument/2006/relationships/hyperlink" Target="https://www.gematsu.com/2020/04/famitsu-sales-4-13-20-4-19-20" TargetMode="External"/><Relationship Id="rId1" Type="http://schemas.openxmlformats.org/officeDocument/2006/relationships/hyperlink" Target="https://www.perfectly-nintendo.com/japan-famitsu-sales-for-week-16-2020-april-13-april-19/" TargetMode="External"/><Relationship Id="rId4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4/30197772.html" TargetMode="External"/><Relationship Id="rId2" Type="http://schemas.openxmlformats.org/officeDocument/2006/relationships/hyperlink" Target="https://www.gematsu.com/2020/04/famitsu-sales-4-20-20-4-26-20" TargetMode="External"/><Relationship Id="rId1" Type="http://schemas.openxmlformats.org/officeDocument/2006/relationships/hyperlink" Target="https://www.perfectly-nintendo.com/japan-famitsu-sales-for-week-17-2020-april-20-april-26/" TargetMode="External"/><Relationship Id="rId4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5/14198426.html" TargetMode="External"/><Relationship Id="rId2" Type="http://schemas.openxmlformats.org/officeDocument/2006/relationships/hyperlink" Target="https://www.gematsu.com/2020/05/famitsu-sales-4-27-20-5-10-20" TargetMode="External"/><Relationship Id="rId1" Type="http://schemas.openxmlformats.org/officeDocument/2006/relationships/hyperlink" Target="https://www.perfectly-nintendo.com/japan-famitsu-and-media-create-sales-for-week-18-and-19-2020-april-27-may-10-top-30/" TargetMode="External"/><Relationship Id="rId4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5/14198426.html" TargetMode="External"/><Relationship Id="rId2" Type="http://schemas.openxmlformats.org/officeDocument/2006/relationships/hyperlink" Target="https://www.gematsu.com/2020/05/famitsu-sales-4-27-20-5-10-20" TargetMode="External"/><Relationship Id="rId1" Type="http://schemas.openxmlformats.org/officeDocument/2006/relationships/hyperlink" Target="https://www.perfectly-nintendo.com/japan-famitsu-and-media-create-sales-for-week-18-and-19-2020-april-27-may-10-top-30/" TargetMode="External"/><Relationship Id="rId4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1/15190752.html" TargetMode="External"/><Relationship Id="rId2" Type="http://schemas.openxmlformats.org/officeDocument/2006/relationships/hyperlink" Target="https://www.perfectly-nintendo.com/japan-famitsu-sales-for-week-2-2020-january-06-january-12/" TargetMode="External"/><Relationship Id="rId1" Type="http://schemas.openxmlformats.org/officeDocument/2006/relationships/hyperlink" Target="https://www.gematsu.com/2020/01/famitsu-sales-12-30-19-1-12-20" TargetMode="External"/><Relationship Id="rId4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5/21198813.html" TargetMode="External"/><Relationship Id="rId2" Type="http://schemas.openxmlformats.org/officeDocument/2006/relationships/hyperlink" Target="https://www.gematsu.com/2020/05/famitsu-sales-5-11-20-5-17-20" TargetMode="External"/><Relationship Id="rId1" Type="http://schemas.openxmlformats.org/officeDocument/2006/relationships/hyperlink" Target="https://www.perfectly-nintendo.com/japan-famitsu-and-media-create-sales-for-week-18-and-19-2020-april-27-may-10-top-30/" TargetMode="External"/><Relationship Id="rId4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5/28199259.html" TargetMode="External"/><Relationship Id="rId2" Type="http://schemas.openxmlformats.org/officeDocument/2006/relationships/hyperlink" Target="https://www.gematsu.com/2020/05/famitsu-sales-5-18-20-5-24-20" TargetMode="External"/><Relationship Id="rId1" Type="http://schemas.openxmlformats.org/officeDocument/2006/relationships/hyperlink" Target="https://www.perfectly-nintendo.com/japan-taiwan-s-korea-famitsu-and-media-create-sales-for-week-22-2020-may-18-may-24/" TargetMode="External"/><Relationship Id="rId4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6/04199676.html" TargetMode="External"/><Relationship Id="rId2" Type="http://schemas.openxmlformats.org/officeDocument/2006/relationships/hyperlink" Target="https://www.gematsu.com/2020/06/famitsu-sales-5-25-20-5-31-20" TargetMode="External"/><Relationship Id="rId1" Type="http://schemas.openxmlformats.org/officeDocument/2006/relationships/hyperlink" Target="https://www.perfectly-nintendo.com/japan-taiwan-s-korea-famitsu-and-media-create-sales-for-week-22-2020-may-25-may-31/" TargetMode="External"/><Relationship Id="rId4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6/11200066.html" TargetMode="External"/><Relationship Id="rId2" Type="http://schemas.openxmlformats.org/officeDocument/2006/relationships/hyperlink" Target="https://www.gematsu.com/2020/06/famitsu-sales-6-1-20-6-7-20" TargetMode="External"/><Relationship Id="rId1" Type="http://schemas.openxmlformats.org/officeDocument/2006/relationships/hyperlink" Target="https://www.perfectly-nintendo.com/japan-taiwan-s-korea-famitsu-and-media-create-sales-for-week-23-2020-june-01-june-07/" TargetMode="External"/><Relationship Id="rId4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6/18200580.html" TargetMode="External"/><Relationship Id="rId2" Type="http://schemas.openxmlformats.org/officeDocument/2006/relationships/hyperlink" Target="https://www.gematsu.com/2020/06/famitsu-sales-6-8-20-6-14-20" TargetMode="External"/><Relationship Id="rId1" Type="http://schemas.openxmlformats.org/officeDocument/2006/relationships/hyperlink" Target="https://www.perfectly-nintendo.com/japan-taiwan-s-korea-famitsu-and-media-create-sales-for-week-24-2020-june-08-june-14/" TargetMode="External"/><Relationship Id="rId4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6/25201047.html" TargetMode="External"/><Relationship Id="rId2" Type="http://schemas.openxmlformats.org/officeDocument/2006/relationships/hyperlink" Target="https://www.gematsu.com/2020/06/famitsu-sales-6-15-20-6-21-20" TargetMode="External"/><Relationship Id="rId1" Type="http://schemas.openxmlformats.org/officeDocument/2006/relationships/hyperlink" Target="https://www.perfectly-nintendo.com/japan-taiwan-s-korea-famitsu-and-media-create-sales-for-week-25-2020-june-15-june-21/" TargetMode="External"/><Relationship Id="rId4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7/02201535.html" TargetMode="External"/><Relationship Id="rId2" Type="http://schemas.openxmlformats.org/officeDocument/2006/relationships/hyperlink" Target="https://www.gematsu.com/2020/07/famitsu-sales-6-22-20-6-28-20" TargetMode="External"/><Relationship Id="rId1" Type="http://schemas.openxmlformats.org/officeDocument/2006/relationships/hyperlink" Target="https://www.perfectly-nintendo.com/japan-taiwan-s-korea-famitsu-and-media-create-sales-for-week-26-2020-june-22-june-28-top-30/" TargetMode="External"/><Relationship Id="rId4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7/09201930.html" TargetMode="External"/><Relationship Id="rId2" Type="http://schemas.openxmlformats.org/officeDocument/2006/relationships/hyperlink" Target="https://www.gematsu.com/2020/07/famitsu-sales-6-29-20-7-5-20" TargetMode="External"/><Relationship Id="rId1" Type="http://schemas.openxmlformats.org/officeDocument/2006/relationships/hyperlink" Target="https://www.perfectly-nintendo.com/japan-taiwan-s-korea-famitsu-and-media-create-sales-for-week-27-2020-june-29-july-05/" TargetMode="External"/><Relationship Id="rId4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7/16202343.html" TargetMode="External"/><Relationship Id="rId2" Type="http://schemas.openxmlformats.org/officeDocument/2006/relationships/hyperlink" Target="https://www.gematsu.com/2020/07/famitsu-sales-7-6-20-7-12-20" TargetMode="External"/><Relationship Id="rId1" Type="http://schemas.openxmlformats.org/officeDocument/2006/relationships/hyperlink" Target="https://www.perfectly-nintendo.com/japan-taiwan-s-korea-famitsu-and-media-create-sales-for-week-28-2020-july-06-july-12/" TargetMode="External"/><Relationship Id="rId4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7/23202792.html" TargetMode="External"/><Relationship Id="rId2" Type="http://schemas.openxmlformats.org/officeDocument/2006/relationships/hyperlink" Target="https://www.gematsu.com/2020/07/famitsu-sales-7-13-20-7-19-20" TargetMode="External"/><Relationship Id="rId1" Type="http://schemas.openxmlformats.org/officeDocument/2006/relationships/hyperlink" Target="https://www.perfectly-nintendo.com/japan-taiwan-s-korea-famitsu-and-media-create-sales-for-week-29-2020-july-13-july-19/" TargetMode="External"/><Relationship Id="rId4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1/22191146.html" TargetMode="External"/><Relationship Id="rId2" Type="http://schemas.openxmlformats.org/officeDocument/2006/relationships/hyperlink" Target="https://www.perfectly-nintendo.com/japan-famitsu-sales-for-week-3-2020-january-13-january-19/" TargetMode="External"/><Relationship Id="rId1" Type="http://schemas.openxmlformats.org/officeDocument/2006/relationships/hyperlink" Target="https://www.gematsu.com/2020/01/famitsu-sales-1-13-20-1-19-20" TargetMode="External"/><Relationship Id="rId4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7/30203142.html" TargetMode="External"/><Relationship Id="rId2" Type="http://schemas.openxmlformats.org/officeDocument/2006/relationships/hyperlink" Target="https://www.gematsu.com/2020/07/famitsu-sales-7-20-20-7-26-20" TargetMode="External"/><Relationship Id="rId1" Type="http://schemas.openxmlformats.org/officeDocument/2006/relationships/hyperlink" Target="https://www.perfectly-nintendo.com/japan-taiwan-s-korea-famitsu-and-media-create-sales-for-week-30-2020-july-20-july-26/" TargetMode="External"/><Relationship Id="rId4" Type="http://schemas.openxmlformats.org/officeDocument/2006/relationships/table" Target="../tables/table30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ematsu.com/2020/08/famitsu-sales-7-27-20-8-2-20" TargetMode="External"/><Relationship Id="rId2" Type="http://schemas.openxmlformats.org/officeDocument/2006/relationships/hyperlink" Target="https://www.famitsu.com/news/202008/06203518.html" TargetMode="External"/><Relationship Id="rId1" Type="http://schemas.openxmlformats.org/officeDocument/2006/relationships/hyperlink" Target="https://www.perfectly-nintendo.com/japan-taiwan-s-korea-famitsu-and-media-create-sales-for-week-31-2020-july-27-august-02/" TargetMode="External"/><Relationship Id="rId4" Type="http://schemas.openxmlformats.org/officeDocument/2006/relationships/table" Target="../tables/table31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8/20204360.html" TargetMode="External"/><Relationship Id="rId2" Type="http://schemas.openxmlformats.org/officeDocument/2006/relationships/hyperlink" Target="https://www.gematsu.com/2020/08/famitsu-sales-8-3-20-8-16-20" TargetMode="External"/><Relationship Id="rId1" Type="http://schemas.openxmlformats.org/officeDocument/2006/relationships/hyperlink" Target="https://www.perfectly-nintendo.com/japan-taiwan-s-korea-famitsu-and-media-create-sales-for-week-32-2020-august-03-august-09/" TargetMode="External"/><Relationship Id="rId4" Type="http://schemas.openxmlformats.org/officeDocument/2006/relationships/table" Target="../tables/table32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8/20204360.html" TargetMode="External"/><Relationship Id="rId2" Type="http://schemas.openxmlformats.org/officeDocument/2006/relationships/hyperlink" Target="https://www.gematsu.com/2020/08/famitsu-sales-8-3-20-8-16-20" TargetMode="External"/><Relationship Id="rId1" Type="http://schemas.openxmlformats.org/officeDocument/2006/relationships/hyperlink" Target="https://www.perfectly-nintendo.com/japan-taiwan-s-korea-famitsu-and-media-create-sales-for-week-33-2020-august-10-august-16/" TargetMode="External"/><Relationship Id="rId4" Type="http://schemas.openxmlformats.org/officeDocument/2006/relationships/table" Target="../tables/table33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8/27204715.html" TargetMode="External"/><Relationship Id="rId2" Type="http://schemas.openxmlformats.org/officeDocument/2006/relationships/hyperlink" Target="https://www.gematsu.com/2020/08/famitsu-sales-8-17-20-8-23-20" TargetMode="External"/><Relationship Id="rId1" Type="http://schemas.openxmlformats.org/officeDocument/2006/relationships/hyperlink" Target="https://www.perfectly-nintendo.com/japan-taiwan-s-korea-famitsu-and-media-create-sales-for-week-34-2020-august-17-august-23/" TargetMode="External"/><Relationship Id="rId4" Type="http://schemas.openxmlformats.org/officeDocument/2006/relationships/table" Target="../tables/table34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9/03205142.html" TargetMode="External"/><Relationship Id="rId2" Type="http://schemas.openxmlformats.org/officeDocument/2006/relationships/hyperlink" Target="https://www.gematsu.com/2020/09/famitsu-sales-8-23-20-8-30-20" TargetMode="External"/><Relationship Id="rId1" Type="http://schemas.openxmlformats.org/officeDocument/2006/relationships/hyperlink" Target="https://www.perfectly-nintendo.com/japan-taiwan-s-korea-famitsu-and-media-create-sales-for-week-35-2020-august-24-august-30/" TargetMode="External"/><Relationship Id="rId4" Type="http://schemas.openxmlformats.org/officeDocument/2006/relationships/table" Target="../tables/table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9/10205549.html" TargetMode="External"/><Relationship Id="rId2" Type="http://schemas.openxmlformats.org/officeDocument/2006/relationships/hyperlink" Target="https://www.gematsu.com/2020/09/famitsu-sales-8-31-20-9-6-20" TargetMode="External"/><Relationship Id="rId1" Type="http://schemas.openxmlformats.org/officeDocument/2006/relationships/hyperlink" Target="https://www.perfectly-nintendo.com/japan-taiwan-s-korea-famitsu-and-media-create-sales-for-week-36-2020-august-31-september-06/" TargetMode="External"/><Relationship Id="rId4" Type="http://schemas.openxmlformats.org/officeDocument/2006/relationships/table" Target="../tables/table36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rfectly-nintendo.com/japan-taiwan-s-korea-famitsu-and-media-create-sales-for-week-37-2020-september-07-september-13/" TargetMode="External"/><Relationship Id="rId2" Type="http://schemas.openxmlformats.org/officeDocument/2006/relationships/hyperlink" Target="https://www.famitsu.com/news/202009/17205984.html" TargetMode="External"/><Relationship Id="rId1" Type="http://schemas.openxmlformats.org/officeDocument/2006/relationships/hyperlink" Target="https://www.gematsu.com/2020/09/famitsu-sales-9-7-20-9-13-20" TargetMode="External"/><Relationship Id="rId4" Type="http://schemas.openxmlformats.org/officeDocument/2006/relationships/table" Target="../tables/table37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rfectly-nintendo.com/japan-taiwan-s-korea-famitsu-and-media-create-sales-for-week-38-2020-september-14-september-20/" TargetMode="External"/><Relationship Id="rId2" Type="http://schemas.openxmlformats.org/officeDocument/2006/relationships/hyperlink" Target="https://www.famitsu.com/news/202009/24206385.html" TargetMode="External"/><Relationship Id="rId1" Type="http://schemas.openxmlformats.org/officeDocument/2006/relationships/hyperlink" Target="https://www.gematsu.com/2020/09/famitsu-sales-9-14-20-9-20-20" TargetMode="External"/><Relationship Id="rId4" Type="http://schemas.openxmlformats.org/officeDocument/2006/relationships/table" Target="../tables/table38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rfectly-nintendo.com/japan-taiwan-s-korea-famitsu-and-media-create-sales-for-week-39-2020-september-21-september-27/" TargetMode="External"/><Relationship Id="rId2" Type="http://schemas.openxmlformats.org/officeDocument/2006/relationships/hyperlink" Target="https://www.famitsu.com/news/202010/01206944.html" TargetMode="External"/><Relationship Id="rId1" Type="http://schemas.openxmlformats.org/officeDocument/2006/relationships/hyperlink" Target="https://www.gematsu.com/2020/10/famitsu-sales-9-21-20-9-27-20" TargetMode="External"/><Relationship Id="rId4" Type="http://schemas.openxmlformats.org/officeDocument/2006/relationships/table" Target="../tables/table3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1/29191604.html" TargetMode="External"/><Relationship Id="rId2" Type="http://schemas.openxmlformats.org/officeDocument/2006/relationships/hyperlink" Target="https://www.perfectly-nintendo.com/japan-famitsu-sales-for-week-4-2020-january-20-january-26/" TargetMode="External"/><Relationship Id="rId1" Type="http://schemas.openxmlformats.org/officeDocument/2006/relationships/hyperlink" Target="https://www.gematsu.com/2020/01/famitsu-sales-1-20-20-1-26-20" TargetMode="External"/><Relationship Id="rId4" Type="http://schemas.openxmlformats.org/officeDocument/2006/relationships/table" Target="../tables/table4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rfectly-nintendo.com/japan-taiwan-s-korea-famitsu-and-media-create-sales-for-week-40-2020-september-28-october-04/" TargetMode="External"/><Relationship Id="rId2" Type="http://schemas.openxmlformats.org/officeDocument/2006/relationships/hyperlink" Target="https://www.famitsu.com/news/202010/08207311.html" TargetMode="External"/><Relationship Id="rId1" Type="http://schemas.openxmlformats.org/officeDocument/2006/relationships/hyperlink" Target="https://www.gematsu.com/2020/10/famitsu-sales-9-28-20-10-4-20" TargetMode="External"/><Relationship Id="rId4" Type="http://schemas.openxmlformats.org/officeDocument/2006/relationships/table" Target="../tables/table40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rfectly-nintendo.com/japan-taiwan-s-korea-famitsu-and-media-create-sales-for-week-41-2020-october-05-october-11/" TargetMode="External"/><Relationship Id="rId2" Type="http://schemas.openxmlformats.org/officeDocument/2006/relationships/hyperlink" Target="https://www.famitsu.com/news/202010/15207705.html" TargetMode="External"/><Relationship Id="rId1" Type="http://schemas.openxmlformats.org/officeDocument/2006/relationships/hyperlink" Target="https://www.gematsu.com/2020/10/famitsu-sales-10-5-20-10-11-20" TargetMode="External"/><Relationship Id="rId4" Type="http://schemas.openxmlformats.org/officeDocument/2006/relationships/table" Target="../tables/table41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rfectly-nintendo.com/japan-taiwan-s-korea-famitsu-and-media-create-sales-for-week-42-2020-october-12-october-18/" TargetMode="External"/><Relationship Id="rId2" Type="http://schemas.openxmlformats.org/officeDocument/2006/relationships/hyperlink" Target="https://www.famitsu.com/news/202010/22208063.html" TargetMode="External"/><Relationship Id="rId1" Type="http://schemas.openxmlformats.org/officeDocument/2006/relationships/hyperlink" Target="https://www.gematsu.com/2020/10/famitsu-sales-10-12-20-10-18-20" TargetMode="External"/><Relationship Id="rId4" Type="http://schemas.openxmlformats.org/officeDocument/2006/relationships/table" Target="../tables/table42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rfectly-nintendo.com/japan-taiwan-s-korea-famitsu-and-media-create-sales-for-week-43-2020-october-19-october-25/" TargetMode="External"/><Relationship Id="rId2" Type="http://schemas.openxmlformats.org/officeDocument/2006/relationships/hyperlink" Target="https://www.famitsu.com/news/202010/29208562.html" TargetMode="External"/><Relationship Id="rId1" Type="http://schemas.openxmlformats.org/officeDocument/2006/relationships/hyperlink" Target="https://www.gematsu.com/2020/10/famitsu-sales-10-19-20-10-25-20" TargetMode="External"/><Relationship Id="rId4" Type="http://schemas.openxmlformats.org/officeDocument/2006/relationships/table" Target="../tables/table43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rfectly-nintendo.com/japan-taiwan-s-korea-famitsu-and-media-create-sales-for-week-44-2020-october-26-november-01/" TargetMode="External"/><Relationship Id="rId2" Type="http://schemas.openxmlformats.org/officeDocument/2006/relationships/hyperlink" Target="https://www.famitsu.com/news/202011/05208921.html" TargetMode="External"/><Relationship Id="rId1" Type="http://schemas.openxmlformats.org/officeDocument/2006/relationships/hyperlink" Target="https://www.gematsu.com/2020/11/famitsu-sales-10-26-20-11-1-20" TargetMode="External"/><Relationship Id="rId4" Type="http://schemas.openxmlformats.org/officeDocument/2006/relationships/table" Target="../tables/table44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rfectly-nintendo.com/japan-taiwan-s-korea-famitsu-and-media-create-sales-for-week-45-2020-november-02-november-08/" TargetMode="External"/><Relationship Id="rId2" Type="http://schemas.openxmlformats.org/officeDocument/2006/relationships/hyperlink" Target="https://www.famitsu.com/news/202011/12209360.html" TargetMode="External"/><Relationship Id="rId1" Type="http://schemas.openxmlformats.org/officeDocument/2006/relationships/hyperlink" Target="https://www.gematsu.com/2020/11/famitsu-sales-11-2-20-11-8-20" TargetMode="External"/><Relationship Id="rId4" Type="http://schemas.openxmlformats.org/officeDocument/2006/relationships/table" Target="../tables/table4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rfectly-nintendo.com/japan-taiwan-s-korea-famitsu-and-media-create-sales-for-week-46-2020-november-09-november-15/" TargetMode="External"/><Relationship Id="rId2" Type="http://schemas.openxmlformats.org/officeDocument/2006/relationships/hyperlink" Target="https://www.famitsu.com/news/202011/19209739.html" TargetMode="External"/><Relationship Id="rId1" Type="http://schemas.openxmlformats.org/officeDocument/2006/relationships/hyperlink" Target="https://www.gematsu.com/2020/11/famitsu-sales-11-9-20-11-15-20" TargetMode="External"/><Relationship Id="rId4" Type="http://schemas.openxmlformats.org/officeDocument/2006/relationships/table" Target="../tables/table46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rfectly-nintendo.com/japan-taiwan-s-korea-famitsu-and-media-create-sales-for-week-47-2020-november-16-november-22/" TargetMode="External"/><Relationship Id="rId2" Type="http://schemas.openxmlformats.org/officeDocument/2006/relationships/hyperlink" Target="https://www.famitsu.com/news/202011/26210170.html" TargetMode="External"/><Relationship Id="rId1" Type="http://schemas.openxmlformats.org/officeDocument/2006/relationships/hyperlink" Target="https://www.gematsu.com/2020/11/famitsu-sales-11-16-20-11-22-20" TargetMode="External"/><Relationship Id="rId4" Type="http://schemas.openxmlformats.org/officeDocument/2006/relationships/table" Target="../tables/table47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rfectly-nintendo.com/japan-taiwan-s-korea-famitsu-and-media-create-sales-for-week-48-2020-november-23-november-29/" TargetMode="External"/><Relationship Id="rId2" Type="http://schemas.openxmlformats.org/officeDocument/2006/relationships/hyperlink" Target="https://www.famitsu.com/news/202012/03210596.html" TargetMode="External"/><Relationship Id="rId1" Type="http://schemas.openxmlformats.org/officeDocument/2006/relationships/hyperlink" Target="https://www.gematsu.com/2020/12/famitsu-sales-11-23-20-11-29-20" TargetMode="External"/><Relationship Id="rId4" Type="http://schemas.openxmlformats.org/officeDocument/2006/relationships/table" Target="../tables/table48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rfectly-nintendo.com/japan-taiwan-s-korea-famitsu-and-media-create-sales-for-week-49-2020-november-30-december-06/" TargetMode="External"/><Relationship Id="rId2" Type="http://schemas.openxmlformats.org/officeDocument/2006/relationships/hyperlink" Target="https://www.famitsu.com/news/202012/10211002.html" TargetMode="External"/><Relationship Id="rId1" Type="http://schemas.openxmlformats.org/officeDocument/2006/relationships/hyperlink" Target="https://www.gematsu.com/2020/12/famitsu-sales-11-30-20-12-6-20" TargetMode="External"/><Relationship Id="rId4" Type="http://schemas.openxmlformats.org/officeDocument/2006/relationships/table" Target="../tables/table4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2/05192084.html" TargetMode="External"/><Relationship Id="rId2" Type="http://schemas.openxmlformats.org/officeDocument/2006/relationships/hyperlink" Target="https://www.perfectly-nintendo.com/japan-famitsu-sales-for-week-5-2020-january-27-february-02/" TargetMode="External"/><Relationship Id="rId1" Type="http://schemas.openxmlformats.org/officeDocument/2006/relationships/hyperlink" Target="https://www.gematsu.com/2020/02/famitsu-sales-1-27-20-2-2-20" TargetMode="External"/><Relationship Id="rId4" Type="http://schemas.openxmlformats.org/officeDocument/2006/relationships/table" Target="../tables/table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rfectly-nintendo.com/japan-taiwan-s-korea-famitsu-and-media-create-sales-for-week-50-2020-december-07-december-13/" TargetMode="External"/><Relationship Id="rId2" Type="http://schemas.openxmlformats.org/officeDocument/2006/relationships/hyperlink" Target="https://www.famitsu.com/news/202012/17211447.html" TargetMode="External"/><Relationship Id="rId1" Type="http://schemas.openxmlformats.org/officeDocument/2006/relationships/hyperlink" Target="https://www.gematsu.com/2020/12/famitsu-sales-12-7-20-12-13-20" TargetMode="External"/><Relationship Id="rId4" Type="http://schemas.openxmlformats.org/officeDocument/2006/relationships/table" Target="../tables/table50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rfectly-nintendo.com/japan-taiwan-s-korea-famitsu-and-media-create-sales-for-week-48-2020-november-23-november-29/" TargetMode="External"/><Relationship Id="rId2" Type="http://schemas.openxmlformats.org/officeDocument/2006/relationships/hyperlink" Target="https://www.famitsu.com/news/202012/24211936.html" TargetMode="External"/><Relationship Id="rId1" Type="http://schemas.openxmlformats.org/officeDocument/2006/relationships/hyperlink" Target="https://www.gematsu.com/2020/12/famitsu-sales-12-14-20-12-20-20" TargetMode="External"/><Relationship Id="rId4" Type="http://schemas.openxmlformats.org/officeDocument/2006/relationships/table" Target="../tables/table5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2/12192515.html" TargetMode="External"/><Relationship Id="rId2" Type="http://schemas.openxmlformats.org/officeDocument/2006/relationships/hyperlink" Target="https://www.perfectly-nintendo.com/japan-famitsu-sales-for-week-6-2020-february-03-february-09/" TargetMode="External"/><Relationship Id="rId1" Type="http://schemas.openxmlformats.org/officeDocument/2006/relationships/hyperlink" Target="https://www.gematsu.com/2020/02/famitsu-sales-2-3-20-2-9-20" TargetMode="Externa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2/19193008.html" TargetMode="External"/><Relationship Id="rId2" Type="http://schemas.openxmlformats.org/officeDocument/2006/relationships/hyperlink" Target="https://www.perfectly-nintendo.com/japan-famitsu-sales-for-week-7-2020-february-10-february-16/" TargetMode="External"/><Relationship Id="rId1" Type="http://schemas.openxmlformats.org/officeDocument/2006/relationships/hyperlink" Target="https://www.gematsu.com/2020/02/famitsu-sales-2-10-20-2-16-20" TargetMode="External"/><Relationship Id="rId4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2/26193419.html" TargetMode="External"/><Relationship Id="rId2" Type="http://schemas.openxmlformats.org/officeDocument/2006/relationships/hyperlink" Target="https://www.perfectly-nintendo.com/japan-famitsu-sales-for-week-8-2020-february-17-february-23/" TargetMode="External"/><Relationship Id="rId1" Type="http://schemas.openxmlformats.org/officeDocument/2006/relationships/hyperlink" Target="https://www.gematsu.com/2020/02/famitsu-sales-2-17-20-2-23-20" TargetMode="External"/><Relationship Id="rId4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3/04193901.html" TargetMode="External"/><Relationship Id="rId2" Type="http://schemas.openxmlformats.org/officeDocument/2006/relationships/hyperlink" Target="https://www.perfectly-nintendo.com/japan-famitsu-sales-for-week-9-2020-february-24-march-01/" TargetMode="External"/><Relationship Id="rId1" Type="http://schemas.openxmlformats.org/officeDocument/2006/relationships/hyperlink" Target="https://www.gematsu.com/2020/03/famitsu-sales-2-24-20-3-1-20" TargetMode="Externa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D8CE4-06A5-8E4B-8C2C-3C8F8929192A}">
  <dimension ref="A1:J43"/>
  <sheetViews>
    <sheetView topLeftCell="A9" workbookViewId="0">
      <selection activeCell="F38" sqref="F38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3.8320312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0" x14ac:dyDescent="0.2">
      <c r="A2" s="27">
        <v>1</v>
      </c>
      <c r="B2" s="18">
        <v>1</v>
      </c>
      <c r="C2" s="18" t="s">
        <v>7</v>
      </c>
      <c r="D2" s="18" t="s">
        <v>62</v>
      </c>
      <c r="E2" s="12">
        <v>196925</v>
      </c>
      <c r="F2" s="12">
        <v>3185059</v>
      </c>
      <c r="G2" s="18" t="s">
        <v>42</v>
      </c>
      <c r="H2" s="1">
        <v>43784</v>
      </c>
      <c r="I2" s="2">
        <v>243476</v>
      </c>
      <c r="J2" s="28">
        <f>(E2-I2)/I2</f>
        <v>-0.19119338250998044</v>
      </c>
    </row>
    <row r="3" spans="1:10" x14ac:dyDescent="0.2">
      <c r="A3" s="27">
        <v>2</v>
      </c>
      <c r="B3" s="27">
        <v>2</v>
      </c>
      <c r="C3" s="18" t="s">
        <v>7</v>
      </c>
      <c r="D3" s="18" t="s">
        <v>79</v>
      </c>
      <c r="E3" s="12">
        <v>52434</v>
      </c>
      <c r="F3" s="12">
        <v>558432</v>
      </c>
      <c r="G3" s="18" t="s">
        <v>9</v>
      </c>
      <c r="H3" s="1">
        <v>43769</v>
      </c>
      <c r="I3" s="12">
        <v>59349</v>
      </c>
      <c r="J3" s="28">
        <f>(E3-I3)/I3</f>
        <v>-0.11651417884041854</v>
      </c>
    </row>
    <row r="4" spans="1:10" x14ac:dyDescent="0.2">
      <c r="A4" s="27">
        <v>3</v>
      </c>
      <c r="B4" s="27">
        <v>5</v>
      </c>
      <c r="C4" s="18" t="s">
        <v>7</v>
      </c>
      <c r="D4" s="18" t="s">
        <v>49</v>
      </c>
      <c r="E4" s="12">
        <v>52195</v>
      </c>
      <c r="F4" s="12">
        <v>2711204</v>
      </c>
      <c r="G4" s="18" t="s">
        <v>9</v>
      </c>
      <c r="H4" s="1">
        <v>42853</v>
      </c>
      <c r="I4" s="12">
        <v>40883</v>
      </c>
      <c r="J4" s="28">
        <f>(E4-I4)/I4</f>
        <v>0.27669202357948292</v>
      </c>
    </row>
    <row r="5" spans="1:10" x14ac:dyDescent="0.2">
      <c r="A5" s="27">
        <v>4</v>
      </c>
      <c r="B5" s="18">
        <v>4</v>
      </c>
      <c r="C5" s="18" t="s">
        <v>7</v>
      </c>
      <c r="D5" s="18" t="s">
        <v>12</v>
      </c>
      <c r="E5" s="12">
        <v>46963</v>
      </c>
      <c r="F5" s="12">
        <v>1192902</v>
      </c>
      <c r="G5" s="18" t="s">
        <v>28</v>
      </c>
      <c r="H5" s="1">
        <v>43272</v>
      </c>
      <c r="I5" s="12">
        <v>40905</v>
      </c>
      <c r="J5" s="28">
        <f t="shared" ref="J5:J6" si="0">(E5-I5)/I5</f>
        <v>0.14809925436988144</v>
      </c>
    </row>
    <row r="6" spans="1:10" x14ac:dyDescent="0.2">
      <c r="A6" s="27">
        <v>5</v>
      </c>
      <c r="B6" s="18">
        <v>6</v>
      </c>
      <c r="C6" s="18" t="s">
        <v>7</v>
      </c>
      <c r="D6" s="18" t="s">
        <v>80</v>
      </c>
      <c r="E6" s="12">
        <v>44605</v>
      </c>
      <c r="F6" s="12">
        <v>239733</v>
      </c>
      <c r="G6" s="18" t="s">
        <v>95</v>
      </c>
      <c r="H6" s="1">
        <v>43770</v>
      </c>
      <c r="I6" s="12">
        <v>40866</v>
      </c>
      <c r="J6" s="28">
        <f t="shared" si="0"/>
        <v>9.149415161748152E-2</v>
      </c>
    </row>
    <row r="7" spans="1:10" x14ac:dyDescent="0.2">
      <c r="A7" s="27">
        <v>6</v>
      </c>
      <c r="B7" s="27">
        <v>7</v>
      </c>
      <c r="C7" s="18" t="s">
        <v>7</v>
      </c>
      <c r="D7" s="4" t="s">
        <v>52</v>
      </c>
      <c r="E7" s="12">
        <v>43274</v>
      </c>
      <c r="F7" s="12">
        <v>3496326</v>
      </c>
      <c r="G7" s="18" t="s">
        <v>9</v>
      </c>
      <c r="H7" s="1">
        <v>43441</v>
      </c>
      <c r="I7" s="12">
        <v>35385</v>
      </c>
      <c r="J7" s="28">
        <f>(E7-I7)/I7</f>
        <v>0.22294757665677548</v>
      </c>
    </row>
    <row r="8" spans="1:10" x14ac:dyDescent="0.2">
      <c r="A8" s="27">
        <v>7</v>
      </c>
      <c r="B8" s="27">
        <v>8</v>
      </c>
      <c r="C8" s="18" t="s">
        <v>7</v>
      </c>
      <c r="D8" s="4" t="s">
        <v>16</v>
      </c>
      <c r="E8" s="12">
        <v>41455</v>
      </c>
      <c r="F8" s="12">
        <v>76151</v>
      </c>
      <c r="G8" s="18" t="s">
        <v>9</v>
      </c>
      <c r="H8" s="1">
        <v>43826</v>
      </c>
      <c r="I8" s="12">
        <v>34696</v>
      </c>
      <c r="J8" s="28">
        <f>(E8-I8)/I8</f>
        <v>0.19480631773115056</v>
      </c>
    </row>
    <row r="9" spans="1:10" x14ac:dyDescent="0.2">
      <c r="A9" s="27">
        <v>8</v>
      </c>
      <c r="B9" s="18">
        <v>9</v>
      </c>
      <c r="C9" s="18" t="s">
        <v>7</v>
      </c>
      <c r="D9" s="18" t="s">
        <v>13</v>
      </c>
      <c r="E9" s="12">
        <v>37903</v>
      </c>
      <c r="F9" s="12">
        <v>1301613</v>
      </c>
      <c r="G9" s="18" t="s">
        <v>9</v>
      </c>
      <c r="H9" s="1">
        <v>43378</v>
      </c>
      <c r="I9" s="12">
        <v>34649</v>
      </c>
      <c r="J9" s="28">
        <f>(E9-I9)/I9</f>
        <v>9.3913244249473296E-2</v>
      </c>
    </row>
    <row r="10" spans="1:10" x14ac:dyDescent="0.2">
      <c r="A10" s="27">
        <v>9</v>
      </c>
      <c r="B10" s="27">
        <v>10</v>
      </c>
      <c r="C10" s="18" t="s">
        <v>7</v>
      </c>
      <c r="D10" s="4" t="s">
        <v>20</v>
      </c>
      <c r="E10" s="12">
        <v>30705</v>
      </c>
      <c r="F10" s="12">
        <v>367700</v>
      </c>
      <c r="G10" s="18" t="s">
        <v>34</v>
      </c>
      <c r="H10" s="1">
        <v>43671</v>
      </c>
      <c r="I10" s="12">
        <v>33623</v>
      </c>
      <c r="J10" s="28">
        <f t="shared" ref="J10:J22" si="1">(E10-I10)/I10</f>
        <v>-8.6785831127502003E-2</v>
      </c>
    </row>
    <row r="11" spans="1:10" x14ac:dyDescent="0.2">
      <c r="A11" s="27">
        <v>10</v>
      </c>
      <c r="B11" s="27">
        <v>3</v>
      </c>
      <c r="C11" s="18" t="s">
        <v>7</v>
      </c>
      <c r="D11" s="18" t="s">
        <v>45</v>
      </c>
      <c r="E11" s="12">
        <v>30432</v>
      </c>
      <c r="F11" s="12">
        <v>526071</v>
      </c>
      <c r="G11" s="18" t="s">
        <v>9</v>
      </c>
      <c r="H11" s="1">
        <v>43756</v>
      </c>
      <c r="I11" s="12">
        <v>52521</v>
      </c>
      <c r="J11" s="28">
        <f t="shared" si="1"/>
        <v>-0.42057462729194034</v>
      </c>
    </row>
    <row r="12" spans="1:10" x14ac:dyDescent="0.2">
      <c r="A12" s="27">
        <v>11</v>
      </c>
      <c r="B12" s="27">
        <v>12</v>
      </c>
      <c r="C12" s="18" t="s">
        <v>7</v>
      </c>
      <c r="D12" s="18" t="s">
        <v>10</v>
      </c>
      <c r="E12" s="12">
        <v>27455</v>
      </c>
      <c r="F12" s="12">
        <v>3280215</v>
      </c>
      <c r="G12" s="18" t="s">
        <v>9</v>
      </c>
      <c r="H12" s="1">
        <v>42937</v>
      </c>
      <c r="I12" s="12">
        <v>21094</v>
      </c>
      <c r="J12" s="28">
        <f t="shared" si="1"/>
        <v>0.30155494453399073</v>
      </c>
    </row>
    <row r="13" spans="1:10" x14ac:dyDescent="0.2">
      <c r="A13" s="27">
        <v>12</v>
      </c>
      <c r="B13" s="27">
        <v>11</v>
      </c>
      <c r="C13" s="18" t="s">
        <v>7</v>
      </c>
      <c r="D13" s="18" t="s">
        <v>19</v>
      </c>
      <c r="E13" s="12">
        <v>27378</v>
      </c>
      <c r="F13" s="12">
        <v>827882</v>
      </c>
      <c r="G13" s="18" t="s">
        <v>9</v>
      </c>
      <c r="H13" s="1">
        <v>43644</v>
      </c>
      <c r="I13" s="12">
        <v>26402</v>
      </c>
      <c r="J13" s="28">
        <f t="shared" si="1"/>
        <v>3.6966896447238842E-2</v>
      </c>
    </row>
    <row r="14" spans="1:10" x14ac:dyDescent="0.2">
      <c r="A14" s="27">
        <v>13</v>
      </c>
      <c r="B14" s="27">
        <v>13</v>
      </c>
      <c r="C14" s="18" t="s">
        <v>7</v>
      </c>
      <c r="D14" s="18" t="s">
        <v>81</v>
      </c>
      <c r="E14" s="12">
        <v>16984</v>
      </c>
      <c r="F14" s="12">
        <v>142482</v>
      </c>
      <c r="G14" s="18" t="s">
        <v>34</v>
      </c>
      <c r="H14" s="1">
        <v>43748</v>
      </c>
      <c r="I14" s="12">
        <v>17473</v>
      </c>
      <c r="J14" s="28">
        <f t="shared" si="1"/>
        <v>-2.798603559777943E-2</v>
      </c>
    </row>
    <row r="15" spans="1:10" x14ac:dyDescent="0.2">
      <c r="A15" s="27">
        <v>14</v>
      </c>
      <c r="B15" s="27">
        <v>15</v>
      </c>
      <c r="C15" s="18" t="s">
        <v>7</v>
      </c>
      <c r="D15" s="18" t="s">
        <v>17</v>
      </c>
      <c r="E15" s="12">
        <v>14441</v>
      </c>
      <c r="F15" s="12">
        <v>762030</v>
      </c>
      <c r="G15" s="18" t="s">
        <v>9</v>
      </c>
      <c r="H15" s="1">
        <v>43476</v>
      </c>
      <c r="I15" s="12">
        <v>12152</v>
      </c>
      <c r="J15" s="28">
        <f t="shared" si="1"/>
        <v>0.18836405529953917</v>
      </c>
    </row>
    <row r="16" spans="1:10" x14ac:dyDescent="0.2">
      <c r="A16" s="27">
        <v>15</v>
      </c>
      <c r="B16" s="27">
        <v>16</v>
      </c>
      <c r="C16" s="18" t="s">
        <v>7</v>
      </c>
      <c r="D16" s="4" t="s">
        <v>39</v>
      </c>
      <c r="E16" s="12">
        <v>11586</v>
      </c>
      <c r="F16" s="12">
        <v>1492935</v>
      </c>
      <c r="G16" s="18" t="s">
        <v>9</v>
      </c>
      <c r="H16" s="1">
        <v>42797</v>
      </c>
      <c r="I16" s="12">
        <v>11170</v>
      </c>
      <c r="J16" s="28">
        <f t="shared" si="1"/>
        <v>3.7242614145031334E-2</v>
      </c>
    </row>
    <row r="17" spans="1:10" x14ac:dyDescent="0.2">
      <c r="A17" s="27">
        <v>16</v>
      </c>
      <c r="B17" s="27">
        <v>17</v>
      </c>
      <c r="C17" s="18" t="s">
        <v>7</v>
      </c>
      <c r="D17" s="4" t="s">
        <v>25</v>
      </c>
      <c r="E17" s="12">
        <v>11208</v>
      </c>
      <c r="F17" s="12">
        <v>431790</v>
      </c>
      <c r="G17" s="18" t="s">
        <v>34</v>
      </c>
      <c r="H17" s="1">
        <v>43300</v>
      </c>
      <c r="I17" s="12">
        <v>10738</v>
      </c>
      <c r="J17" s="28">
        <f t="shared" si="1"/>
        <v>4.3769789532501394E-2</v>
      </c>
    </row>
    <row r="18" spans="1:10" x14ac:dyDescent="0.2">
      <c r="A18" s="27">
        <v>17</v>
      </c>
      <c r="B18" s="27">
        <v>19</v>
      </c>
      <c r="C18" s="18" t="s">
        <v>7</v>
      </c>
      <c r="D18" s="4" t="s">
        <v>26</v>
      </c>
      <c r="E18" s="12">
        <v>10045</v>
      </c>
      <c r="F18" s="12">
        <v>2057591</v>
      </c>
      <c r="G18" s="18" t="s">
        <v>9</v>
      </c>
      <c r="H18" s="1">
        <v>43035</v>
      </c>
      <c r="I18" s="12">
        <v>7632</v>
      </c>
      <c r="J18" s="28">
        <f t="shared" si="1"/>
        <v>0.31616876310272535</v>
      </c>
    </row>
    <row r="19" spans="1:10" x14ac:dyDescent="0.2">
      <c r="A19" s="27">
        <v>18</v>
      </c>
      <c r="B19" s="27">
        <v>14</v>
      </c>
      <c r="C19" s="18" t="s">
        <v>7</v>
      </c>
      <c r="D19" s="18" t="s">
        <v>82</v>
      </c>
      <c r="E19" s="12">
        <v>9486</v>
      </c>
      <c r="F19" s="12">
        <v>56382</v>
      </c>
      <c r="G19" s="18" t="s">
        <v>98</v>
      </c>
      <c r="H19" s="1">
        <v>43804</v>
      </c>
      <c r="I19" s="12">
        <v>12331</v>
      </c>
      <c r="J19" s="28">
        <f t="shared" si="1"/>
        <v>-0.23071932527775524</v>
      </c>
    </row>
    <row r="20" spans="1:10" x14ac:dyDescent="0.2">
      <c r="A20" s="27">
        <v>19</v>
      </c>
      <c r="B20" s="27">
        <v>22</v>
      </c>
      <c r="C20" s="18" t="s">
        <v>7</v>
      </c>
      <c r="D20" s="18" t="s">
        <v>83</v>
      </c>
      <c r="E20" s="12">
        <v>7973</v>
      </c>
      <c r="F20" s="12">
        <v>471672</v>
      </c>
      <c r="G20" s="18" t="s">
        <v>27</v>
      </c>
      <c r="H20" s="1">
        <v>43735</v>
      </c>
      <c r="I20" s="12">
        <v>7273</v>
      </c>
      <c r="J20" s="28">
        <f t="shared" si="1"/>
        <v>9.6246390760346481E-2</v>
      </c>
    </row>
    <row r="21" spans="1:10" x14ac:dyDescent="0.2">
      <c r="A21" s="27">
        <v>20</v>
      </c>
      <c r="B21" s="27">
        <v>25</v>
      </c>
      <c r="C21" s="18" t="s">
        <v>7</v>
      </c>
      <c r="D21" t="s">
        <v>84</v>
      </c>
      <c r="E21" s="12">
        <v>7696</v>
      </c>
      <c r="F21" s="12">
        <v>791570</v>
      </c>
      <c r="G21" s="18" t="s">
        <v>9</v>
      </c>
      <c r="H21" s="1">
        <v>43175</v>
      </c>
      <c r="I21" s="12">
        <v>5835</v>
      </c>
      <c r="J21" s="28">
        <f t="shared" si="1"/>
        <v>0.31893744644387317</v>
      </c>
    </row>
    <row r="22" spans="1:10" x14ac:dyDescent="0.2">
      <c r="A22" s="27">
        <v>21</v>
      </c>
      <c r="B22" s="27">
        <v>18</v>
      </c>
      <c r="C22" s="18" t="s">
        <v>7</v>
      </c>
      <c r="D22" t="s">
        <v>85</v>
      </c>
      <c r="E22" s="12">
        <v>7444</v>
      </c>
      <c r="F22" s="12">
        <v>217703</v>
      </c>
      <c r="G22" s="18" t="s">
        <v>32</v>
      </c>
      <c r="H22" s="1">
        <v>43643</v>
      </c>
      <c r="I22" s="12">
        <v>8375</v>
      </c>
      <c r="J22" s="28">
        <f t="shared" si="1"/>
        <v>-0.11116417910447761</v>
      </c>
    </row>
    <row r="23" spans="1:10" x14ac:dyDescent="0.2">
      <c r="A23" s="29">
        <v>22</v>
      </c>
      <c r="B23" s="30" t="s">
        <v>53</v>
      </c>
      <c r="C23" s="31" t="s">
        <v>8</v>
      </c>
      <c r="D23" s="32" t="s">
        <v>86</v>
      </c>
      <c r="E23" s="33">
        <v>6394</v>
      </c>
      <c r="F23" s="33">
        <v>126109</v>
      </c>
      <c r="G23" s="31" t="s">
        <v>32</v>
      </c>
      <c r="H23" s="34">
        <v>43720</v>
      </c>
      <c r="I23" s="33"/>
      <c r="J23" s="97"/>
    </row>
    <row r="24" spans="1:10" x14ac:dyDescent="0.2">
      <c r="A24" s="27">
        <v>23</v>
      </c>
      <c r="B24" s="27">
        <v>24</v>
      </c>
      <c r="C24" s="18" t="s">
        <v>7</v>
      </c>
      <c r="D24" s="18" t="s">
        <v>87</v>
      </c>
      <c r="E24" s="12">
        <v>6186</v>
      </c>
      <c r="F24" s="12">
        <v>50142</v>
      </c>
      <c r="G24" s="18" t="s">
        <v>96</v>
      </c>
      <c r="H24" s="1">
        <v>43735</v>
      </c>
      <c r="I24" s="12">
        <v>5838</v>
      </c>
      <c r="J24" s="28">
        <f>(E24-I24)/I24</f>
        <v>5.9609455292908529E-2</v>
      </c>
    </row>
    <row r="25" spans="1:10" x14ac:dyDescent="0.2">
      <c r="A25" s="29">
        <v>24</v>
      </c>
      <c r="B25" s="35" t="s">
        <v>53</v>
      </c>
      <c r="C25" s="31" t="s">
        <v>8</v>
      </c>
      <c r="D25" s="32" t="s">
        <v>88</v>
      </c>
      <c r="E25" s="33">
        <v>6046</v>
      </c>
      <c r="F25" s="33">
        <v>215127</v>
      </c>
      <c r="G25" s="31" t="s">
        <v>30</v>
      </c>
      <c r="H25" s="34">
        <v>43763</v>
      </c>
      <c r="I25" s="33"/>
      <c r="J25" s="97"/>
    </row>
    <row r="26" spans="1:10" x14ac:dyDescent="0.2">
      <c r="A26" s="29">
        <v>25</v>
      </c>
      <c r="B26" s="35" t="s">
        <v>53</v>
      </c>
      <c r="C26" s="31" t="s">
        <v>7</v>
      </c>
      <c r="D26" s="32" t="s">
        <v>89</v>
      </c>
      <c r="E26" s="33">
        <v>5950</v>
      </c>
      <c r="F26" s="33">
        <v>124032</v>
      </c>
      <c r="G26" s="31" t="s">
        <v>97</v>
      </c>
      <c r="H26" s="34">
        <v>43755</v>
      </c>
      <c r="I26" s="33"/>
      <c r="J26" s="97"/>
    </row>
    <row r="27" spans="1:10" x14ac:dyDescent="0.2">
      <c r="A27" s="29">
        <v>26</v>
      </c>
      <c r="B27" s="35" t="s">
        <v>53</v>
      </c>
      <c r="C27" s="31" t="s">
        <v>8</v>
      </c>
      <c r="D27" s="31" t="s">
        <v>91</v>
      </c>
      <c r="E27" s="33">
        <v>5948</v>
      </c>
      <c r="F27" s="33">
        <v>27163</v>
      </c>
      <c r="G27" s="31" t="s">
        <v>30</v>
      </c>
      <c r="H27" s="34">
        <v>43425</v>
      </c>
      <c r="I27" s="33"/>
      <c r="J27" s="97"/>
    </row>
    <row r="28" spans="1:10" x14ac:dyDescent="0.2">
      <c r="A28" s="27">
        <v>27</v>
      </c>
      <c r="B28" s="27">
        <v>27</v>
      </c>
      <c r="C28" s="18" t="s">
        <v>7</v>
      </c>
      <c r="D28" t="s">
        <v>90</v>
      </c>
      <c r="E28" s="12">
        <v>5879</v>
      </c>
      <c r="F28" s="12">
        <v>87370</v>
      </c>
      <c r="G28" s="18" t="s">
        <v>95</v>
      </c>
      <c r="H28" s="1">
        <v>43670</v>
      </c>
      <c r="I28" s="12">
        <v>5670</v>
      </c>
      <c r="J28" s="28">
        <f>(E28-I28)/I28</f>
        <v>3.6860670194003527E-2</v>
      </c>
    </row>
    <row r="29" spans="1:10" x14ac:dyDescent="0.2">
      <c r="A29" s="27">
        <v>28</v>
      </c>
      <c r="B29" s="27">
        <v>21</v>
      </c>
      <c r="C29" s="18" t="s">
        <v>8</v>
      </c>
      <c r="D29" s="18" t="s">
        <v>92</v>
      </c>
      <c r="E29" s="12">
        <v>5483</v>
      </c>
      <c r="F29" s="12">
        <v>166771</v>
      </c>
      <c r="G29" s="18" t="s">
        <v>95</v>
      </c>
      <c r="H29" s="1">
        <v>43811</v>
      </c>
      <c r="I29" s="12">
        <v>7380</v>
      </c>
      <c r="J29" s="28">
        <f>(E29-I29)/I29</f>
        <v>-0.2570460704607046</v>
      </c>
    </row>
    <row r="30" spans="1:10" x14ac:dyDescent="0.2">
      <c r="A30" s="29">
        <v>29</v>
      </c>
      <c r="B30" s="35" t="s">
        <v>53</v>
      </c>
      <c r="C30" s="31" t="s">
        <v>7</v>
      </c>
      <c r="D30" s="32" t="s">
        <v>93</v>
      </c>
      <c r="E30" s="33">
        <v>5425</v>
      </c>
      <c r="F30" s="33">
        <v>1690731</v>
      </c>
      <c r="G30" s="31" t="s">
        <v>42</v>
      </c>
      <c r="H30" s="34">
        <v>43420</v>
      </c>
      <c r="I30" s="33"/>
      <c r="J30" s="97"/>
    </row>
    <row r="31" spans="1:10" x14ac:dyDescent="0.2">
      <c r="A31" s="29">
        <v>30</v>
      </c>
      <c r="B31" s="35" t="s">
        <v>53</v>
      </c>
      <c r="C31" s="31" t="s">
        <v>7</v>
      </c>
      <c r="D31" s="32" t="s">
        <v>94</v>
      </c>
      <c r="E31" s="33">
        <v>5423</v>
      </c>
      <c r="F31" s="33">
        <v>67645</v>
      </c>
      <c r="G31" s="31" t="s">
        <v>32</v>
      </c>
      <c r="H31" s="34">
        <v>43433</v>
      </c>
      <c r="I31" s="33"/>
      <c r="J31" s="97"/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59</v>
      </c>
      <c r="E33" s="2">
        <f>SUM(E2:E31)</f>
        <v>781321</v>
      </c>
      <c r="F33" s="2"/>
      <c r="I33" s="2"/>
      <c r="J33" s="19"/>
    </row>
    <row r="34" spans="1:10" x14ac:dyDescent="0.2">
      <c r="A34" s="3"/>
      <c r="B34" s="3"/>
      <c r="D34" s="2" t="s">
        <v>60</v>
      </c>
      <c r="E34" s="2">
        <f>AVERAGE(E2:E31)</f>
        <v>26044.033333333333</v>
      </c>
      <c r="F34" s="2"/>
      <c r="I34" s="2"/>
      <c r="J34" s="19"/>
    </row>
    <row r="35" spans="1:10" x14ac:dyDescent="0.2">
      <c r="A35" s="3"/>
      <c r="B35" s="3"/>
      <c r="D35" s="9" t="s">
        <v>78</v>
      </c>
      <c r="E35" s="10">
        <f>COUNTIF(B:B,"New")</f>
        <v>0</v>
      </c>
      <c r="F35" s="2"/>
      <c r="I35" s="2"/>
      <c r="J35" s="19"/>
    </row>
    <row r="36" spans="1:10" x14ac:dyDescent="0.2">
      <c r="A36" s="3"/>
      <c r="B36" s="3"/>
      <c r="E36" s="2"/>
      <c r="F36" s="2"/>
      <c r="I36" s="2"/>
      <c r="J36" s="19"/>
    </row>
    <row r="37" spans="1:10" x14ac:dyDescent="0.2">
      <c r="A37" s="3"/>
      <c r="B37" s="3"/>
      <c r="D37" t="s">
        <v>66</v>
      </c>
      <c r="E37" s="2"/>
      <c r="F37" s="2"/>
      <c r="I37" s="2"/>
      <c r="J37" s="19"/>
    </row>
    <row r="38" spans="1:10" x14ac:dyDescent="0.2">
      <c r="A38" s="3"/>
      <c r="B38" s="3"/>
      <c r="D38" s="8" t="s">
        <v>67</v>
      </c>
      <c r="E38" s="2"/>
      <c r="F38" s="2"/>
      <c r="I38" s="2"/>
      <c r="J38" s="19"/>
    </row>
    <row r="39" spans="1:10" x14ac:dyDescent="0.2">
      <c r="A39" s="3"/>
      <c r="B39" s="3"/>
      <c r="D39" s="8" t="s">
        <v>65</v>
      </c>
      <c r="E39" s="2"/>
      <c r="F39" s="2"/>
      <c r="I39" s="2"/>
      <c r="J39" s="19"/>
    </row>
    <row r="40" spans="1:10" x14ac:dyDescent="0.2">
      <c r="A40" s="3"/>
      <c r="B40" s="3"/>
      <c r="D40" s="8" t="s">
        <v>71</v>
      </c>
      <c r="E40" s="2"/>
      <c r="F40" s="2"/>
      <c r="I40" s="2"/>
      <c r="J40" s="19"/>
    </row>
    <row r="41" spans="1:10" x14ac:dyDescent="0.2">
      <c r="I41" s="2"/>
    </row>
    <row r="42" spans="1:10" x14ac:dyDescent="0.2">
      <c r="I42" s="2"/>
    </row>
    <row r="43" spans="1:10" x14ac:dyDescent="0.2">
      <c r="I43" s="2"/>
    </row>
  </sheetData>
  <hyperlinks>
    <hyperlink ref="D40" r:id="rId1" xr:uid="{0DE96593-5A4E-C949-8AF6-F7D3E8036782}"/>
    <hyperlink ref="D39" r:id="rId2" xr:uid="{2717A3FC-EAD7-8E4E-BBE1-1B20EBF78CCA}"/>
    <hyperlink ref="D38" r:id="rId3" xr:uid="{5C8168DE-1A1F-114D-BE31-9BC61F8CC9CD}"/>
  </hyperlinks>
  <pageMargins left="0.7" right="0.7" top="0.75" bottom="0.75" header="0.3" footer="0.3"/>
  <pageSetup paperSize="9" orientation="portrait" horizontalDpi="0" verticalDpi="0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3019B-99D9-6C40-AE65-FD97E682C45F}">
  <dimension ref="A1:K41"/>
  <sheetViews>
    <sheetView workbookViewId="0">
      <selection activeCell="E11" sqref="E11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3.83203125" bestFit="1" customWidth="1"/>
    <col min="6" max="6" width="10.1640625" bestFit="1" customWidth="1"/>
    <col min="7" max="7" width="20.66406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0" x14ac:dyDescent="0.2">
      <c r="A2" s="13">
        <v>1</v>
      </c>
      <c r="B2" s="9" t="s">
        <v>36</v>
      </c>
      <c r="C2" s="9" t="s">
        <v>7</v>
      </c>
      <c r="D2" s="9" t="s">
        <v>209</v>
      </c>
      <c r="E2" s="10">
        <v>138548</v>
      </c>
      <c r="F2" s="10">
        <f>SUMIFS('Week 9 Feb 24 - Mar 1 2020'!F:F,'Week 9 Feb 24 - Mar 1 2020'!D:D,'Week 10 Mar 2 - Mar 8 2020'!D:D,'Week 9 Feb 24 - Mar 1 2020'!C:C,'Week 10 Mar 2 - Mar 8 2020'!C:C)+Table36119101355[[#This Row],[Week Sales]]</f>
        <v>138548</v>
      </c>
      <c r="G2" s="9" t="s">
        <v>42</v>
      </c>
      <c r="H2" s="14">
        <v>43896</v>
      </c>
      <c r="I2" s="10" t="s">
        <v>36</v>
      </c>
      <c r="J2" s="92" t="str">
        <f>IFERROR((E2-I2)/I2,"New")</f>
        <v>New</v>
      </c>
    </row>
    <row r="3" spans="1:10" x14ac:dyDescent="0.2">
      <c r="A3" s="25">
        <v>2</v>
      </c>
      <c r="B3" s="18">
        <v>1</v>
      </c>
      <c r="C3" s="18" t="s">
        <v>7</v>
      </c>
      <c r="D3" t="s">
        <v>62</v>
      </c>
      <c r="E3" s="12">
        <v>20679</v>
      </c>
      <c r="F3" s="12">
        <f>SUMIFS('Week 9 Feb 24 - Mar 1 2020'!F:F,'Week 9 Feb 24 - Mar 1 2020'!D:D,'Week 10 Mar 2 - Mar 8 2020'!D:D,'Week 9 Feb 24 - Mar 1 2020'!C:C,'Week 10 Mar 2 - Mar 8 2020'!C:C)+Table36119101355[[#This Row],[Week Sales]]</f>
        <v>3491353</v>
      </c>
      <c r="G3" s="18" t="str">
        <f>(VLOOKUP(D:D,'Week 9 Feb 24 - Mar 1 2020'!D:G,4,FALSE))</f>
        <v>The Pokemon Company</v>
      </c>
      <c r="H3" s="67">
        <f>(VLOOKUP(D:D,'Week 9 Feb 24 - Mar 1 2020'!D:H,5,FALSE))</f>
        <v>43784</v>
      </c>
      <c r="I3" s="12">
        <f>_xlfn.IFNA(SUMIFS('Week 9 Feb 24 - Mar 1 2020'!E:E,'Week 9 Feb 24 - Mar 1 2020'!D:D,'Week 10 Mar 2 - Mar 8 2020'!D:D,'Week 9 Feb 24 - Mar 1 2020'!C:C,'Week 10 Mar 2 - Mar 8 2020'!C:C),"New")</f>
        <v>24886</v>
      </c>
      <c r="J3" s="28">
        <f t="shared" ref="J3:J8" si="0">IFERROR((E3-I3)/I3,"New")</f>
        <v>-0.16905087197621152</v>
      </c>
    </row>
    <row r="4" spans="1:10" x14ac:dyDescent="0.2">
      <c r="A4" s="25">
        <v>3</v>
      </c>
      <c r="B4" s="18">
        <v>3</v>
      </c>
      <c r="C4" s="18" t="s">
        <v>7</v>
      </c>
      <c r="D4" t="s">
        <v>12</v>
      </c>
      <c r="E4" s="12">
        <v>12933</v>
      </c>
      <c r="F4" s="12">
        <f>SUMIFS('Week 9 Feb 24 - Mar 1 2020'!F:F,'Week 9 Feb 24 - Mar 1 2020'!D:D,'Week 10 Mar 2 - Mar 8 2020'!D:D,'Week 9 Feb 24 - Mar 1 2020'!C:C,'Week 10 Mar 2 - Mar 8 2020'!C:C)+Table36119101355[[#This Row],[Week Sales]]</f>
        <v>1298028</v>
      </c>
      <c r="G4" s="18" t="str">
        <f>(VLOOKUP(D:D,'Week 9 Feb 24 - Mar 1 2020'!D:G,4,FALSE))</f>
        <v>Microsoft</v>
      </c>
      <c r="H4" s="67">
        <f>(VLOOKUP(D:D,'Week 9 Feb 24 - Mar 1 2020'!D:H,5,FALSE))</f>
        <v>43272</v>
      </c>
      <c r="I4" s="12">
        <f>_xlfn.IFNA(SUMIFS('Week 9 Feb 24 - Mar 1 2020'!E:E,'Week 9 Feb 24 - Mar 1 2020'!D:D,'Week 10 Mar 2 - Mar 8 2020'!D:D,'Week 9 Feb 24 - Mar 1 2020'!C:C,'Week 10 Mar 2 - Mar 8 2020'!C:C),"New")</f>
        <v>12510</v>
      </c>
      <c r="J4" s="28">
        <f t="shared" si="0"/>
        <v>3.3812949640287769E-2</v>
      </c>
    </row>
    <row r="5" spans="1:10" x14ac:dyDescent="0.2">
      <c r="A5" s="25">
        <v>4</v>
      </c>
      <c r="B5" s="18">
        <v>4</v>
      </c>
      <c r="C5" s="18" t="s">
        <v>7</v>
      </c>
      <c r="D5" t="s">
        <v>49</v>
      </c>
      <c r="E5" s="12">
        <v>12751</v>
      </c>
      <c r="F5" s="12">
        <f>SUMIFS('Week 9 Feb 24 - Mar 1 2020'!F:F,'Week 9 Feb 24 - Mar 1 2020'!D:D,'Week 10 Mar 2 - Mar 8 2020'!D:D,'Week 9 Feb 24 - Mar 1 2020'!C:C,'Week 10 Mar 2 - Mar 8 2020'!C:C)+Table36119101355[[#This Row],[Week Sales]]</f>
        <v>2805986</v>
      </c>
      <c r="G5" s="18" t="str">
        <f>(VLOOKUP(D:D,'Week 9 Feb 24 - Mar 1 2020'!D:G,4,FALSE))</f>
        <v>Nintendo</v>
      </c>
      <c r="H5" s="67">
        <f>(VLOOKUP(D:D,'Week 9 Feb 24 - Mar 1 2020'!D:H,5,FALSE))</f>
        <v>42853</v>
      </c>
      <c r="I5" s="12">
        <f>_xlfn.IFNA(SUMIFS('Week 9 Feb 24 - Mar 1 2020'!E:E,'Week 9 Feb 24 - Mar 1 2020'!D:D,'Week 10 Mar 2 - Mar 8 2020'!D:D,'Week 9 Feb 24 - Mar 1 2020'!C:C,'Week 10 Mar 2 - Mar 8 2020'!C:C),"New")</f>
        <v>11958</v>
      </c>
      <c r="J5" s="28">
        <f>IFERROR((E5-I5)/I5,"New")</f>
        <v>6.6315437364107707E-2</v>
      </c>
    </row>
    <row r="6" spans="1:10" x14ac:dyDescent="0.2">
      <c r="A6" s="25">
        <v>5</v>
      </c>
      <c r="B6" s="18">
        <v>5</v>
      </c>
      <c r="C6" s="18" t="s">
        <v>7</v>
      </c>
      <c r="D6" t="s">
        <v>52</v>
      </c>
      <c r="E6" s="12">
        <v>11319</v>
      </c>
      <c r="F6" s="12">
        <f>SUMIFS('Week 9 Feb 24 - Mar 1 2020'!F:F,'Week 9 Feb 24 - Mar 1 2020'!D:D,'Week 10 Mar 2 - Mar 8 2020'!D:D,'Week 9 Feb 24 - Mar 1 2020'!C:C,'Week 10 Mar 2 - Mar 8 2020'!C:C)+Table36119101355[[#This Row],[Week Sales]]</f>
        <v>3592374</v>
      </c>
      <c r="G6" s="18" t="str">
        <f>(VLOOKUP(D:D,'Week 9 Feb 24 - Mar 1 2020'!D:G,4,FALSE))</f>
        <v>Nintendo</v>
      </c>
      <c r="H6" s="67">
        <f>(VLOOKUP(D:D,'Week 9 Feb 24 - Mar 1 2020'!D:H,5,FALSE))</f>
        <v>43441</v>
      </c>
      <c r="I6" s="12">
        <f>_xlfn.IFNA(SUMIFS('Week 9 Feb 24 - Mar 1 2020'!E:E,'Week 9 Feb 24 - Mar 1 2020'!D:D,'Week 10 Mar 2 - Mar 8 2020'!D:D,'Week 9 Feb 24 - Mar 1 2020'!C:C,'Week 10 Mar 2 - Mar 8 2020'!C:C),"New")</f>
        <v>11635</v>
      </c>
      <c r="J6" s="28">
        <f t="shared" si="0"/>
        <v>-2.7159432746024923E-2</v>
      </c>
    </row>
    <row r="7" spans="1:10" x14ac:dyDescent="0.2">
      <c r="A7" s="25">
        <v>6</v>
      </c>
      <c r="B7" s="18">
        <v>7</v>
      </c>
      <c r="C7" s="18" t="s">
        <v>7</v>
      </c>
      <c r="D7" t="s">
        <v>45</v>
      </c>
      <c r="E7" s="12">
        <v>10067</v>
      </c>
      <c r="F7" s="12">
        <f>SUMIFS('Week 9 Feb 24 - Mar 1 2020'!F:F,'Week 9 Feb 24 - Mar 1 2020'!D:D,'Week 10 Mar 2 - Mar 8 2020'!D:D,'Week 9 Feb 24 - Mar 1 2020'!C:C,'Week 10 Mar 2 - Mar 8 2020'!C:C)+Table36119101355[[#This Row],[Week Sales]]</f>
        <v>715030</v>
      </c>
      <c r="G7" s="18" t="str">
        <f>(VLOOKUP(D:D,'Week 9 Feb 24 - Mar 1 2020'!D:G,4,FALSE))</f>
        <v>Nintendo</v>
      </c>
      <c r="H7" s="67">
        <f>(VLOOKUP(D:D,'Week 9 Feb 24 - Mar 1 2020'!D:H,5,FALSE))</f>
        <v>43756</v>
      </c>
      <c r="I7" s="12">
        <f>_xlfn.IFNA(SUMIFS('Week 9 Feb 24 - Mar 1 2020'!E:E,'Week 9 Feb 24 - Mar 1 2020'!D:D,'Week 10 Mar 2 - Mar 8 2020'!D:D,'Week 9 Feb 24 - Mar 1 2020'!C:C,'Week 10 Mar 2 - Mar 8 2020'!C:C),"New")</f>
        <v>8958</v>
      </c>
      <c r="J7" s="28">
        <f>IFERROR((E7-I7)/I7,"New")</f>
        <v>0.12379995534717571</v>
      </c>
    </row>
    <row r="8" spans="1:10" x14ac:dyDescent="0.2">
      <c r="A8" s="25">
        <v>7</v>
      </c>
      <c r="B8" s="18">
        <v>2</v>
      </c>
      <c r="C8" s="18" t="s">
        <v>8</v>
      </c>
      <c r="D8" t="s">
        <v>195</v>
      </c>
      <c r="E8" s="12">
        <v>8109</v>
      </c>
      <c r="F8" s="12">
        <f>SUMIFS('Week 9 Feb 24 - Mar 1 2020'!F:F,'Week 9 Feb 24 - Mar 1 2020'!D:D,'Week 10 Mar 2 - Mar 8 2020'!D:D,'Week 9 Feb 24 - Mar 1 2020'!C:C,'Week 10 Mar 2 - Mar 8 2020'!C:C)+Table36119101355[[#This Row],[Week Sales]]</f>
        <v>143608</v>
      </c>
      <c r="G8" s="18" t="str">
        <f>(VLOOKUP(D:D,'Week 9 Feb 24 - Mar 1 2020'!D:G,4,FALSE))</f>
        <v>Atlus</v>
      </c>
      <c r="H8" s="67">
        <f>(VLOOKUP(D:D,'Week 9 Feb 24 - Mar 1 2020'!D:H,5,FALSE))</f>
        <v>43881</v>
      </c>
      <c r="I8" s="12">
        <f>_xlfn.IFNA(SUMIFS('Week 9 Feb 24 - Mar 1 2020'!E:E,'Week 9 Feb 24 - Mar 1 2020'!D:D,'Week 10 Mar 2 - Mar 8 2020'!D:D,'Week 9 Feb 24 - Mar 1 2020'!C:C,'Week 10 Mar 2 - Mar 8 2020'!C:C),"New")</f>
        <v>19504</v>
      </c>
      <c r="J8" s="28">
        <f t="shared" si="0"/>
        <v>-0.58423913043478259</v>
      </c>
    </row>
    <row r="9" spans="1:10" x14ac:dyDescent="0.2">
      <c r="A9" s="25">
        <v>8</v>
      </c>
      <c r="B9" s="18">
        <v>9</v>
      </c>
      <c r="C9" s="18" t="s">
        <v>7</v>
      </c>
      <c r="D9" t="s">
        <v>13</v>
      </c>
      <c r="E9" s="12">
        <v>7774</v>
      </c>
      <c r="F9" s="12">
        <f>SUMIFS('Week 9 Feb 24 - Mar 1 2020'!F:F,'Week 9 Feb 24 - Mar 1 2020'!D:D,'Week 10 Mar 2 - Mar 8 2020'!D:D,'Week 9 Feb 24 - Mar 1 2020'!C:C,'Week 10 Mar 2 - Mar 8 2020'!C:C)+Table36119101355[[#This Row],[Week Sales]]</f>
        <v>1362328</v>
      </c>
      <c r="G9" s="18" t="str">
        <f>(VLOOKUP(D:D,'Week 9 Feb 24 - Mar 1 2020'!D:G,4,FALSE))</f>
        <v>Nintendo</v>
      </c>
      <c r="H9" s="67">
        <f>(VLOOKUP(D:D,'Week 9 Feb 24 - Mar 1 2020'!D:H,5,FALSE))</f>
        <v>43378</v>
      </c>
      <c r="I9" s="12">
        <f>_xlfn.IFNA(SUMIFS('Week 9 Feb 24 - Mar 1 2020'!E:E,'Week 9 Feb 24 - Mar 1 2020'!D:D,'Week 10 Mar 2 - Mar 8 2020'!D:D,'Week 9 Feb 24 - Mar 1 2020'!C:C,'Week 10 Mar 2 - Mar 8 2020'!C:C),"New")</f>
        <v>7650</v>
      </c>
      <c r="J9" s="28">
        <f>IFERROR((E9-I9)/I9,"New")</f>
        <v>1.6209150326797386E-2</v>
      </c>
    </row>
    <row r="10" spans="1:10" x14ac:dyDescent="0.2">
      <c r="A10" s="25">
        <v>9</v>
      </c>
      <c r="B10" s="18">
        <v>12</v>
      </c>
      <c r="C10" s="18" t="s">
        <v>7</v>
      </c>
      <c r="D10" t="s">
        <v>10</v>
      </c>
      <c r="E10" s="12">
        <v>7293</v>
      </c>
      <c r="F10" s="12">
        <f>SUMIFS('Week 9 Feb 24 - Mar 1 2020'!F:F,'Week 9 Feb 24 - Mar 1 2020'!D:D,'Week 10 Mar 2 - Mar 8 2020'!D:D,'Week 9 Feb 24 - Mar 1 2020'!C:C,'Week 10 Mar 2 - Mar 8 2020'!C:C)+Table36119101355[[#This Row],[Week Sales]]</f>
        <v>3335123</v>
      </c>
      <c r="G10" s="18" t="str">
        <f>(VLOOKUP(D:D,'Week 9 Feb 24 - Mar 1 2020'!D:G,4,FALSE))</f>
        <v>Nintendo</v>
      </c>
      <c r="H10" s="67">
        <f>(VLOOKUP(D:D,'Week 9 Feb 24 - Mar 1 2020'!D:H,5,FALSE))</f>
        <v>42937</v>
      </c>
      <c r="I10" s="12">
        <f>_xlfn.IFNA(SUMIFS('Week 9 Feb 24 - Mar 1 2020'!E:E,'Week 9 Feb 24 - Mar 1 2020'!D:D,'Week 10 Mar 2 - Mar 8 2020'!D:D,'Week 9 Feb 24 - Mar 1 2020'!C:C,'Week 10 Mar 2 - Mar 8 2020'!C:C),"New")</f>
        <v>6798</v>
      </c>
      <c r="J10" s="28">
        <f t="shared" ref="J10:J22" si="1">IFERROR((E10-I10)/I10,"New")</f>
        <v>7.281553398058252E-2</v>
      </c>
    </row>
    <row r="11" spans="1:10" x14ac:dyDescent="0.2">
      <c r="A11" s="25">
        <v>10</v>
      </c>
      <c r="B11" s="18">
        <v>10</v>
      </c>
      <c r="C11" s="18" t="s">
        <v>7</v>
      </c>
      <c r="D11" t="s">
        <v>16</v>
      </c>
      <c r="E11" s="12">
        <v>6394</v>
      </c>
      <c r="F11" s="12">
        <f>SUMIFS('Week 9 Feb 24 - Mar 1 2020'!F:F,'Week 9 Feb 24 - Mar 1 2020'!D:D,'Week 10 Mar 2 - Mar 8 2020'!D:D,'Week 9 Feb 24 - Mar 1 2020'!C:C,'Week 10 Mar 2 - Mar 8 2020'!C:C)+Table36119101355[[#This Row],[Week Sales]]</f>
        <v>171725</v>
      </c>
      <c r="G11" s="18" t="str">
        <f>(VLOOKUP(D:D,'Week 9 Feb 24 - Mar 1 2020'!D:G,4,FALSE))</f>
        <v>Nintendo</v>
      </c>
      <c r="H11" s="67">
        <f>(VLOOKUP(D:D,'Week 9 Feb 24 - Mar 1 2020'!D:H,5,FALSE))</f>
        <v>43826</v>
      </c>
      <c r="I11" s="12">
        <f>_xlfn.IFNA(SUMIFS('Week 9 Feb 24 - Mar 1 2020'!E:E,'Week 9 Feb 24 - Mar 1 2020'!D:D,'Week 10 Mar 2 - Mar 8 2020'!D:D,'Week 9 Feb 24 - Mar 1 2020'!C:C,'Week 10 Mar 2 - Mar 8 2020'!C:C),"New")</f>
        <v>7644</v>
      </c>
      <c r="J11" s="28">
        <f t="shared" si="1"/>
        <v>-0.16352694924123495</v>
      </c>
    </row>
    <row r="12" spans="1:10" x14ac:dyDescent="0.2">
      <c r="A12" s="25">
        <v>11</v>
      </c>
      <c r="B12" s="18">
        <v>14</v>
      </c>
      <c r="C12" s="18" t="s">
        <v>7</v>
      </c>
      <c r="D12" t="s">
        <v>39</v>
      </c>
      <c r="E12" s="12">
        <v>5785</v>
      </c>
      <c r="F12" s="12">
        <f>SUMIFS('Week 9 Feb 24 - Mar 1 2020'!F:F,'Week 9 Feb 24 - Mar 1 2020'!D:D,'Week 10 Mar 2 - Mar 8 2020'!D:D,'Week 9 Feb 24 - Mar 1 2020'!C:C,'Week 10 Mar 2 - Mar 8 2020'!C:C)+Table36119101355[[#This Row],[Week Sales]]</f>
        <v>1536624</v>
      </c>
      <c r="G12" s="18" t="str">
        <f>(VLOOKUP(D:D,'Week 9 Feb 24 - Mar 1 2020'!D:G,4,FALSE))</f>
        <v>Nintendo</v>
      </c>
      <c r="H12" s="67">
        <f>(VLOOKUP(D:D,'Week 9 Feb 24 - Mar 1 2020'!D:H,5,FALSE))</f>
        <v>42797</v>
      </c>
      <c r="I12" s="12">
        <f>_xlfn.IFNA(SUMIFS('Week 9 Feb 24 - Mar 1 2020'!E:E,'Week 9 Feb 24 - Mar 1 2020'!D:D,'Week 10 Mar 2 - Mar 8 2020'!D:D,'Week 9 Feb 24 - Mar 1 2020'!C:C,'Week 10 Mar 2 - Mar 8 2020'!C:C),"New")</f>
        <v>5747</v>
      </c>
      <c r="J12" s="28">
        <f t="shared" si="1"/>
        <v>6.6121454672002783E-3</v>
      </c>
    </row>
    <row r="13" spans="1:10" x14ac:dyDescent="0.2">
      <c r="A13" s="13">
        <v>12</v>
      </c>
      <c r="B13" s="9" t="s">
        <v>36</v>
      </c>
      <c r="C13" s="9" t="s">
        <v>7</v>
      </c>
      <c r="D13" s="9" t="s">
        <v>210</v>
      </c>
      <c r="E13" s="10">
        <v>5515</v>
      </c>
      <c r="F13" s="10">
        <f>SUMIFS('Week 9 Feb 24 - Mar 1 2020'!F:F,'Week 9 Feb 24 - Mar 1 2020'!D:D,'Week 10 Mar 2 - Mar 8 2020'!D:D,'Week 9 Feb 24 - Mar 1 2020'!C:C,'Week 10 Mar 2 - Mar 8 2020'!C:C)+Table36119101355[[#This Row],[Week Sales]]</f>
        <v>5515</v>
      </c>
      <c r="G13" s="9" t="s">
        <v>212</v>
      </c>
      <c r="H13" s="14">
        <v>43895</v>
      </c>
      <c r="I13" s="10" t="s">
        <v>36</v>
      </c>
      <c r="J13" s="92" t="str">
        <f t="shared" si="1"/>
        <v>New</v>
      </c>
    </row>
    <row r="14" spans="1:10" x14ac:dyDescent="0.2">
      <c r="A14" s="25">
        <v>13</v>
      </c>
      <c r="B14" s="18">
        <v>15</v>
      </c>
      <c r="C14" s="18" t="s">
        <v>7</v>
      </c>
      <c r="D14" t="s">
        <v>19</v>
      </c>
      <c r="E14" s="12">
        <v>4889</v>
      </c>
      <c r="F14" s="12">
        <f>SUMIFS('Week 9 Feb 24 - Mar 1 2020'!F:F,'Week 9 Feb 24 - Mar 1 2020'!D:D,'Week 10 Mar 2 - Mar 8 2020'!D:D,'Week 9 Feb 24 - Mar 1 2020'!C:C,'Week 10 Mar 2 - Mar 8 2020'!C:C)+Table36119101355[[#This Row],[Week Sales]]</f>
        <v>869234</v>
      </c>
      <c r="G14" s="18" t="str">
        <f>(VLOOKUP(D:D,'Week 9 Feb 24 - Mar 1 2020'!D:G,4,FALSE))</f>
        <v>Nintendo</v>
      </c>
      <c r="H14" s="67">
        <f>(VLOOKUP(D:D,'Week 9 Feb 24 - Mar 1 2020'!D:H,5,FALSE))</f>
        <v>43644</v>
      </c>
      <c r="I14" s="12">
        <f>_xlfn.IFNA(SUMIFS('Week 9 Feb 24 - Mar 1 2020'!E:E,'Week 9 Feb 24 - Mar 1 2020'!D:D,'Week 10 Mar 2 - Mar 8 2020'!D:D,'Week 9 Feb 24 - Mar 1 2020'!C:C,'Week 10 Mar 2 - Mar 8 2020'!C:C),"New")</f>
        <v>4971</v>
      </c>
      <c r="J14" s="28">
        <f t="shared" si="1"/>
        <v>-1.6495674914504124E-2</v>
      </c>
    </row>
    <row r="15" spans="1:10" x14ac:dyDescent="0.2">
      <c r="A15" s="25">
        <v>14</v>
      </c>
      <c r="B15" s="18">
        <v>16</v>
      </c>
      <c r="C15" s="18" t="s">
        <v>7</v>
      </c>
      <c r="D15" t="s">
        <v>79</v>
      </c>
      <c r="E15" s="12">
        <v>4835</v>
      </c>
      <c r="F15" s="12">
        <f>SUMIFS('Week 9 Feb 24 - Mar 1 2020'!F:F,'Week 9 Feb 24 - Mar 1 2020'!D:D,'Week 10 Mar 2 - Mar 8 2020'!D:D,'Week 9 Feb 24 - Mar 1 2020'!C:C,'Week 10 Mar 2 - Mar 8 2020'!C:C)+Table36119101355[[#This Row],[Week Sales]]</f>
        <v>612338</v>
      </c>
      <c r="G15" s="18" t="str">
        <f>(VLOOKUP(D:D,'Week 9 Feb 24 - Mar 1 2020'!D:G,4,FALSE))</f>
        <v>Nintendo</v>
      </c>
      <c r="H15" s="67">
        <f>(VLOOKUP(D:D,'Week 9 Feb 24 - Mar 1 2020'!D:H,5,FALSE))</f>
        <v>43769</v>
      </c>
      <c r="I15" s="12">
        <f>_xlfn.IFNA(SUMIFS('Week 9 Feb 24 - Mar 1 2020'!E:E,'Week 9 Feb 24 - Mar 1 2020'!D:D,'Week 10 Mar 2 - Mar 8 2020'!D:D,'Week 9 Feb 24 - Mar 1 2020'!C:C,'Week 10 Mar 2 - Mar 8 2020'!C:C),"New")</f>
        <v>4774</v>
      </c>
      <c r="J15" s="28">
        <f t="shared" si="1"/>
        <v>1.2777545035609551E-2</v>
      </c>
    </row>
    <row r="16" spans="1:10" x14ac:dyDescent="0.2">
      <c r="A16" s="25">
        <v>15</v>
      </c>
      <c r="B16" s="18">
        <v>8</v>
      </c>
      <c r="C16" s="18" t="s">
        <v>7</v>
      </c>
      <c r="D16" t="s">
        <v>195</v>
      </c>
      <c r="E16" s="12">
        <v>4755</v>
      </c>
      <c r="F16" s="12">
        <f>SUMIFS('Week 9 Feb 24 - Mar 1 2020'!F:F,'Week 9 Feb 24 - Mar 1 2020'!D:D,'Week 10 Mar 2 - Mar 8 2020'!D:D,'Week 9 Feb 24 - Mar 1 2020'!C:C,'Week 10 Mar 2 - Mar 8 2020'!C:C)+Table36119101355[[#This Row],[Week Sales]]</f>
        <v>60059</v>
      </c>
      <c r="G16" s="18" t="str">
        <f>(VLOOKUP(D:D,'Week 9 Feb 24 - Mar 1 2020'!D:G,4,FALSE))</f>
        <v>Atlus</v>
      </c>
      <c r="H16" s="67">
        <f>(VLOOKUP(D:D,'Week 9 Feb 24 - Mar 1 2020'!D:H,5,FALSE))</f>
        <v>43881</v>
      </c>
      <c r="I16" s="12">
        <f>_xlfn.IFNA(SUMIFS('Week 9 Feb 24 - Mar 1 2020'!E:E,'Week 9 Feb 24 - Mar 1 2020'!D:D,'Week 10 Mar 2 - Mar 8 2020'!D:D,'Week 9 Feb 24 - Mar 1 2020'!C:C,'Week 10 Mar 2 - Mar 8 2020'!C:C),"New")</f>
        <v>8889</v>
      </c>
      <c r="J16" s="28">
        <f t="shared" si="1"/>
        <v>-0.46506918663516705</v>
      </c>
    </row>
    <row r="17" spans="1:11" x14ac:dyDescent="0.2">
      <c r="A17" s="25">
        <v>16</v>
      </c>
      <c r="B17" s="18">
        <v>17</v>
      </c>
      <c r="C17" s="18" t="s">
        <v>7</v>
      </c>
      <c r="D17" t="s">
        <v>17</v>
      </c>
      <c r="E17" s="12">
        <v>4733</v>
      </c>
      <c r="F17" s="12">
        <f>SUMIFS('Week 9 Feb 24 - Mar 1 2020'!F:F,'Week 9 Feb 24 - Mar 1 2020'!D:D,'Week 10 Mar 2 - Mar 8 2020'!D:D,'Week 9 Feb 24 - Mar 1 2020'!C:C,'Week 10 Mar 2 - Mar 8 2020'!C:C)+Table36119101355[[#This Row],[Week Sales]]</f>
        <v>792986</v>
      </c>
      <c r="G17" s="18" t="str">
        <f>(VLOOKUP(D:D,'Week 9 Feb 24 - Mar 1 2020'!D:G,4,FALSE))</f>
        <v>Nintendo</v>
      </c>
      <c r="H17" s="67">
        <f>(VLOOKUP(D:D,'Week 9 Feb 24 - Mar 1 2020'!D:H,5,FALSE))</f>
        <v>43476</v>
      </c>
      <c r="I17" s="12">
        <f>_xlfn.IFNA(SUMIFS('Week 9 Feb 24 - Mar 1 2020'!E:E,'Week 9 Feb 24 - Mar 1 2020'!D:D,'Week 10 Mar 2 - Mar 8 2020'!D:D,'Week 9 Feb 24 - Mar 1 2020'!C:C,'Week 10 Mar 2 - Mar 8 2020'!C:C),"New")</f>
        <v>4571</v>
      </c>
      <c r="J17" s="28">
        <f t="shared" si="1"/>
        <v>3.5440822577116601E-2</v>
      </c>
    </row>
    <row r="18" spans="1:11" x14ac:dyDescent="0.2">
      <c r="A18" s="25">
        <v>17</v>
      </c>
      <c r="B18" s="18">
        <v>20</v>
      </c>
      <c r="C18" s="18" t="s">
        <v>7</v>
      </c>
      <c r="D18" t="s">
        <v>192</v>
      </c>
      <c r="E18" s="12">
        <v>4621</v>
      </c>
      <c r="F18" s="12">
        <f>SUMIFS('Week 9 Feb 24 - Mar 1 2020'!F:F,'Week 9 Feb 24 - Mar 1 2020'!D:D,'Week 10 Mar 2 - Mar 8 2020'!D:D,'Week 9 Feb 24 - Mar 1 2020'!C:C,'Week 10 Mar 2 - Mar 8 2020'!C:C)+Table36119101355[[#This Row],[Week Sales]]</f>
        <v>71162</v>
      </c>
      <c r="G18" s="18" t="str">
        <f>(VLOOKUP(D:D,'Week 9 Feb 24 - Mar 1 2020'!D:G,4,FALSE))</f>
        <v>Sega</v>
      </c>
      <c r="H18" s="67">
        <f>(VLOOKUP(D:D,'Week 9 Feb 24 - Mar 1 2020'!D:H,5,FALSE))</f>
        <v>43874</v>
      </c>
      <c r="I18" s="12">
        <f>_xlfn.IFNA(SUMIFS('Week 9 Feb 24 - Mar 1 2020'!E:E,'Week 9 Feb 24 - Mar 1 2020'!D:D,'Week 10 Mar 2 - Mar 8 2020'!D:D,'Week 9 Feb 24 - Mar 1 2020'!C:C,'Week 10 Mar 2 - Mar 8 2020'!C:C),"New")</f>
        <v>4467</v>
      </c>
      <c r="J18" s="28">
        <f t="shared" si="1"/>
        <v>3.4475039176180881E-2</v>
      </c>
    </row>
    <row r="19" spans="1:11" x14ac:dyDescent="0.2">
      <c r="A19" s="25">
        <v>18</v>
      </c>
      <c r="B19" s="18">
        <v>19</v>
      </c>
      <c r="C19" s="18" t="s">
        <v>7</v>
      </c>
      <c r="D19" t="s">
        <v>80</v>
      </c>
      <c r="E19" s="12">
        <v>4374</v>
      </c>
      <c r="F19" s="12">
        <f>SUMIFS('Week 9 Feb 24 - Mar 1 2020'!F:F,'Week 9 Feb 24 - Mar 1 2020'!D:D,'Week 10 Mar 2 - Mar 8 2020'!D:D,'Week 9 Feb 24 - Mar 1 2020'!C:C,'Week 10 Mar 2 - Mar 8 2020'!C:C)+Table36119101355[[#This Row],[Week Sales]]</f>
        <v>283299</v>
      </c>
      <c r="G19" s="18" t="str">
        <f>(VLOOKUP(D:D,'Week 9 Feb 24 - Mar 1 2020'!D:G,4,FALSE))</f>
        <v>Sega</v>
      </c>
      <c r="H19" s="67">
        <f>(VLOOKUP(D:D,'Week 9 Feb 24 - Mar 1 2020'!D:H,5,FALSE))</f>
        <v>43770</v>
      </c>
      <c r="I19" s="12">
        <f>_xlfn.IFNA(SUMIFS('Week 9 Feb 24 - Mar 1 2020'!E:E,'Week 9 Feb 24 - Mar 1 2020'!D:D,'Week 10 Mar 2 - Mar 8 2020'!D:D,'Week 9 Feb 24 - Mar 1 2020'!C:C,'Week 10 Mar 2 - Mar 8 2020'!C:C),"New")</f>
        <v>4488</v>
      </c>
      <c r="J19" s="28">
        <f t="shared" si="1"/>
        <v>-2.5401069518716578E-2</v>
      </c>
      <c r="K19" s="5"/>
    </row>
    <row r="20" spans="1:11" x14ac:dyDescent="0.2">
      <c r="A20" s="25">
        <v>19</v>
      </c>
      <c r="B20" s="18">
        <v>21</v>
      </c>
      <c r="C20" s="18" t="s">
        <v>7</v>
      </c>
      <c r="D20" t="s">
        <v>20</v>
      </c>
      <c r="E20" s="12">
        <v>3815</v>
      </c>
      <c r="F20" s="12">
        <f>SUMIFS('Week 9 Feb 24 - Mar 1 2020'!F:F,'Week 9 Feb 24 - Mar 1 2020'!D:D,'Week 10 Mar 2 - Mar 8 2020'!D:D,'Week 9 Feb 24 - Mar 1 2020'!C:C,'Week 10 Mar 2 - Mar 8 2020'!C:C)+Table36119101355[[#This Row],[Week Sales]]</f>
        <v>403377</v>
      </c>
      <c r="G20" s="18" t="str">
        <f>(VLOOKUP(D:D,'Week 9 Feb 24 - Mar 1 2020'!D:G,4,FALSE))</f>
        <v>Bandai Namco</v>
      </c>
      <c r="H20" s="67">
        <f>(VLOOKUP(D:D,'Week 9 Feb 24 - Mar 1 2020'!D:H,5,FALSE))</f>
        <v>43671</v>
      </c>
      <c r="I20" s="12">
        <f>_xlfn.IFNA(SUMIFS('Week 9 Feb 24 - Mar 1 2020'!E:E,'Week 9 Feb 24 - Mar 1 2020'!D:D,'Week 10 Mar 2 - Mar 8 2020'!D:D,'Week 9 Feb 24 - Mar 1 2020'!C:C,'Week 10 Mar 2 - Mar 8 2020'!C:C),"New")</f>
        <v>3929</v>
      </c>
      <c r="J20" s="28">
        <f t="shared" si="1"/>
        <v>-2.9015016543649783E-2</v>
      </c>
    </row>
    <row r="21" spans="1:11" x14ac:dyDescent="0.2">
      <c r="A21" s="25">
        <v>20</v>
      </c>
      <c r="B21" s="18">
        <v>24</v>
      </c>
      <c r="C21" s="18" t="s">
        <v>8</v>
      </c>
      <c r="D21" t="s">
        <v>191</v>
      </c>
      <c r="E21" s="12">
        <v>3216</v>
      </c>
      <c r="F21" s="12">
        <f>SUMIFS('Week 9 Feb 24 - Mar 1 2020'!F:F,'Week 9 Feb 24 - Mar 1 2020'!D:D,'Week 10 Mar 2 - Mar 8 2020'!D:D,'Week 9 Feb 24 - Mar 1 2020'!C:C,'Week 10 Mar 2 - Mar 8 2020'!C:C)+Table36119101355[[#This Row],[Week Sales]]</f>
        <v>108668</v>
      </c>
      <c r="G21" s="18" t="str">
        <f>(VLOOKUP(D:D,'Week 9 Feb 24 - Mar 1 2020'!D:G,4,FALSE))</f>
        <v>Cygames</v>
      </c>
      <c r="H21" s="67">
        <f>(VLOOKUP(D:D,'Week 9 Feb 24 - Mar 1 2020'!D:H,5,FALSE))</f>
        <v>43867</v>
      </c>
      <c r="I21" s="12">
        <f>_xlfn.IFNA(SUMIFS('Week 9 Feb 24 - Mar 1 2020'!E:E,'Week 9 Feb 24 - Mar 1 2020'!D:D,'Week 10 Mar 2 - Mar 8 2020'!D:D,'Week 9 Feb 24 - Mar 1 2020'!C:C,'Week 10 Mar 2 - Mar 8 2020'!C:C),"New")</f>
        <v>3138</v>
      </c>
      <c r="J21" s="28">
        <f t="shared" si="1"/>
        <v>2.4856596558317401E-2</v>
      </c>
    </row>
    <row r="22" spans="1:11" x14ac:dyDescent="0.2">
      <c r="A22" s="25">
        <v>21</v>
      </c>
      <c r="B22" s="18">
        <v>27</v>
      </c>
      <c r="C22" s="18" t="s">
        <v>7</v>
      </c>
      <c r="D22" s="47" t="s">
        <v>25</v>
      </c>
      <c r="E22" s="12">
        <v>3152</v>
      </c>
      <c r="F22" s="12">
        <f>SUMIFS('Week 9 Feb 24 - Mar 1 2020'!F:F,'Week 9 Feb 24 - Mar 1 2020'!D:D,'Week 10 Mar 2 - Mar 8 2020'!D:D,'Week 9 Feb 24 - Mar 1 2020'!C:C,'Week 10 Mar 2 - Mar 8 2020'!C:C)+Table36119101355[[#This Row],[Week Sales]]</f>
        <v>453219</v>
      </c>
      <c r="G22" s="18" t="str">
        <f>(VLOOKUP(D:D,'Week 9 Feb 24 - Mar 1 2020'!D:G,4,FALSE))</f>
        <v>Bandai Namco</v>
      </c>
      <c r="H22" s="67">
        <f>(VLOOKUP(D:D,'Week 9 Feb 24 - Mar 1 2020'!D:H,5,FALSE))</f>
        <v>43300</v>
      </c>
      <c r="I22" s="12">
        <f>_xlfn.IFNA(SUMIFS('Week 9 Feb 24 - Mar 1 2020'!E:E,'Week 9 Feb 24 - Mar 1 2020'!D:D,'Week 10 Mar 2 - Mar 8 2020'!D:D,'Week 9 Feb 24 - Mar 1 2020'!C:C,'Week 10 Mar 2 - Mar 8 2020'!C:C),"New")</f>
        <v>2859</v>
      </c>
      <c r="J22" s="28">
        <f t="shared" si="1"/>
        <v>0.1024833857992305</v>
      </c>
    </row>
    <row r="23" spans="1:11" x14ac:dyDescent="0.2">
      <c r="A23" s="25">
        <v>22</v>
      </c>
      <c r="B23" s="18">
        <v>22</v>
      </c>
      <c r="C23" s="18" t="s">
        <v>8</v>
      </c>
      <c r="D23" t="s">
        <v>196</v>
      </c>
      <c r="E23" s="12">
        <v>3150</v>
      </c>
      <c r="F23" s="12">
        <f>SUMIFS('Week 9 Feb 24 - Mar 1 2020'!F:F,'Week 9 Feb 24 - Mar 1 2020'!D:D,'Week 10 Mar 2 - Mar 8 2020'!D:D,'Week 9 Feb 24 - Mar 1 2020'!C:C,'Week 10 Mar 2 - Mar 8 2020'!C:C)+Table36119101355[[#This Row],[Week Sales]]</f>
        <v>17599</v>
      </c>
      <c r="G23" s="18" t="str">
        <f>(VLOOKUP(D:D,'Week 9 Feb 24 - Mar 1 2020'!D:G,4,FALSE))</f>
        <v>Spike Chunsoft</v>
      </c>
      <c r="H23" s="67">
        <f>(VLOOKUP(D:D,'Week 9 Feb 24 - Mar 1 2020'!D:H,5,FALSE))</f>
        <v>43881</v>
      </c>
      <c r="I23" s="12">
        <f>_xlfn.IFNA(SUMIFS('Week 9 Feb 24 - Mar 1 2020'!E:E,'Week 9 Feb 24 - Mar 1 2020'!D:D,'Week 10 Mar 2 - Mar 8 2020'!D:D,'Week 9 Feb 24 - Mar 1 2020'!C:C,'Week 10 Mar 2 - Mar 8 2020'!C:C),"New")</f>
        <v>3795</v>
      </c>
      <c r="J23" s="28">
        <f>IFERROR((E23-I23)/I23,"New")</f>
        <v>-0.16996047430830039</v>
      </c>
    </row>
    <row r="24" spans="1:11" x14ac:dyDescent="0.2">
      <c r="A24" s="25">
        <v>23</v>
      </c>
      <c r="B24" s="18">
        <v>26</v>
      </c>
      <c r="C24" s="18" t="s">
        <v>7</v>
      </c>
      <c r="D24" t="s">
        <v>83</v>
      </c>
      <c r="E24" s="12">
        <v>2765</v>
      </c>
      <c r="F24" s="12">
        <f>SUMIFS('Week 9 Feb 24 - Mar 1 2020'!F:F,'Week 9 Feb 24 - Mar 1 2020'!D:D,'Week 10 Mar 2 - Mar 8 2020'!D:D,'Week 9 Feb 24 - Mar 1 2020'!C:C,'Week 10 Mar 2 - Mar 8 2020'!C:C)+Table36119101355[[#This Row],[Week Sales]]</f>
        <v>495735</v>
      </c>
      <c r="G24" s="18" t="str">
        <f>(VLOOKUP(D:D,'Week 9 Feb 24 - Mar 1 2020'!D:G,4,FALSE))</f>
        <v>Square Enix</v>
      </c>
      <c r="H24" s="67">
        <f>(VLOOKUP(D:D,'Week 9 Feb 24 - Mar 1 2020'!D:H,5,FALSE))</f>
        <v>43735</v>
      </c>
      <c r="I24" s="12">
        <f>_xlfn.IFNA(SUMIFS('Week 9 Feb 24 - Mar 1 2020'!E:E,'Week 9 Feb 24 - Mar 1 2020'!D:D,'Week 10 Mar 2 - Mar 8 2020'!D:D,'Week 9 Feb 24 - Mar 1 2020'!C:C,'Week 10 Mar 2 - Mar 8 2020'!C:C),"New")</f>
        <v>2945</v>
      </c>
      <c r="J24" s="28">
        <f>IFERROR((E24-I24)/I24,"New")</f>
        <v>-6.1120543293718167E-2</v>
      </c>
    </row>
    <row r="25" spans="1:11" x14ac:dyDescent="0.2">
      <c r="A25" s="35">
        <v>24</v>
      </c>
      <c r="B25" s="31" t="s">
        <v>53</v>
      </c>
      <c r="C25" s="31" t="s">
        <v>7</v>
      </c>
      <c r="D25" s="32" t="s">
        <v>93</v>
      </c>
      <c r="E25" s="33">
        <v>2725</v>
      </c>
      <c r="F25" s="33">
        <v>1708487</v>
      </c>
      <c r="G25" s="31" t="str">
        <f>(VLOOKUP(D:D,'Week 8 Feb 17 - Feb 23 2020'!D:G,4,FALSE))</f>
        <v>The Pokemon Company</v>
      </c>
      <c r="H25" s="93">
        <f>(VLOOKUP(D:D,'Week 8 Feb 17 - Feb 23 2020'!D:H,5,FALSE))</f>
        <v>43420</v>
      </c>
      <c r="I25" s="33">
        <v>2399</v>
      </c>
      <c r="J25" s="97">
        <f t="shared" ref="J25:J30" si="2">IFERROR((E25-I25)/I25,"New")</f>
        <v>0.13588995414756147</v>
      </c>
    </row>
    <row r="26" spans="1:11" x14ac:dyDescent="0.2">
      <c r="A26" s="25">
        <v>25</v>
      </c>
      <c r="B26" s="18">
        <v>30</v>
      </c>
      <c r="C26" s="18" t="s">
        <v>7</v>
      </c>
      <c r="D26" t="s">
        <v>26</v>
      </c>
      <c r="E26" s="12">
        <v>2643</v>
      </c>
      <c r="F26" s="12">
        <f>SUMIFS('Week 9 Feb 24 - Mar 1 2020'!F:F,'Week 9 Feb 24 - Mar 1 2020'!D:D,'Week 10 Mar 2 - Mar 8 2020'!D:D,'Week 9 Feb 24 - Mar 1 2020'!C:C,'Week 10 Mar 2 - Mar 8 2020'!C:C)+Table36119101355[[#This Row],[Week Sales]]</f>
        <v>2077640</v>
      </c>
      <c r="G26" s="18" t="str">
        <f>(VLOOKUP(D:D,'Week 9 Feb 24 - Mar 1 2020'!D:G,4,FALSE))</f>
        <v>Nintendo</v>
      </c>
      <c r="H26" s="67">
        <f>(VLOOKUP(D:D,'Week 9 Feb 24 - Mar 1 2020'!D:H,5,FALSE))</f>
        <v>43035</v>
      </c>
      <c r="I26" s="12">
        <f>_xlfn.IFNA(SUMIFS('Week 9 Feb 24 - Mar 1 2020'!E:E,'Week 9 Feb 24 - Mar 1 2020'!D:D,'Week 10 Mar 2 - Mar 8 2020'!D:D,'Week 9 Feb 24 - Mar 1 2020'!C:C,'Week 10 Mar 2 - Mar 8 2020'!C:C),"New")</f>
        <v>2529</v>
      </c>
      <c r="J26" s="28">
        <f t="shared" si="2"/>
        <v>4.5077105575326216E-2</v>
      </c>
    </row>
    <row r="27" spans="1:11" x14ac:dyDescent="0.2">
      <c r="A27" s="25">
        <v>26</v>
      </c>
      <c r="B27" s="18">
        <v>6</v>
      </c>
      <c r="C27" s="18" t="s">
        <v>7</v>
      </c>
      <c r="D27" t="s">
        <v>202</v>
      </c>
      <c r="E27" s="12">
        <v>2595</v>
      </c>
      <c r="F27" s="12">
        <f>SUMIFS('Week 9 Feb 24 - Mar 1 2020'!F:F,'Week 9 Feb 24 - Mar 1 2020'!D:D,'Week 10 Mar 2 - Mar 8 2020'!D:D,'Week 9 Feb 24 - Mar 1 2020'!C:C,'Week 10 Mar 2 - Mar 8 2020'!C:C)+Table36119101355[[#This Row],[Week Sales]]</f>
        <v>14205</v>
      </c>
      <c r="G27" s="18" t="str">
        <f>(VLOOKUP(D:D,'Week 9 Feb 24 - Mar 1 2020'!D:G,4,FALSE))</f>
        <v>Capcom</v>
      </c>
      <c r="H27" s="67">
        <f>(VLOOKUP(D:D,'Week 9 Feb 24 - Mar 1 2020'!D:H,5,FALSE))</f>
        <v>43888</v>
      </c>
      <c r="I27" s="12">
        <f>_xlfn.IFNA(SUMIFS('Week 9 Feb 24 - Mar 1 2020'!E:E,'Week 9 Feb 24 - Mar 1 2020'!D:D,'Week 10 Mar 2 - Mar 8 2020'!D:D,'Week 9 Feb 24 - Mar 1 2020'!C:C,'Week 10 Mar 2 - Mar 8 2020'!C:C),"New")</f>
        <v>11610</v>
      </c>
      <c r="J27" s="28">
        <f>IFERROR((E27-I27)/I27,"New")</f>
        <v>-0.77648578811369506</v>
      </c>
    </row>
    <row r="28" spans="1:11" x14ac:dyDescent="0.2">
      <c r="A28" s="35">
        <v>27</v>
      </c>
      <c r="B28" s="31" t="s">
        <v>53</v>
      </c>
      <c r="C28" s="31" t="s">
        <v>7</v>
      </c>
      <c r="D28" s="31" t="s">
        <v>211</v>
      </c>
      <c r="E28" s="33">
        <v>2417</v>
      </c>
      <c r="F28" s="33">
        <v>17828</v>
      </c>
      <c r="G28" s="31" t="s">
        <v>213</v>
      </c>
      <c r="H28" s="93">
        <v>43818</v>
      </c>
      <c r="I28" s="33"/>
      <c r="J28" s="97"/>
    </row>
    <row r="29" spans="1:11" x14ac:dyDescent="0.2">
      <c r="A29" s="35">
        <v>28</v>
      </c>
      <c r="B29" s="31" t="s">
        <v>53</v>
      </c>
      <c r="C29" s="31" t="s">
        <v>8</v>
      </c>
      <c r="D29" s="32" t="s">
        <v>99</v>
      </c>
      <c r="E29" s="33">
        <v>2206</v>
      </c>
      <c r="F29" s="33">
        <v>439916</v>
      </c>
      <c r="G29" s="31" t="str">
        <f>(VLOOKUP(D:D,'Week 7 Feb 10 - Feb 16 2020'!D:G,4,FALSE))</f>
        <v>Capcom</v>
      </c>
      <c r="H29" s="93">
        <f>(VLOOKUP(D:D,'Week 7 Feb 10 - Feb 16 2020'!D:H,5,FALSE))</f>
        <v>43714</v>
      </c>
      <c r="I29" s="33"/>
      <c r="J29" s="97"/>
    </row>
    <row r="30" spans="1:11" x14ac:dyDescent="0.2">
      <c r="A30" s="25">
        <v>29</v>
      </c>
      <c r="B30" s="18">
        <v>25</v>
      </c>
      <c r="C30" s="18" t="s">
        <v>8</v>
      </c>
      <c r="D30" t="s">
        <v>181</v>
      </c>
      <c r="E30" s="12">
        <v>2080</v>
      </c>
      <c r="F30" s="12">
        <f>SUMIFS('Week 9 Feb 24 - Mar 1 2020'!F:F,'Week 9 Feb 24 - Mar 1 2020'!D:D,'Week 10 Mar 2 - Mar 8 2020'!D:D,'Week 9 Feb 24 - Mar 1 2020'!C:C,'Week 10 Mar 2 - Mar 8 2020'!C:C)+Table36119101355[[#This Row],[Week Sales]]</f>
        <v>243769</v>
      </c>
      <c r="G30" s="18" t="str">
        <f>(VLOOKUP(D:D,'Week 9 Feb 24 - Mar 1 2020'!D:G,4,FALSE))</f>
        <v>Sega</v>
      </c>
      <c r="H30" s="67">
        <f>(VLOOKUP(D:D,'Week 9 Feb 24 - Mar 1 2020'!D:H,5,FALSE))</f>
        <v>43847</v>
      </c>
      <c r="I30" s="12">
        <f>_xlfn.IFNA(SUMIFS('Week 9 Feb 24 - Mar 1 2020'!E:E,'Week 9 Feb 24 - Mar 1 2020'!D:D,'Week 10 Mar 2 - Mar 8 2020'!D:D,'Week 9 Feb 24 - Mar 1 2020'!C:C,'Week 10 Mar 2 - Mar 8 2020'!C:C),"New")</f>
        <v>3059</v>
      </c>
      <c r="J30" s="28">
        <f t="shared" si="2"/>
        <v>-0.32003922850604771</v>
      </c>
    </row>
    <row r="31" spans="1:11" x14ac:dyDescent="0.2">
      <c r="A31" s="25">
        <v>30</v>
      </c>
      <c r="B31" s="18">
        <v>29</v>
      </c>
      <c r="C31" s="18" t="s">
        <v>8</v>
      </c>
      <c r="D31" t="s">
        <v>182</v>
      </c>
      <c r="E31" s="12">
        <v>1949</v>
      </c>
      <c r="F31" s="12">
        <f>SUMIFS('Week 9 Feb 24 - Mar 1 2020'!F:F,'Week 9 Feb 24 - Mar 1 2020'!D:D,'Week 10 Mar 2 - Mar 8 2020'!D:D,'Week 9 Feb 24 - Mar 1 2020'!C:C,'Week 10 Mar 2 - Mar 8 2020'!C:C)+Table36119101355[[#This Row],[Week Sales]]</f>
        <v>149654</v>
      </c>
      <c r="G31" s="18" t="str">
        <f>(VLOOKUP(D:D,'Week 9 Feb 24 - Mar 1 2020'!D:G,4,FALSE))</f>
        <v>Bandai Namco</v>
      </c>
      <c r="H31" s="67">
        <f>(VLOOKUP(D:D,'Week 9 Feb 24 - Mar 1 2020'!D:H,5,FALSE))</f>
        <v>43847</v>
      </c>
      <c r="I31" s="12">
        <f>_xlfn.IFNA(SUMIFS('Week 9 Feb 24 - Mar 1 2020'!E:E,'Week 9 Feb 24 - Mar 1 2020'!D:D,'Week 10 Mar 2 - Mar 8 2020'!D:D,'Week 9 Feb 24 - Mar 1 2020'!C:C,'Week 10 Mar 2 - Mar 8 2020'!C:C),"New")</f>
        <v>2623</v>
      </c>
      <c r="J31" s="28">
        <f>IFERROR((E31-I31)/I31,"New")</f>
        <v>-0.2569576820434617</v>
      </c>
    </row>
    <row r="32" spans="1:11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308087</v>
      </c>
      <c r="F33" s="2"/>
      <c r="I33" s="2"/>
      <c r="J33" s="19"/>
    </row>
    <row r="34" spans="1:10" x14ac:dyDescent="0.2">
      <c r="A34" s="3"/>
      <c r="B34" s="3"/>
      <c r="D34" s="100" t="s">
        <v>178</v>
      </c>
      <c r="E34" s="101">
        <f>SUM('Week 9 Feb 24 - Mar 1 2020'!E34,'Week 10 Mar 2 - Mar 8 2020'!E33)</f>
        <v>3300378</v>
      </c>
      <c r="F34" s="2"/>
      <c r="I34" s="2"/>
      <c r="J34" s="19"/>
    </row>
    <row r="35" spans="1:10" x14ac:dyDescent="0.2">
      <c r="A35" s="3"/>
      <c r="B35" s="3"/>
      <c r="D35" s="2" t="s">
        <v>60</v>
      </c>
      <c r="E35" s="2">
        <f>AVERAGE(E2:E31)</f>
        <v>10269.566666666668</v>
      </c>
      <c r="F35" s="2"/>
      <c r="I35" s="2"/>
      <c r="J35" s="19"/>
    </row>
    <row r="36" spans="1:10" x14ac:dyDescent="0.2">
      <c r="A36" s="3"/>
      <c r="B36" s="3"/>
      <c r="D36" s="9" t="s">
        <v>78</v>
      </c>
      <c r="E36" s="10">
        <f>COUNTIF(B:B,"New")</f>
        <v>2</v>
      </c>
      <c r="F36" s="2"/>
      <c r="I36" s="2"/>
      <c r="J36" s="19"/>
    </row>
    <row r="37" spans="1:10" x14ac:dyDescent="0.2">
      <c r="A37" s="3"/>
      <c r="B37" s="3"/>
      <c r="E37" s="2"/>
      <c r="F37" s="2"/>
      <c r="I37" s="2"/>
      <c r="J37" s="19"/>
    </row>
    <row r="38" spans="1:10" x14ac:dyDescent="0.2">
      <c r="A38" s="3"/>
      <c r="B38" s="3"/>
      <c r="D38" t="s">
        <v>66</v>
      </c>
      <c r="E38" s="2"/>
      <c r="F38" s="2"/>
      <c r="I38" s="2"/>
      <c r="J38" s="19"/>
    </row>
    <row r="39" spans="1:10" x14ac:dyDescent="0.2">
      <c r="A39" s="3"/>
      <c r="B39" s="3"/>
      <c r="D39" s="8" t="s">
        <v>67</v>
      </c>
      <c r="E39" s="2"/>
      <c r="F39" s="2"/>
      <c r="I39" s="2"/>
      <c r="J39" s="19"/>
    </row>
    <row r="40" spans="1:10" x14ac:dyDescent="0.2">
      <c r="A40" s="3"/>
      <c r="B40" s="3"/>
      <c r="D40" s="8" t="s">
        <v>65</v>
      </c>
      <c r="E40" s="2"/>
      <c r="F40" s="2"/>
      <c r="I40" s="2"/>
      <c r="J40" s="19"/>
    </row>
    <row r="41" spans="1:10" x14ac:dyDescent="0.2">
      <c r="D41" s="8" t="s">
        <v>71</v>
      </c>
      <c r="E41" s="2"/>
    </row>
  </sheetData>
  <hyperlinks>
    <hyperlink ref="D40" r:id="rId1" xr:uid="{346F05F7-1379-D24A-BE69-AE7D331A4854}"/>
    <hyperlink ref="D41" r:id="rId2" xr:uid="{43559F3E-E612-3B4D-87A8-0CD120F9A073}"/>
    <hyperlink ref="D39" r:id="rId3" xr:uid="{1FD2CC0D-E575-7740-8955-29B0B9536D2B}"/>
  </hyperlinks>
  <pageMargins left="0.7" right="0.7" top="0.75" bottom="0.75" header="0.3" footer="0.3"/>
  <pageSetup paperSize="9" orientation="portrait" horizontalDpi="0" verticalDpi="0"/>
  <ignoredErrors>
    <ignoredError sqref="G2 G13:I13 H2:I2 F25:J31" calculatedColumn="1"/>
  </ignoredErrors>
  <tableParts count="1"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0B2A0-5227-0048-BEE6-1E1EF9DFACEC}">
  <dimension ref="A1:J41"/>
  <sheetViews>
    <sheetView workbookViewId="0">
      <selection activeCell="D11" sqref="D2:E11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3.8320312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0" x14ac:dyDescent="0.2">
      <c r="A2" s="13">
        <v>1</v>
      </c>
      <c r="B2" s="9" t="s">
        <v>36</v>
      </c>
      <c r="C2" s="9" t="s">
        <v>8</v>
      </c>
      <c r="D2" s="9" t="s">
        <v>214</v>
      </c>
      <c r="E2" s="10">
        <v>91892</v>
      </c>
      <c r="F2" s="10">
        <f>SUMIFS('Week 10 Mar 2 - Mar 8 2020'!F:F,'Week 10 Mar 2 - Mar 8 2020'!D:D,'Week 11 Mar 9 - Mar 15 2020'!D:D,'Week 10 Mar 2 - Mar 8 2020'!C:C,'Week 11 Mar 9 - Mar 15 2020'!C:C)+Table3611910135557[[#This Row],[Week Sales]]</f>
        <v>91892</v>
      </c>
      <c r="G2" s="9" t="s">
        <v>166</v>
      </c>
      <c r="H2" s="14">
        <v>43902</v>
      </c>
      <c r="I2" s="10" t="s">
        <v>36</v>
      </c>
      <c r="J2" s="92" t="str">
        <f>IFERROR((E2-I2)/I2,"New")</f>
        <v>New</v>
      </c>
    </row>
    <row r="3" spans="1:10" x14ac:dyDescent="0.2">
      <c r="A3" s="25">
        <v>2</v>
      </c>
      <c r="B3" s="18">
        <v>1</v>
      </c>
      <c r="C3" s="18" t="s">
        <v>7</v>
      </c>
      <c r="D3" s="47" t="s">
        <v>209</v>
      </c>
      <c r="E3" s="12">
        <v>46391</v>
      </c>
      <c r="F3" s="12">
        <f>SUMIFS('Week 10 Mar 2 - Mar 8 2020'!F:F,'Week 10 Mar 2 - Mar 8 2020'!D:D,'Week 11 Mar 9 - Mar 15 2020'!D:D,'Week 10 Mar 2 - Mar 8 2020'!C:C,'Week 11 Mar 9 - Mar 15 2020'!C:C)+Table3611910135557[[#This Row],[Week Sales]]</f>
        <v>184939</v>
      </c>
      <c r="G3" s="18" t="str">
        <f>(VLOOKUP(D:D,'Week 10 Mar 2 - Mar 8 2020'!D:G,4,FALSE))</f>
        <v>The Pokemon Company</v>
      </c>
      <c r="H3" s="67">
        <f>(VLOOKUP(D:D,'Week 10 Mar 2 - Mar 8 2020'!D:H,5,FALSE))</f>
        <v>43896</v>
      </c>
      <c r="I3" s="12">
        <f>_xlfn.IFNA(SUMIFS('Week 10 Mar 2 - Mar 8 2020'!E:E,'Week 10 Mar 2 - Mar 8 2020'!D:D,'Week 11 Mar 9 - Mar 15 2020'!D:D,'Week 10 Mar 2 - Mar 8 2020'!C:C,'Week 11 Mar 9 - Mar 15 2020'!C:C),"New")</f>
        <v>138548</v>
      </c>
      <c r="J3" s="28">
        <f t="shared" ref="J3:J8" si="0">IFERROR((E3-I3)/I3,"New")</f>
        <v>-0.66516297600831475</v>
      </c>
    </row>
    <row r="4" spans="1:10" x14ac:dyDescent="0.2">
      <c r="A4" s="25">
        <v>3</v>
      </c>
      <c r="B4" s="18">
        <v>2</v>
      </c>
      <c r="C4" s="18" t="s">
        <v>7</v>
      </c>
      <c r="D4" s="47" t="s">
        <v>62</v>
      </c>
      <c r="E4" s="12">
        <v>18567</v>
      </c>
      <c r="F4" s="12">
        <f>SUMIFS('Week 10 Mar 2 - Mar 8 2020'!F:F,'Week 10 Mar 2 - Mar 8 2020'!D:D,'Week 11 Mar 9 - Mar 15 2020'!D:D,'Week 10 Mar 2 - Mar 8 2020'!C:C,'Week 11 Mar 9 - Mar 15 2020'!C:C)+Table3611910135557[[#This Row],[Week Sales]]</f>
        <v>3509920</v>
      </c>
      <c r="G4" s="18" t="str">
        <f>(VLOOKUP(D:D,'Week 10 Mar 2 - Mar 8 2020'!D:G,4,FALSE))</f>
        <v>The Pokemon Company</v>
      </c>
      <c r="H4" s="67">
        <f>(VLOOKUP(D:D,'Week 10 Mar 2 - Mar 8 2020'!D:H,5,FALSE))</f>
        <v>43784</v>
      </c>
      <c r="I4" s="12">
        <f>_xlfn.IFNA(SUMIFS('Week 10 Mar 2 - Mar 8 2020'!E:E,'Week 10 Mar 2 - Mar 8 2020'!D:D,'Week 11 Mar 9 - Mar 15 2020'!D:D,'Week 10 Mar 2 - Mar 8 2020'!C:C,'Week 11 Mar 9 - Mar 15 2020'!C:C),"New")</f>
        <v>20679</v>
      </c>
      <c r="J4" s="28">
        <f t="shared" si="0"/>
        <v>-0.10213259828811838</v>
      </c>
    </row>
    <row r="5" spans="1:10" x14ac:dyDescent="0.2">
      <c r="A5" s="13">
        <v>4</v>
      </c>
      <c r="B5" s="9" t="s">
        <v>36</v>
      </c>
      <c r="C5" s="9" t="s">
        <v>7</v>
      </c>
      <c r="D5" s="9" t="s">
        <v>215</v>
      </c>
      <c r="E5" s="10">
        <v>16997</v>
      </c>
      <c r="F5" s="10">
        <f>SUMIFS('Week 10 Mar 2 - Mar 8 2020'!F:F,'Week 10 Mar 2 - Mar 8 2020'!D:D,'Week 11 Mar 9 - Mar 15 2020'!D:D,'Week 10 Mar 2 - Mar 8 2020'!C:C,'Week 11 Mar 9 - Mar 15 2020'!C:C)+Table3611910135557[[#This Row],[Week Sales]]</f>
        <v>16997</v>
      </c>
      <c r="G5" s="9" t="s">
        <v>34</v>
      </c>
      <c r="H5" s="14">
        <v>43902</v>
      </c>
      <c r="I5" s="10" t="s">
        <v>36</v>
      </c>
      <c r="J5" s="92" t="str">
        <f>IFERROR((E5-I5)/I5,"New")</f>
        <v>New</v>
      </c>
    </row>
    <row r="6" spans="1:10" x14ac:dyDescent="0.2">
      <c r="A6" s="25">
        <v>5</v>
      </c>
      <c r="B6" s="18">
        <v>3</v>
      </c>
      <c r="C6" s="18" t="s">
        <v>7</v>
      </c>
      <c r="D6" s="47" t="s">
        <v>12</v>
      </c>
      <c r="E6" s="12">
        <v>11787</v>
      </c>
      <c r="F6" s="12">
        <f>SUMIFS('Week 10 Mar 2 - Mar 8 2020'!F:F,'Week 10 Mar 2 - Mar 8 2020'!D:D,'Week 11 Mar 9 - Mar 15 2020'!D:D,'Week 10 Mar 2 - Mar 8 2020'!C:C,'Week 11 Mar 9 - Mar 15 2020'!C:C)+Table3611910135557[[#This Row],[Week Sales]]</f>
        <v>1309815</v>
      </c>
      <c r="G6" s="18" t="str">
        <f>(VLOOKUP(D:D,'Week 10 Mar 2 - Mar 8 2020'!D:G,4,FALSE))</f>
        <v>Microsoft</v>
      </c>
      <c r="H6" s="67">
        <f>(VLOOKUP(D:D,'Week 10 Mar 2 - Mar 8 2020'!D:H,5,FALSE))</f>
        <v>43272</v>
      </c>
      <c r="I6" s="12">
        <f>_xlfn.IFNA(SUMIFS('Week 10 Mar 2 - Mar 8 2020'!E:E,'Week 10 Mar 2 - Mar 8 2020'!D:D,'Week 11 Mar 9 - Mar 15 2020'!D:D,'Week 10 Mar 2 - Mar 8 2020'!C:C,'Week 11 Mar 9 - Mar 15 2020'!C:C),"New")</f>
        <v>12933</v>
      </c>
      <c r="J6" s="28">
        <f t="shared" si="0"/>
        <v>-8.8610531199257714E-2</v>
      </c>
    </row>
    <row r="7" spans="1:10" x14ac:dyDescent="0.2">
      <c r="A7" s="25">
        <v>6</v>
      </c>
      <c r="B7" s="18">
        <v>4</v>
      </c>
      <c r="C7" s="18" t="s">
        <v>7</v>
      </c>
      <c r="D7" s="47" t="s">
        <v>49</v>
      </c>
      <c r="E7" s="12">
        <v>11272</v>
      </c>
      <c r="F7" s="12">
        <f>SUMIFS('Week 10 Mar 2 - Mar 8 2020'!F:F,'Week 10 Mar 2 - Mar 8 2020'!D:D,'Week 11 Mar 9 - Mar 15 2020'!D:D,'Week 10 Mar 2 - Mar 8 2020'!C:C,'Week 11 Mar 9 - Mar 15 2020'!C:C)+Table3611910135557[[#This Row],[Week Sales]]</f>
        <v>2817258</v>
      </c>
      <c r="G7" s="18" t="str">
        <f>(VLOOKUP(D:D,'Week 10 Mar 2 - Mar 8 2020'!D:G,4,FALSE))</f>
        <v>Nintendo</v>
      </c>
      <c r="H7" s="67">
        <f>(VLOOKUP(D:D,'Week 10 Mar 2 - Mar 8 2020'!D:H,5,FALSE))</f>
        <v>42853</v>
      </c>
      <c r="I7" s="12">
        <f>_xlfn.IFNA(SUMIFS('Week 10 Mar 2 - Mar 8 2020'!E:E,'Week 10 Mar 2 - Mar 8 2020'!D:D,'Week 11 Mar 9 - Mar 15 2020'!D:D,'Week 10 Mar 2 - Mar 8 2020'!C:C,'Week 11 Mar 9 - Mar 15 2020'!C:C),"New")</f>
        <v>12751</v>
      </c>
      <c r="J7" s="28">
        <f>IFERROR((E7-I7)/I7,"New")</f>
        <v>-0.11599090267430005</v>
      </c>
    </row>
    <row r="8" spans="1:10" x14ac:dyDescent="0.2">
      <c r="A8" s="25">
        <v>7</v>
      </c>
      <c r="B8" s="18">
        <v>5</v>
      </c>
      <c r="C8" s="18" t="s">
        <v>7</v>
      </c>
      <c r="D8" s="47" t="s">
        <v>52</v>
      </c>
      <c r="E8" s="12">
        <v>9898</v>
      </c>
      <c r="F8" s="12">
        <f>SUMIFS('Week 10 Mar 2 - Mar 8 2020'!F:F,'Week 10 Mar 2 - Mar 8 2020'!D:D,'Week 11 Mar 9 - Mar 15 2020'!D:D,'Week 10 Mar 2 - Mar 8 2020'!C:C,'Week 11 Mar 9 - Mar 15 2020'!C:C)+Table3611910135557[[#This Row],[Week Sales]]</f>
        <v>3602272</v>
      </c>
      <c r="G8" s="18" t="str">
        <f>(VLOOKUP(D:D,'Week 10 Mar 2 - Mar 8 2020'!D:G,4,FALSE))</f>
        <v>Nintendo</v>
      </c>
      <c r="H8" s="67">
        <f>(VLOOKUP(D:D,'Week 10 Mar 2 - Mar 8 2020'!D:H,5,FALSE))</f>
        <v>43441</v>
      </c>
      <c r="I8" s="12">
        <f>_xlfn.IFNA(SUMIFS('Week 10 Mar 2 - Mar 8 2020'!E:E,'Week 10 Mar 2 - Mar 8 2020'!D:D,'Week 11 Mar 9 - Mar 15 2020'!D:D,'Week 10 Mar 2 - Mar 8 2020'!C:C,'Week 11 Mar 9 - Mar 15 2020'!C:C),"New")</f>
        <v>11319</v>
      </c>
      <c r="J8" s="28">
        <f t="shared" si="0"/>
        <v>-0.12554112554112554</v>
      </c>
    </row>
    <row r="9" spans="1:10" x14ac:dyDescent="0.2">
      <c r="A9" s="25">
        <v>8</v>
      </c>
      <c r="B9" s="18">
        <v>6</v>
      </c>
      <c r="C9" s="18" t="s">
        <v>7</v>
      </c>
      <c r="D9" s="47" t="s">
        <v>45</v>
      </c>
      <c r="E9" s="12">
        <v>8773</v>
      </c>
      <c r="F9" s="12">
        <f>SUMIFS('Week 10 Mar 2 - Mar 8 2020'!F:F,'Week 10 Mar 2 - Mar 8 2020'!D:D,'Week 11 Mar 9 - Mar 15 2020'!D:D,'Week 10 Mar 2 - Mar 8 2020'!C:C,'Week 11 Mar 9 - Mar 15 2020'!C:C)+Table3611910135557[[#This Row],[Week Sales]]</f>
        <v>723803</v>
      </c>
      <c r="G9" s="18" t="str">
        <f>(VLOOKUP(D:D,'Week 10 Mar 2 - Mar 8 2020'!D:G,4,FALSE))</f>
        <v>Nintendo</v>
      </c>
      <c r="H9" s="67">
        <f>(VLOOKUP(D:D,'Week 10 Mar 2 - Mar 8 2020'!D:H,5,FALSE))</f>
        <v>43756</v>
      </c>
      <c r="I9" s="12">
        <f>_xlfn.IFNA(SUMIFS('Week 10 Mar 2 - Mar 8 2020'!E:E,'Week 10 Mar 2 - Mar 8 2020'!D:D,'Week 11 Mar 9 - Mar 15 2020'!D:D,'Week 10 Mar 2 - Mar 8 2020'!C:C,'Week 11 Mar 9 - Mar 15 2020'!C:C),"New")</f>
        <v>10067</v>
      </c>
      <c r="J9" s="28">
        <f>IFERROR((E9-I9)/I9,"New")</f>
        <v>-0.12853879010628788</v>
      </c>
    </row>
    <row r="10" spans="1:10" x14ac:dyDescent="0.2">
      <c r="A10" s="13">
        <v>9</v>
      </c>
      <c r="B10" s="9" t="s">
        <v>36</v>
      </c>
      <c r="C10" s="9" t="s">
        <v>8</v>
      </c>
      <c r="D10" s="9" t="s">
        <v>216</v>
      </c>
      <c r="E10" s="10">
        <v>8045</v>
      </c>
      <c r="F10" s="10">
        <f>SUMIFS('Week 10 Mar 2 - Mar 8 2020'!F:F,'Week 10 Mar 2 - Mar 8 2020'!D:D,'Week 11 Mar 9 - Mar 15 2020'!D:D,'Week 10 Mar 2 - Mar 8 2020'!C:C,'Week 11 Mar 9 - Mar 15 2020'!C:C)+Table3611910135557[[#This Row],[Week Sales]]</f>
        <v>8045</v>
      </c>
      <c r="G10" s="9" t="s">
        <v>166</v>
      </c>
      <c r="H10" s="14">
        <v>43902</v>
      </c>
      <c r="I10" s="10" t="s">
        <v>36</v>
      </c>
      <c r="J10" s="92" t="str">
        <f t="shared" ref="J10:J22" si="1">IFERROR((E10-I10)/I10,"New")</f>
        <v>New</v>
      </c>
    </row>
    <row r="11" spans="1:10" x14ac:dyDescent="0.2">
      <c r="A11" s="25">
        <v>10</v>
      </c>
      <c r="B11" s="18">
        <v>9</v>
      </c>
      <c r="C11" s="18" t="s">
        <v>7</v>
      </c>
      <c r="D11" s="47" t="s">
        <v>10</v>
      </c>
      <c r="E11" s="12">
        <v>6827</v>
      </c>
      <c r="F11" s="12">
        <f>SUMIFS('Week 10 Mar 2 - Mar 8 2020'!F:F,'Week 10 Mar 2 - Mar 8 2020'!D:D,'Week 11 Mar 9 - Mar 15 2020'!D:D,'Week 10 Mar 2 - Mar 8 2020'!C:C,'Week 11 Mar 9 - Mar 15 2020'!C:C)+Table3611910135557[[#This Row],[Week Sales]]</f>
        <v>3341950</v>
      </c>
      <c r="G11" s="18" t="str">
        <f>(VLOOKUP(D:D,'Week 10 Mar 2 - Mar 8 2020'!D:G,4,FALSE))</f>
        <v>Nintendo</v>
      </c>
      <c r="H11" s="67">
        <f>(VLOOKUP(D:D,'Week 10 Mar 2 - Mar 8 2020'!D:H,5,FALSE))</f>
        <v>42937</v>
      </c>
      <c r="I11" s="12">
        <f>_xlfn.IFNA(SUMIFS('Week 10 Mar 2 - Mar 8 2020'!E:E,'Week 10 Mar 2 - Mar 8 2020'!D:D,'Week 11 Mar 9 - Mar 15 2020'!D:D,'Week 10 Mar 2 - Mar 8 2020'!C:C,'Week 11 Mar 9 - Mar 15 2020'!C:C),"New")</f>
        <v>7293</v>
      </c>
      <c r="J11" s="28">
        <f t="shared" si="1"/>
        <v>-6.389688742629919E-2</v>
      </c>
    </row>
    <row r="12" spans="1:10" x14ac:dyDescent="0.2">
      <c r="A12" s="25">
        <v>11</v>
      </c>
      <c r="B12" s="18">
        <v>8</v>
      </c>
      <c r="C12" s="18" t="s">
        <v>7</v>
      </c>
      <c r="D12" s="47" t="s">
        <v>13</v>
      </c>
      <c r="E12" s="12">
        <v>6509</v>
      </c>
      <c r="F12" s="12">
        <f>SUMIFS('Week 10 Mar 2 - Mar 8 2020'!F:F,'Week 10 Mar 2 - Mar 8 2020'!D:D,'Week 11 Mar 9 - Mar 15 2020'!D:D,'Week 10 Mar 2 - Mar 8 2020'!C:C,'Week 11 Mar 9 - Mar 15 2020'!C:C)+Table3611910135557[[#This Row],[Week Sales]]</f>
        <v>1368837</v>
      </c>
      <c r="G12" s="18" t="str">
        <f>(VLOOKUP(D:D,'Week 10 Mar 2 - Mar 8 2020'!D:G,4,FALSE))</f>
        <v>Nintendo</v>
      </c>
      <c r="H12" s="67">
        <f>(VLOOKUP(D:D,'Week 10 Mar 2 - Mar 8 2020'!D:H,5,FALSE))</f>
        <v>43378</v>
      </c>
      <c r="I12" s="12">
        <f>_xlfn.IFNA(SUMIFS('Week 10 Mar 2 - Mar 8 2020'!E:E,'Week 10 Mar 2 - Mar 8 2020'!D:D,'Week 11 Mar 9 - Mar 15 2020'!D:D,'Week 10 Mar 2 - Mar 8 2020'!C:C,'Week 11 Mar 9 - Mar 15 2020'!C:C),"New")</f>
        <v>7774</v>
      </c>
      <c r="J12" s="28">
        <f t="shared" si="1"/>
        <v>-0.16272189349112426</v>
      </c>
    </row>
    <row r="13" spans="1:10" x14ac:dyDescent="0.2">
      <c r="A13" s="13">
        <v>12</v>
      </c>
      <c r="B13" s="9" t="s">
        <v>36</v>
      </c>
      <c r="C13" s="9" t="s">
        <v>7</v>
      </c>
      <c r="D13" s="9" t="s">
        <v>216</v>
      </c>
      <c r="E13" s="10">
        <v>5287</v>
      </c>
      <c r="F13" s="10">
        <f>SUMIFS('Week 10 Mar 2 - Mar 8 2020'!F:F,'Week 10 Mar 2 - Mar 8 2020'!D:D,'Week 11 Mar 9 - Mar 15 2020'!D:D,'Week 10 Mar 2 - Mar 8 2020'!C:C,'Week 11 Mar 9 - Mar 15 2020'!C:C)+Table3611910135557[[#This Row],[Week Sales]]</f>
        <v>5287</v>
      </c>
      <c r="G13" s="9" t="s">
        <v>166</v>
      </c>
      <c r="H13" s="14">
        <v>43902</v>
      </c>
      <c r="I13" s="10" t="s">
        <v>36</v>
      </c>
      <c r="J13" s="92" t="str">
        <f t="shared" si="1"/>
        <v>New</v>
      </c>
    </row>
    <row r="14" spans="1:10" x14ac:dyDescent="0.2">
      <c r="A14" s="13">
        <v>13</v>
      </c>
      <c r="B14" s="9" t="s">
        <v>36</v>
      </c>
      <c r="C14" s="9" t="s">
        <v>8</v>
      </c>
      <c r="D14" s="9" t="s">
        <v>215</v>
      </c>
      <c r="E14" s="10">
        <v>5137</v>
      </c>
      <c r="F14" s="10">
        <f>SUMIFS('Week 10 Mar 2 - Mar 8 2020'!F:F,'Week 10 Mar 2 - Mar 8 2020'!D:D,'Week 11 Mar 9 - Mar 15 2020'!D:D,'Week 10 Mar 2 - Mar 8 2020'!C:C,'Week 11 Mar 9 - Mar 15 2020'!C:C)+Table3611910135557[[#This Row],[Week Sales]]</f>
        <v>5137</v>
      </c>
      <c r="G14" s="9" t="s">
        <v>34</v>
      </c>
      <c r="H14" s="14">
        <v>43902</v>
      </c>
      <c r="I14" s="10" t="s">
        <v>36</v>
      </c>
      <c r="J14" s="92" t="str">
        <f t="shared" si="1"/>
        <v>New</v>
      </c>
    </row>
    <row r="15" spans="1:10" x14ac:dyDescent="0.2">
      <c r="A15" s="25">
        <v>14</v>
      </c>
      <c r="B15" s="18">
        <v>10</v>
      </c>
      <c r="C15" s="18" t="s">
        <v>7</v>
      </c>
      <c r="D15" s="47" t="s">
        <v>16</v>
      </c>
      <c r="E15" s="12">
        <v>4900</v>
      </c>
      <c r="F15" s="12">
        <f>SUMIFS('Week 10 Mar 2 - Mar 8 2020'!F:F,'Week 10 Mar 2 - Mar 8 2020'!D:D,'Week 11 Mar 9 - Mar 15 2020'!D:D,'Week 10 Mar 2 - Mar 8 2020'!C:C,'Week 11 Mar 9 - Mar 15 2020'!C:C)+Table3611910135557[[#This Row],[Week Sales]]</f>
        <v>176625</v>
      </c>
      <c r="G15" s="18" t="str">
        <f>(VLOOKUP(D:D,'Week 10 Mar 2 - Mar 8 2020'!D:G,4,FALSE))</f>
        <v>Nintendo</v>
      </c>
      <c r="H15" s="67">
        <f>(VLOOKUP(D:D,'Week 10 Mar 2 - Mar 8 2020'!D:H,5,FALSE))</f>
        <v>43826</v>
      </c>
      <c r="I15" s="12">
        <f>_xlfn.IFNA(SUMIFS('Week 10 Mar 2 - Mar 8 2020'!E:E,'Week 10 Mar 2 - Mar 8 2020'!D:D,'Week 11 Mar 9 - Mar 15 2020'!D:D,'Week 10 Mar 2 - Mar 8 2020'!C:C,'Week 11 Mar 9 - Mar 15 2020'!C:C),"New")</f>
        <v>6394</v>
      </c>
      <c r="J15" s="28">
        <f t="shared" si="1"/>
        <v>-0.23365655301845481</v>
      </c>
    </row>
    <row r="16" spans="1:10" x14ac:dyDescent="0.2">
      <c r="A16" s="25">
        <v>15</v>
      </c>
      <c r="B16" s="18">
        <v>11</v>
      </c>
      <c r="C16" s="18" t="s">
        <v>7</v>
      </c>
      <c r="D16" s="47" t="s">
        <v>39</v>
      </c>
      <c r="E16" s="12">
        <v>4882</v>
      </c>
      <c r="F16" s="12">
        <f>SUMIFS('Week 10 Mar 2 - Mar 8 2020'!F:F,'Week 10 Mar 2 - Mar 8 2020'!D:D,'Week 11 Mar 9 - Mar 15 2020'!D:D,'Week 10 Mar 2 - Mar 8 2020'!C:C,'Week 11 Mar 9 - Mar 15 2020'!C:C)+Table3611910135557[[#This Row],[Week Sales]]</f>
        <v>1541506</v>
      </c>
      <c r="G16" s="18" t="str">
        <f>(VLOOKUP(D:D,'Week 10 Mar 2 - Mar 8 2020'!D:G,4,FALSE))</f>
        <v>Nintendo</v>
      </c>
      <c r="H16" s="67">
        <f>(VLOOKUP(D:D,'Week 10 Mar 2 - Mar 8 2020'!D:H,5,FALSE))</f>
        <v>42797</v>
      </c>
      <c r="I16" s="12">
        <f>_xlfn.IFNA(SUMIFS('Week 10 Mar 2 - Mar 8 2020'!E:E,'Week 10 Mar 2 - Mar 8 2020'!D:D,'Week 11 Mar 9 - Mar 15 2020'!D:D,'Week 10 Mar 2 - Mar 8 2020'!C:C,'Week 11 Mar 9 - Mar 15 2020'!C:C),"New")</f>
        <v>5785</v>
      </c>
      <c r="J16" s="28">
        <f t="shared" si="1"/>
        <v>-0.15609334485738979</v>
      </c>
    </row>
    <row r="17" spans="1:10" x14ac:dyDescent="0.2">
      <c r="A17" s="25">
        <v>16</v>
      </c>
      <c r="B17" s="18">
        <v>13</v>
      </c>
      <c r="C17" s="18" t="s">
        <v>7</v>
      </c>
      <c r="D17" s="47" t="s">
        <v>19</v>
      </c>
      <c r="E17" s="12">
        <v>4668</v>
      </c>
      <c r="F17" s="12">
        <f>SUMIFS('Week 10 Mar 2 - Mar 8 2020'!F:F,'Week 10 Mar 2 - Mar 8 2020'!D:D,'Week 11 Mar 9 - Mar 15 2020'!D:D,'Week 10 Mar 2 - Mar 8 2020'!C:C,'Week 11 Mar 9 - Mar 15 2020'!C:C)+Table3611910135557[[#This Row],[Week Sales]]</f>
        <v>873902</v>
      </c>
      <c r="G17" s="18" t="str">
        <f>(VLOOKUP(D:D,'Week 10 Mar 2 - Mar 8 2020'!D:G,4,FALSE))</f>
        <v>Nintendo</v>
      </c>
      <c r="H17" s="67">
        <f>(VLOOKUP(D:D,'Week 10 Mar 2 - Mar 8 2020'!D:H,5,FALSE))</f>
        <v>43644</v>
      </c>
      <c r="I17" s="12">
        <f>_xlfn.IFNA(SUMIFS('Week 10 Mar 2 - Mar 8 2020'!E:E,'Week 10 Mar 2 - Mar 8 2020'!D:D,'Week 11 Mar 9 - Mar 15 2020'!D:D,'Week 10 Mar 2 - Mar 8 2020'!C:C,'Week 11 Mar 9 - Mar 15 2020'!C:C),"New")</f>
        <v>4889</v>
      </c>
      <c r="J17" s="28">
        <f t="shared" si="1"/>
        <v>-4.5203518101861323E-2</v>
      </c>
    </row>
    <row r="18" spans="1:10" x14ac:dyDescent="0.2">
      <c r="A18" s="25">
        <v>17</v>
      </c>
      <c r="B18" s="18">
        <v>16</v>
      </c>
      <c r="C18" s="18" t="s">
        <v>7</v>
      </c>
      <c r="D18" s="47" t="s">
        <v>17</v>
      </c>
      <c r="E18" s="12">
        <v>4297</v>
      </c>
      <c r="F18" s="12">
        <f>SUMIFS('Week 10 Mar 2 - Mar 8 2020'!F:F,'Week 10 Mar 2 - Mar 8 2020'!D:D,'Week 11 Mar 9 - Mar 15 2020'!D:D,'Week 10 Mar 2 - Mar 8 2020'!C:C,'Week 11 Mar 9 - Mar 15 2020'!C:C)+Table3611910135557[[#This Row],[Week Sales]]</f>
        <v>797283</v>
      </c>
      <c r="G18" s="18" t="str">
        <f>(VLOOKUP(D:D,'Week 10 Mar 2 - Mar 8 2020'!D:G,4,FALSE))</f>
        <v>Nintendo</v>
      </c>
      <c r="H18" s="67">
        <f>(VLOOKUP(D:D,'Week 10 Mar 2 - Mar 8 2020'!D:H,5,FALSE))</f>
        <v>43476</v>
      </c>
      <c r="I18" s="12">
        <f>_xlfn.IFNA(SUMIFS('Week 10 Mar 2 - Mar 8 2020'!E:E,'Week 10 Mar 2 - Mar 8 2020'!D:D,'Week 11 Mar 9 - Mar 15 2020'!D:D,'Week 10 Mar 2 - Mar 8 2020'!C:C,'Week 11 Mar 9 - Mar 15 2020'!C:C),"New")</f>
        <v>4733</v>
      </c>
      <c r="J18" s="28">
        <f t="shared" si="1"/>
        <v>-9.2119163321360664E-2</v>
      </c>
    </row>
    <row r="19" spans="1:10" x14ac:dyDescent="0.2">
      <c r="A19" s="13">
        <v>18</v>
      </c>
      <c r="B19" s="9" t="s">
        <v>36</v>
      </c>
      <c r="C19" s="9" t="s">
        <v>7</v>
      </c>
      <c r="D19" s="9" t="s">
        <v>217</v>
      </c>
      <c r="E19" s="10">
        <v>4295</v>
      </c>
      <c r="F19" s="10">
        <f>SUMIFS('Week 10 Mar 2 - Mar 8 2020'!F:F,'Week 10 Mar 2 - Mar 8 2020'!D:D,'Week 11 Mar 9 - Mar 15 2020'!D:D,'Week 10 Mar 2 - Mar 8 2020'!C:C,'Week 11 Mar 9 - Mar 15 2020'!C:C)+Table3611910135557[[#This Row],[Week Sales]]</f>
        <v>4295</v>
      </c>
      <c r="G19" s="9" t="s">
        <v>43</v>
      </c>
      <c r="H19" s="14">
        <v>43902</v>
      </c>
      <c r="I19" s="10" t="s">
        <v>36</v>
      </c>
      <c r="J19" s="92" t="str">
        <f t="shared" si="1"/>
        <v>New</v>
      </c>
    </row>
    <row r="20" spans="1:10" x14ac:dyDescent="0.2">
      <c r="A20" s="25">
        <v>19</v>
      </c>
      <c r="B20" s="18">
        <v>7</v>
      </c>
      <c r="C20" s="18" t="s">
        <v>8</v>
      </c>
      <c r="D20" s="47" t="s">
        <v>195</v>
      </c>
      <c r="E20" s="12">
        <v>4017</v>
      </c>
      <c r="F20" s="12">
        <f>SUMIFS('Week 10 Mar 2 - Mar 8 2020'!F:F,'Week 10 Mar 2 - Mar 8 2020'!D:D,'Week 11 Mar 9 - Mar 15 2020'!D:D,'Week 10 Mar 2 - Mar 8 2020'!C:C,'Week 11 Mar 9 - Mar 15 2020'!C:C)+Table3611910135557[[#This Row],[Week Sales]]</f>
        <v>147625</v>
      </c>
      <c r="G20" s="18" t="str">
        <f>(VLOOKUP(D:D,'Week 10 Mar 2 - Mar 8 2020'!D:G,4,FALSE))</f>
        <v>Atlus</v>
      </c>
      <c r="H20" s="67">
        <f>(VLOOKUP(D:D,'Week 10 Mar 2 - Mar 8 2020'!D:H,5,FALSE))</f>
        <v>43881</v>
      </c>
      <c r="I20" s="12">
        <f>_xlfn.IFNA(SUMIFS('Week 10 Mar 2 - Mar 8 2020'!E:E,'Week 10 Mar 2 - Mar 8 2020'!D:D,'Week 11 Mar 9 - Mar 15 2020'!D:D,'Week 10 Mar 2 - Mar 8 2020'!C:C,'Week 11 Mar 9 - Mar 15 2020'!C:C),"New")</f>
        <v>8109</v>
      </c>
      <c r="J20" s="28">
        <f t="shared" si="1"/>
        <v>-0.50462449130595632</v>
      </c>
    </row>
    <row r="21" spans="1:10" x14ac:dyDescent="0.2">
      <c r="A21" s="25">
        <v>20</v>
      </c>
      <c r="B21" s="18">
        <v>14</v>
      </c>
      <c r="C21" s="18" t="s">
        <v>7</v>
      </c>
      <c r="D21" s="47" t="s">
        <v>79</v>
      </c>
      <c r="E21" s="12">
        <v>3947</v>
      </c>
      <c r="F21" s="12">
        <f>SUMIFS('Week 10 Mar 2 - Mar 8 2020'!F:F,'Week 10 Mar 2 - Mar 8 2020'!D:D,'Week 11 Mar 9 - Mar 15 2020'!D:D,'Week 10 Mar 2 - Mar 8 2020'!C:C,'Week 11 Mar 9 - Mar 15 2020'!C:C)+Table3611910135557[[#This Row],[Week Sales]]</f>
        <v>616285</v>
      </c>
      <c r="G21" s="18" t="str">
        <f>(VLOOKUP(D:D,'Week 10 Mar 2 - Mar 8 2020'!D:G,4,FALSE))</f>
        <v>Nintendo</v>
      </c>
      <c r="H21" s="67">
        <f>(VLOOKUP(D:D,'Week 10 Mar 2 - Mar 8 2020'!D:H,5,FALSE))</f>
        <v>43769</v>
      </c>
      <c r="I21" s="12">
        <f>_xlfn.IFNA(SUMIFS('Week 10 Mar 2 - Mar 8 2020'!E:E,'Week 10 Mar 2 - Mar 8 2020'!D:D,'Week 11 Mar 9 - Mar 15 2020'!D:D,'Week 10 Mar 2 - Mar 8 2020'!C:C,'Week 11 Mar 9 - Mar 15 2020'!C:C),"New")</f>
        <v>4835</v>
      </c>
      <c r="J21" s="28">
        <f t="shared" si="1"/>
        <v>-0.18366080661840745</v>
      </c>
    </row>
    <row r="22" spans="1:10" x14ac:dyDescent="0.2">
      <c r="A22" s="25">
        <v>21</v>
      </c>
      <c r="B22" s="18">
        <v>18</v>
      </c>
      <c r="C22" s="18" t="s">
        <v>7</v>
      </c>
      <c r="D22" s="47" t="s">
        <v>80</v>
      </c>
      <c r="E22" s="12">
        <v>3620</v>
      </c>
      <c r="F22" s="12">
        <f>SUMIFS('Week 10 Mar 2 - Mar 8 2020'!F:F,'Week 10 Mar 2 - Mar 8 2020'!D:D,'Week 11 Mar 9 - Mar 15 2020'!D:D,'Week 10 Mar 2 - Mar 8 2020'!C:C,'Week 11 Mar 9 - Mar 15 2020'!C:C)+Table3611910135557[[#This Row],[Week Sales]]</f>
        <v>286919</v>
      </c>
      <c r="G22" s="18" t="str">
        <f>(VLOOKUP(D:D,'Week 10 Mar 2 - Mar 8 2020'!D:G,4,FALSE))</f>
        <v>Sega</v>
      </c>
      <c r="H22" s="67">
        <f>(VLOOKUP(D:D,'Week 10 Mar 2 - Mar 8 2020'!D:H,5,FALSE))</f>
        <v>43770</v>
      </c>
      <c r="I22" s="12">
        <f>_xlfn.IFNA(SUMIFS('Week 10 Mar 2 - Mar 8 2020'!E:E,'Week 10 Mar 2 - Mar 8 2020'!D:D,'Week 11 Mar 9 - Mar 15 2020'!D:D,'Week 10 Mar 2 - Mar 8 2020'!C:C,'Week 11 Mar 9 - Mar 15 2020'!C:C),"New")</f>
        <v>4374</v>
      </c>
      <c r="J22" s="28">
        <f t="shared" si="1"/>
        <v>-0.17238225880201188</v>
      </c>
    </row>
    <row r="23" spans="1:10" x14ac:dyDescent="0.2">
      <c r="A23" s="25">
        <v>22</v>
      </c>
      <c r="B23" s="18">
        <v>15</v>
      </c>
      <c r="C23" s="18" t="s">
        <v>7</v>
      </c>
      <c r="D23" s="47" t="s">
        <v>195</v>
      </c>
      <c r="E23" s="12">
        <v>3506</v>
      </c>
      <c r="F23" s="12">
        <f>SUMIFS('Week 10 Mar 2 - Mar 8 2020'!F:F,'Week 10 Mar 2 - Mar 8 2020'!D:D,'Week 11 Mar 9 - Mar 15 2020'!D:D,'Week 10 Mar 2 - Mar 8 2020'!C:C,'Week 11 Mar 9 - Mar 15 2020'!C:C)+Table3611910135557[[#This Row],[Week Sales]]</f>
        <v>63565</v>
      </c>
      <c r="G23" s="18" t="str">
        <f>(VLOOKUP(D:D,'Week 10 Mar 2 - Mar 8 2020'!D:G,4,FALSE))</f>
        <v>Atlus</v>
      </c>
      <c r="H23" s="67">
        <f>(VLOOKUP(D:D,'Week 10 Mar 2 - Mar 8 2020'!D:H,5,FALSE))</f>
        <v>43881</v>
      </c>
      <c r="I23" s="12">
        <f>_xlfn.IFNA(SUMIFS('Week 10 Mar 2 - Mar 8 2020'!E:E,'Week 10 Mar 2 - Mar 8 2020'!D:D,'Week 11 Mar 9 - Mar 15 2020'!D:D,'Week 10 Mar 2 - Mar 8 2020'!C:C,'Week 11 Mar 9 - Mar 15 2020'!C:C),"New")</f>
        <v>4755</v>
      </c>
      <c r="J23" s="28">
        <f>IFERROR((E23-I23)/I23,"New")</f>
        <v>-0.26267087276550999</v>
      </c>
    </row>
    <row r="24" spans="1:10" x14ac:dyDescent="0.2">
      <c r="A24" s="25">
        <v>23</v>
      </c>
      <c r="B24" s="18">
        <v>17</v>
      </c>
      <c r="C24" s="18" t="s">
        <v>7</v>
      </c>
      <c r="D24" s="47" t="s">
        <v>192</v>
      </c>
      <c r="E24" s="12">
        <v>3297</v>
      </c>
      <c r="F24" s="12">
        <f>SUMIFS('Week 10 Mar 2 - Mar 8 2020'!F:F,'Week 10 Mar 2 - Mar 8 2020'!D:D,'Week 11 Mar 9 - Mar 15 2020'!D:D,'Week 10 Mar 2 - Mar 8 2020'!C:C,'Week 11 Mar 9 - Mar 15 2020'!C:C)+Table3611910135557[[#This Row],[Week Sales]]</f>
        <v>74459</v>
      </c>
      <c r="G24" s="18" t="str">
        <f>(VLOOKUP(D:D,'Week 10 Mar 2 - Mar 8 2020'!D:G,4,FALSE))</f>
        <v>Sega</v>
      </c>
      <c r="H24" s="67">
        <f>(VLOOKUP(D:D,'Week 10 Mar 2 - Mar 8 2020'!D:H,5,FALSE))</f>
        <v>43874</v>
      </c>
      <c r="I24" s="12">
        <f>_xlfn.IFNA(SUMIFS('Week 10 Mar 2 - Mar 8 2020'!E:E,'Week 10 Mar 2 - Mar 8 2020'!D:D,'Week 11 Mar 9 - Mar 15 2020'!D:D,'Week 10 Mar 2 - Mar 8 2020'!C:C,'Week 11 Mar 9 - Mar 15 2020'!C:C),"New")</f>
        <v>4621</v>
      </c>
      <c r="J24" s="28">
        <f>IFERROR((E24-I24)/I24,"New")</f>
        <v>-0.28651806968188703</v>
      </c>
    </row>
    <row r="25" spans="1:10" x14ac:dyDescent="0.2">
      <c r="A25" s="25">
        <v>24</v>
      </c>
      <c r="B25" s="18">
        <v>19</v>
      </c>
      <c r="C25" s="18" t="s">
        <v>7</v>
      </c>
      <c r="D25" s="47" t="s">
        <v>20</v>
      </c>
      <c r="E25" s="12">
        <v>3186</v>
      </c>
      <c r="F25" s="12">
        <f>SUMIFS('Week 10 Mar 2 - Mar 8 2020'!F:F,'Week 10 Mar 2 - Mar 8 2020'!D:D,'Week 11 Mar 9 - Mar 15 2020'!D:D,'Week 10 Mar 2 - Mar 8 2020'!C:C,'Week 11 Mar 9 - Mar 15 2020'!C:C)+Table3611910135557[[#This Row],[Week Sales]]</f>
        <v>406563</v>
      </c>
      <c r="G25" s="18" t="str">
        <f>(VLOOKUP(D:D,'Week 10 Mar 2 - Mar 8 2020'!D:G,4,FALSE))</f>
        <v>Bandai Namco</v>
      </c>
      <c r="H25" s="67">
        <f>(VLOOKUP(D:D,'Week 10 Mar 2 - Mar 8 2020'!D:H,5,FALSE))</f>
        <v>43671</v>
      </c>
      <c r="I25" s="12">
        <f>_xlfn.IFNA(SUMIFS('Week 10 Mar 2 - Mar 8 2020'!E:E,'Week 10 Mar 2 - Mar 8 2020'!D:D,'Week 11 Mar 9 - Mar 15 2020'!D:D,'Week 10 Mar 2 - Mar 8 2020'!C:C,'Week 11 Mar 9 - Mar 15 2020'!C:C),"New")</f>
        <v>3815</v>
      </c>
      <c r="J25" s="28">
        <f t="shared" ref="J25:J30" si="2">IFERROR((E25-I25)/I25,"New")</f>
        <v>-0.16487549148099606</v>
      </c>
    </row>
    <row r="26" spans="1:10" x14ac:dyDescent="0.2">
      <c r="A26" s="25">
        <v>25</v>
      </c>
      <c r="B26" s="18">
        <v>21</v>
      </c>
      <c r="C26" s="18" t="s">
        <v>7</v>
      </c>
      <c r="D26" s="47" t="s">
        <v>25</v>
      </c>
      <c r="E26" s="12">
        <v>2642</v>
      </c>
      <c r="F26" s="12">
        <f>SUMIFS('Week 10 Mar 2 - Mar 8 2020'!F:F,'Week 10 Mar 2 - Mar 8 2020'!D:D,'Week 11 Mar 9 - Mar 15 2020'!D:D,'Week 10 Mar 2 - Mar 8 2020'!C:C,'Week 11 Mar 9 - Mar 15 2020'!C:C)+Table3611910135557[[#This Row],[Week Sales]]</f>
        <v>455861</v>
      </c>
      <c r="G26" s="18" t="str">
        <f>(VLOOKUP(D:D,'Week 10 Mar 2 - Mar 8 2020'!D:G,4,FALSE))</f>
        <v>Bandai Namco</v>
      </c>
      <c r="H26" s="67">
        <f>(VLOOKUP(D:D,'Week 10 Mar 2 - Mar 8 2020'!D:H,5,FALSE))</f>
        <v>43300</v>
      </c>
      <c r="I26" s="12">
        <f>_xlfn.IFNA(SUMIFS('Week 10 Mar 2 - Mar 8 2020'!E:E,'Week 10 Mar 2 - Mar 8 2020'!D:D,'Week 11 Mar 9 - Mar 15 2020'!D:D,'Week 10 Mar 2 - Mar 8 2020'!C:C,'Week 11 Mar 9 - Mar 15 2020'!C:C),"New")</f>
        <v>3152</v>
      </c>
      <c r="J26" s="28">
        <f t="shared" si="2"/>
        <v>-0.16180203045685279</v>
      </c>
    </row>
    <row r="27" spans="1:10" x14ac:dyDescent="0.2">
      <c r="A27" s="13">
        <v>26</v>
      </c>
      <c r="B27" s="9" t="s">
        <v>36</v>
      </c>
      <c r="C27" s="9" t="s">
        <v>7</v>
      </c>
      <c r="D27" s="9" t="s">
        <v>218</v>
      </c>
      <c r="E27" s="10">
        <v>2533</v>
      </c>
      <c r="F27" s="10">
        <f>SUMIFS('Week 10 Mar 2 - Mar 8 2020'!F:F,'Week 10 Mar 2 - Mar 8 2020'!D:D,'Week 11 Mar 9 - Mar 15 2020'!D:D,'Week 10 Mar 2 - Mar 8 2020'!C:C,'Week 11 Mar 9 - Mar 15 2020'!C:C)+Table3611910135557[[#This Row],[Week Sales]]</f>
        <v>2533</v>
      </c>
      <c r="G27" s="9" t="s">
        <v>140</v>
      </c>
      <c r="H27" s="14">
        <v>43902</v>
      </c>
      <c r="I27" s="10" t="s">
        <v>36</v>
      </c>
      <c r="J27" s="92" t="str">
        <f>IFERROR((E27-I27)/I27,"New")</f>
        <v>New</v>
      </c>
    </row>
    <row r="28" spans="1:10" x14ac:dyDescent="0.2">
      <c r="A28" s="25">
        <v>27</v>
      </c>
      <c r="B28" s="18">
        <v>20</v>
      </c>
      <c r="C28" s="18" t="s">
        <v>8</v>
      </c>
      <c r="D28" s="47" t="s">
        <v>191</v>
      </c>
      <c r="E28" s="12">
        <v>2426</v>
      </c>
      <c r="F28" s="12">
        <f>SUMIFS('Week 10 Mar 2 - Mar 8 2020'!F:F,'Week 10 Mar 2 - Mar 8 2020'!D:D,'Week 11 Mar 9 - Mar 15 2020'!D:D,'Week 10 Mar 2 - Mar 8 2020'!C:C,'Week 11 Mar 9 - Mar 15 2020'!C:C)+Table3611910135557[[#This Row],[Week Sales]]</f>
        <v>111094</v>
      </c>
      <c r="G28" s="18" t="str">
        <f>(VLOOKUP(D:D,'Week 10 Mar 2 - Mar 8 2020'!D:G,4,FALSE))</f>
        <v>Cygames</v>
      </c>
      <c r="H28" s="67">
        <f>(VLOOKUP(D:D,'Week 10 Mar 2 - Mar 8 2020'!D:H,5,FALSE))</f>
        <v>43867</v>
      </c>
      <c r="I28" s="12">
        <f>_xlfn.IFNA(SUMIFS('Week 10 Mar 2 - Mar 8 2020'!E:E,'Week 10 Mar 2 - Mar 8 2020'!D:D,'Week 11 Mar 9 - Mar 15 2020'!D:D,'Week 10 Mar 2 - Mar 8 2020'!C:C,'Week 11 Mar 9 - Mar 15 2020'!C:C),"New")</f>
        <v>3216</v>
      </c>
      <c r="J28" s="28">
        <f t="shared" si="2"/>
        <v>-0.24564676616915423</v>
      </c>
    </row>
    <row r="29" spans="1:10" x14ac:dyDescent="0.2">
      <c r="A29" s="25">
        <v>28</v>
      </c>
      <c r="B29" s="18">
        <v>12</v>
      </c>
      <c r="C29" s="18" t="s">
        <v>7</v>
      </c>
      <c r="D29" s="47" t="s">
        <v>210</v>
      </c>
      <c r="E29" s="12">
        <v>2363</v>
      </c>
      <c r="F29" s="12">
        <f>SUMIFS('Week 10 Mar 2 - Mar 8 2020'!F:F,'Week 10 Mar 2 - Mar 8 2020'!D:D,'Week 11 Mar 9 - Mar 15 2020'!D:D,'Week 10 Mar 2 - Mar 8 2020'!C:C,'Week 11 Mar 9 - Mar 15 2020'!C:C)+Table3611910135557[[#This Row],[Week Sales]]</f>
        <v>7878</v>
      </c>
      <c r="G29" s="18" t="str">
        <f>(VLOOKUP(D:D,'Week 10 Mar 2 - Mar 8 2020'!D:G,4,FALSE))</f>
        <v>FuRyu</v>
      </c>
      <c r="H29" s="67">
        <f>(VLOOKUP(D:D,'Week 10 Mar 2 - Mar 8 2020'!D:H,5,FALSE))</f>
        <v>43895</v>
      </c>
      <c r="I29" s="12">
        <f>_xlfn.IFNA(SUMIFS('Week 10 Mar 2 - Mar 8 2020'!E:E,'Week 10 Mar 2 - Mar 8 2020'!D:D,'Week 11 Mar 9 - Mar 15 2020'!D:D,'Week 10 Mar 2 - Mar 8 2020'!C:C,'Week 11 Mar 9 - Mar 15 2020'!C:C),"New")</f>
        <v>5515</v>
      </c>
      <c r="J29" s="28">
        <f t="shared" si="2"/>
        <v>-0.57153218495013602</v>
      </c>
    </row>
    <row r="30" spans="1:10" x14ac:dyDescent="0.2">
      <c r="A30" s="25">
        <v>29</v>
      </c>
      <c r="B30" s="18">
        <v>25</v>
      </c>
      <c r="C30" s="18" t="s">
        <v>7</v>
      </c>
      <c r="D30" s="47" t="s">
        <v>26</v>
      </c>
      <c r="E30" s="12">
        <v>2302</v>
      </c>
      <c r="F30" s="12">
        <f>SUMIFS('Week 10 Mar 2 - Mar 8 2020'!F:F,'Week 10 Mar 2 - Mar 8 2020'!D:D,'Week 11 Mar 9 - Mar 15 2020'!D:D,'Week 10 Mar 2 - Mar 8 2020'!C:C,'Week 11 Mar 9 - Mar 15 2020'!C:C)+Table3611910135557[[#This Row],[Week Sales]]</f>
        <v>2079942</v>
      </c>
      <c r="G30" s="18" t="str">
        <f>(VLOOKUP(D:D,'Week 10 Mar 2 - Mar 8 2020'!D:G,4,FALSE))</f>
        <v>Nintendo</v>
      </c>
      <c r="H30" s="67">
        <f>(VLOOKUP(D:D,'Week 10 Mar 2 - Mar 8 2020'!D:H,5,FALSE))</f>
        <v>43035</v>
      </c>
      <c r="I30" s="12">
        <f>_xlfn.IFNA(SUMIFS('Week 10 Mar 2 - Mar 8 2020'!E:E,'Week 10 Mar 2 - Mar 8 2020'!D:D,'Week 11 Mar 9 - Mar 15 2020'!D:D,'Week 10 Mar 2 - Mar 8 2020'!C:C,'Week 11 Mar 9 - Mar 15 2020'!C:C),"New")</f>
        <v>2643</v>
      </c>
      <c r="J30" s="28">
        <f t="shared" si="2"/>
        <v>-0.12902005297010971</v>
      </c>
    </row>
    <row r="31" spans="1:10" x14ac:dyDescent="0.2">
      <c r="A31" s="25">
        <v>30</v>
      </c>
      <c r="B31" s="18">
        <v>23</v>
      </c>
      <c r="C31" s="18" t="s">
        <v>7</v>
      </c>
      <c r="D31" s="47" t="s">
        <v>83</v>
      </c>
      <c r="E31" s="12">
        <v>2271</v>
      </c>
      <c r="F31" s="12">
        <f>SUMIFS('Week 10 Mar 2 - Mar 8 2020'!F:F,'Week 10 Mar 2 - Mar 8 2020'!D:D,'Week 11 Mar 9 - Mar 15 2020'!D:D,'Week 10 Mar 2 - Mar 8 2020'!C:C,'Week 11 Mar 9 - Mar 15 2020'!C:C)+Table3611910135557[[#This Row],[Week Sales]]</f>
        <v>498006</v>
      </c>
      <c r="G31" s="18" t="str">
        <f>(VLOOKUP(D:D,'Week 10 Mar 2 - Mar 8 2020'!D:G,4,FALSE))</f>
        <v>Square Enix</v>
      </c>
      <c r="H31" s="67">
        <f>(VLOOKUP(D:D,'Week 10 Mar 2 - Mar 8 2020'!D:H,5,FALSE))</f>
        <v>43735</v>
      </c>
      <c r="I31" s="12">
        <f>_xlfn.IFNA(SUMIFS('Week 10 Mar 2 - Mar 8 2020'!E:E,'Week 10 Mar 2 - Mar 8 2020'!D:D,'Week 11 Mar 9 - Mar 15 2020'!D:D,'Week 10 Mar 2 - Mar 8 2020'!C:C,'Week 11 Mar 9 - Mar 15 2020'!C:C),"New")</f>
        <v>2765</v>
      </c>
      <c r="J31" s="28">
        <f>IFERROR((E31-I31)/I31,"New")</f>
        <v>-0.1786618444846293</v>
      </c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306534</v>
      </c>
      <c r="F33" s="2"/>
      <c r="I33" s="2"/>
      <c r="J33" s="19"/>
    </row>
    <row r="34" spans="1:10" x14ac:dyDescent="0.2">
      <c r="A34" s="3"/>
      <c r="B34" s="3"/>
      <c r="D34" s="100" t="s">
        <v>178</v>
      </c>
      <c r="E34" s="101">
        <f>SUM('Week 10 Mar 2 - Mar 8 2020'!E34,'Week 11 Mar 9 - Mar 15 2020'!E33)</f>
        <v>3606912</v>
      </c>
      <c r="F34" s="2"/>
      <c r="I34" s="2"/>
      <c r="J34" s="19"/>
    </row>
    <row r="35" spans="1:10" x14ac:dyDescent="0.2">
      <c r="A35" s="3"/>
      <c r="B35" s="3"/>
      <c r="D35" s="2" t="s">
        <v>60</v>
      </c>
      <c r="E35" s="2">
        <f>AVERAGE(E2:E31)</f>
        <v>10217.799999999999</v>
      </c>
      <c r="F35" s="2"/>
      <c r="I35" s="2"/>
      <c r="J35" s="19"/>
    </row>
    <row r="36" spans="1:10" x14ac:dyDescent="0.2">
      <c r="A36" s="3"/>
      <c r="B36" s="3"/>
      <c r="D36" s="9" t="s">
        <v>78</v>
      </c>
      <c r="E36" s="10">
        <f>COUNTIF(B:B,"New")</f>
        <v>7</v>
      </c>
      <c r="F36" s="2"/>
      <c r="I36" s="2"/>
      <c r="J36" s="19"/>
    </row>
    <row r="37" spans="1:10" x14ac:dyDescent="0.2">
      <c r="A37" s="3"/>
      <c r="B37" s="3"/>
      <c r="E37" s="2"/>
      <c r="F37" s="2"/>
      <c r="I37" s="2"/>
      <c r="J37" s="19"/>
    </row>
    <row r="38" spans="1:10" x14ac:dyDescent="0.2">
      <c r="A38" s="3"/>
      <c r="B38" s="3"/>
      <c r="D38" t="s">
        <v>66</v>
      </c>
      <c r="E38" s="2"/>
      <c r="F38" s="2"/>
      <c r="I38" s="2"/>
      <c r="J38" s="19"/>
    </row>
    <row r="39" spans="1:10" x14ac:dyDescent="0.2">
      <c r="A39" s="3"/>
      <c r="B39" s="3"/>
      <c r="D39" s="8" t="s">
        <v>67</v>
      </c>
      <c r="E39" s="2"/>
      <c r="F39" s="2"/>
      <c r="I39" s="2"/>
      <c r="J39" s="19"/>
    </row>
    <row r="40" spans="1:10" x14ac:dyDescent="0.2">
      <c r="A40" s="3"/>
      <c r="B40" s="3"/>
      <c r="D40" s="8" t="s">
        <v>65</v>
      </c>
      <c r="E40" s="2"/>
      <c r="F40" s="2"/>
      <c r="I40" s="2"/>
      <c r="J40" s="19"/>
    </row>
    <row r="41" spans="1:10" x14ac:dyDescent="0.2">
      <c r="D41" s="8" t="s">
        <v>71</v>
      </c>
      <c r="E41" s="2"/>
    </row>
  </sheetData>
  <hyperlinks>
    <hyperlink ref="D40" r:id="rId1" xr:uid="{5B28E047-E9E3-CB4B-A24B-14D2D313AD42}"/>
    <hyperlink ref="D41" r:id="rId2" xr:uid="{ECA54306-33AE-6743-8FB5-C5CAEC943D2B}"/>
    <hyperlink ref="D39" r:id="rId3" xr:uid="{C67A5A36-D4DB-2F49-B2D1-757C1BBA0BF2}"/>
  </hyperlinks>
  <pageMargins left="0.7" right="0.7" top="0.75" bottom="0.75" header="0.3" footer="0.3"/>
  <pageSetup paperSize="9" orientation="portrait" horizontalDpi="0" verticalDpi="0"/>
  <ignoredErrors>
    <ignoredError sqref="G2:I18 F2 G20:I31 G19:H19" calculatedColumn="1"/>
  </ignoredErrors>
  <tableParts count="1"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7006-103C-7E4A-9C0B-E123FC8723DD}">
  <dimension ref="A1:J41"/>
  <sheetViews>
    <sheetView workbookViewId="0">
      <selection activeCell="A32" sqref="A32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3.8320312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0" x14ac:dyDescent="0.2">
      <c r="A2" s="13">
        <v>1</v>
      </c>
      <c r="B2" s="9" t="s">
        <v>36</v>
      </c>
      <c r="C2" s="9" t="s">
        <v>7</v>
      </c>
      <c r="D2" s="95" t="s">
        <v>46</v>
      </c>
      <c r="E2" s="10">
        <v>1880626</v>
      </c>
      <c r="F2" s="10">
        <f>SUMIFS('Week 11 Mar 9 - Mar 15 2020'!F:F,'Week 11 Mar 9 - Mar 15 2020'!D:D,'Week 12 Mar 16 - Mar 22 2020'!D:D,'Week 11 Mar 9 - Mar 15 2020'!C:C,'Week 12 Mar 16 - Mar 22 2020'!C:C)+Table361191013555712[[#This Row],[Week Sales]]</f>
        <v>1880626</v>
      </c>
      <c r="G2" s="9" t="s">
        <v>9</v>
      </c>
      <c r="H2" s="14">
        <v>43910</v>
      </c>
      <c r="I2" s="10" t="s">
        <v>36</v>
      </c>
      <c r="J2" s="92" t="str">
        <f>IFERROR((E2-I2)/I2,"New")</f>
        <v>New</v>
      </c>
    </row>
    <row r="3" spans="1:10" x14ac:dyDescent="0.2">
      <c r="A3" s="25">
        <v>2</v>
      </c>
      <c r="B3" s="18">
        <v>1</v>
      </c>
      <c r="C3" s="18" t="s">
        <v>8</v>
      </c>
      <c r="D3" s="47" t="s">
        <v>214</v>
      </c>
      <c r="E3" s="12">
        <v>26140</v>
      </c>
      <c r="F3" s="12">
        <f>SUMIFS('Week 11 Mar 9 - Mar 15 2020'!F:F,'Week 11 Mar 9 - Mar 15 2020'!D:D,'Week 12 Mar 16 - Mar 22 2020'!D:D,'Week 11 Mar 9 - Mar 15 2020'!C:C,'Week 12 Mar 16 - Mar 22 2020'!C:C)+Table361191013555712[[#This Row],[Week Sales]]</f>
        <v>118032</v>
      </c>
      <c r="G3" s="18" t="str">
        <f>(VLOOKUP(D:D,'Week 11 Mar 9 - Mar 15 2020'!D:G,4,FALSE))</f>
        <v>Koei Tecmo</v>
      </c>
      <c r="H3" s="67">
        <f>(VLOOKUP(D:D,'Week 11 Mar 9 - Mar 15 2020'!D:H,5,FALSE))</f>
        <v>43902</v>
      </c>
      <c r="I3" s="12">
        <f>_xlfn.IFNA(SUMIFS('Week 11 Mar 9 - Mar 15 2020'!E:E,'Week 11 Mar 9 - Mar 15 2020'!D:D,'Week 12 Mar 16 - Mar 22 2020'!D:D,'Week 11 Mar 9 - Mar 15 2020'!C:C,'Week 12 Mar 16 - Mar 22 2020'!C:C),"New")</f>
        <v>91892</v>
      </c>
      <c r="J3" s="28">
        <f t="shared" ref="J3:J8" si="0">IFERROR((E3-I3)/I3,"New")</f>
        <v>-0.71553562878161325</v>
      </c>
    </row>
    <row r="4" spans="1:10" x14ac:dyDescent="0.2">
      <c r="A4" s="25">
        <v>3</v>
      </c>
      <c r="B4" s="18">
        <v>2</v>
      </c>
      <c r="C4" s="18" t="s">
        <v>7</v>
      </c>
      <c r="D4" s="47" t="s">
        <v>209</v>
      </c>
      <c r="E4" s="12">
        <v>21954</v>
      </c>
      <c r="F4" s="12">
        <f>SUMIFS('Week 11 Mar 9 - Mar 15 2020'!F:F,'Week 11 Mar 9 - Mar 15 2020'!D:D,'Week 12 Mar 16 - Mar 22 2020'!D:D,'Week 11 Mar 9 - Mar 15 2020'!C:C,'Week 12 Mar 16 - Mar 22 2020'!C:C)+Table361191013555712[[#This Row],[Week Sales]]</f>
        <v>206893</v>
      </c>
      <c r="G4" s="18" t="str">
        <f>(VLOOKUP(D:D,'Week 11 Mar 9 - Mar 15 2020'!D:G,4,FALSE))</f>
        <v>The Pokemon Company</v>
      </c>
      <c r="H4" s="67">
        <f>(VLOOKUP(D:D,'Week 11 Mar 9 - Mar 15 2020'!D:H,5,FALSE))</f>
        <v>43896</v>
      </c>
      <c r="I4" s="12">
        <f>_xlfn.IFNA(SUMIFS('Week 11 Mar 9 - Mar 15 2020'!E:E,'Week 11 Mar 9 - Mar 15 2020'!D:D,'Week 12 Mar 16 - Mar 22 2020'!D:D,'Week 11 Mar 9 - Mar 15 2020'!C:C,'Week 12 Mar 16 - Mar 22 2020'!C:C),"New")</f>
        <v>46391</v>
      </c>
      <c r="J4" s="28">
        <f t="shared" si="0"/>
        <v>-0.52676165635575867</v>
      </c>
    </row>
    <row r="5" spans="1:10" x14ac:dyDescent="0.2">
      <c r="A5" s="25">
        <v>4</v>
      </c>
      <c r="B5" s="18">
        <v>3</v>
      </c>
      <c r="C5" s="18" t="s">
        <v>7</v>
      </c>
      <c r="D5" s="47" t="s">
        <v>62</v>
      </c>
      <c r="E5" s="12">
        <v>17608</v>
      </c>
      <c r="F5" s="12">
        <f>SUMIFS('Week 11 Mar 9 - Mar 15 2020'!F:F,'Week 11 Mar 9 - Mar 15 2020'!D:D,'Week 12 Mar 16 - Mar 22 2020'!D:D,'Week 11 Mar 9 - Mar 15 2020'!C:C,'Week 12 Mar 16 - Mar 22 2020'!C:C)+Table361191013555712[[#This Row],[Week Sales]]</f>
        <v>3527528</v>
      </c>
      <c r="G5" s="18" t="str">
        <f>(VLOOKUP(D:D,'Week 11 Mar 9 - Mar 15 2020'!D:G,4,FALSE))</f>
        <v>The Pokemon Company</v>
      </c>
      <c r="H5" s="67">
        <f>(VLOOKUP(D:D,'Week 11 Mar 9 - Mar 15 2020'!D:H,5,FALSE))</f>
        <v>43784</v>
      </c>
      <c r="I5" s="12">
        <f>_xlfn.IFNA(SUMIFS('Week 11 Mar 9 - Mar 15 2020'!E:E,'Week 11 Mar 9 - Mar 15 2020'!D:D,'Week 12 Mar 16 - Mar 22 2020'!D:D,'Week 11 Mar 9 - Mar 15 2020'!C:C,'Week 12 Mar 16 - Mar 22 2020'!C:C),"New")</f>
        <v>18567</v>
      </c>
      <c r="J5" s="28">
        <f>IFERROR((E5-I5)/I5,"New")</f>
        <v>-5.1650778262508752E-2</v>
      </c>
    </row>
    <row r="6" spans="1:10" x14ac:dyDescent="0.2">
      <c r="A6" s="25">
        <v>5</v>
      </c>
      <c r="B6" s="18">
        <v>5</v>
      </c>
      <c r="C6" s="18" t="s">
        <v>7</v>
      </c>
      <c r="D6" s="47" t="s">
        <v>12</v>
      </c>
      <c r="E6" s="12">
        <v>12116</v>
      </c>
      <c r="F6" s="12">
        <f>SUMIFS('Week 11 Mar 9 - Mar 15 2020'!F:F,'Week 11 Mar 9 - Mar 15 2020'!D:D,'Week 12 Mar 16 - Mar 22 2020'!D:D,'Week 11 Mar 9 - Mar 15 2020'!C:C,'Week 12 Mar 16 - Mar 22 2020'!C:C)+Table361191013555712[[#This Row],[Week Sales]]</f>
        <v>1321931</v>
      </c>
      <c r="G6" s="18" t="str">
        <f>(VLOOKUP(D:D,'Week 11 Mar 9 - Mar 15 2020'!D:G,4,FALSE))</f>
        <v>Microsoft</v>
      </c>
      <c r="H6" s="67">
        <f>(VLOOKUP(D:D,'Week 11 Mar 9 - Mar 15 2020'!D:H,5,FALSE))</f>
        <v>43272</v>
      </c>
      <c r="I6" s="12">
        <f>_xlfn.IFNA(SUMIFS('Week 11 Mar 9 - Mar 15 2020'!E:E,'Week 11 Mar 9 - Mar 15 2020'!D:D,'Week 12 Mar 16 - Mar 22 2020'!D:D,'Week 11 Mar 9 - Mar 15 2020'!C:C,'Week 12 Mar 16 - Mar 22 2020'!C:C),"New")</f>
        <v>11787</v>
      </c>
      <c r="J6" s="28">
        <f t="shared" si="0"/>
        <v>2.7912106558072452E-2</v>
      </c>
    </row>
    <row r="7" spans="1:10" x14ac:dyDescent="0.2">
      <c r="A7" s="25">
        <v>6</v>
      </c>
      <c r="B7" s="18">
        <v>6</v>
      </c>
      <c r="C7" s="18" t="s">
        <v>7</v>
      </c>
      <c r="D7" s="47" t="s">
        <v>49</v>
      </c>
      <c r="E7" s="12">
        <v>12095</v>
      </c>
      <c r="F7" s="12">
        <f>SUMIFS('Week 11 Mar 9 - Mar 15 2020'!F:F,'Week 11 Mar 9 - Mar 15 2020'!D:D,'Week 12 Mar 16 - Mar 22 2020'!D:D,'Week 11 Mar 9 - Mar 15 2020'!C:C,'Week 12 Mar 16 - Mar 22 2020'!C:C)+Table361191013555712[[#This Row],[Week Sales]]</f>
        <v>2829353</v>
      </c>
      <c r="G7" s="18" t="str">
        <f>(VLOOKUP(D:D,'Week 11 Mar 9 - Mar 15 2020'!D:G,4,FALSE))</f>
        <v>Nintendo</v>
      </c>
      <c r="H7" s="67">
        <f>(VLOOKUP(D:D,'Week 11 Mar 9 - Mar 15 2020'!D:H,5,FALSE))</f>
        <v>42853</v>
      </c>
      <c r="I7" s="12">
        <f>_xlfn.IFNA(SUMIFS('Week 11 Mar 9 - Mar 15 2020'!E:E,'Week 11 Mar 9 - Mar 15 2020'!D:D,'Week 12 Mar 16 - Mar 22 2020'!D:D,'Week 11 Mar 9 - Mar 15 2020'!C:C,'Week 12 Mar 16 - Mar 22 2020'!C:C),"New")</f>
        <v>11272</v>
      </c>
      <c r="J7" s="28">
        <f>IFERROR((E7-I7)/I7,"New")</f>
        <v>7.3012775017743087E-2</v>
      </c>
    </row>
    <row r="8" spans="1:10" x14ac:dyDescent="0.2">
      <c r="A8" s="25">
        <v>7</v>
      </c>
      <c r="B8" s="18">
        <v>7</v>
      </c>
      <c r="C8" s="18" t="s">
        <v>7</v>
      </c>
      <c r="D8" s="47" t="s">
        <v>52</v>
      </c>
      <c r="E8" s="12">
        <v>10647</v>
      </c>
      <c r="F8" s="12">
        <f>SUMIFS('Week 11 Mar 9 - Mar 15 2020'!F:F,'Week 11 Mar 9 - Mar 15 2020'!D:D,'Week 12 Mar 16 - Mar 22 2020'!D:D,'Week 11 Mar 9 - Mar 15 2020'!C:C,'Week 12 Mar 16 - Mar 22 2020'!C:C)+Table361191013555712[[#This Row],[Week Sales]]</f>
        <v>3612919</v>
      </c>
      <c r="G8" s="18" t="str">
        <f>(VLOOKUP(D:D,'Week 11 Mar 9 - Mar 15 2020'!D:G,4,FALSE))</f>
        <v>Nintendo</v>
      </c>
      <c r="H8" s="67">
        <f>(VLOOKUP(D:D,'Week 11 Mar 9 - Mar 15 2020'!D:H,5,FALSE))</f>
        <v>43441</v>
      </c>
      <c r="I8" s="12">
        <f>_xlfn.IFNA(SUMIFS('Week 11 Mar 9 - Mar 15 2020'!E:E,'Week 11 Mar 9 - Mar 15 2020'!D:D,'Week 12 Mar 16 - Mar 22 2020'!D:D,'Week 11 Mar 9 - Mar 15 2020'!C:C,'Week 12 Mar 16 - Mar 22 2020'!C:C),"New")</f>
        <v>9898</v>
      </c>
      <c r="J8" s="28">
        <f t="shared" si="0"/>
        <v>7.5671852899575676E-2</v>
      </c>
    </row>
    <row r="9" spans="1:10" x14ac:dyDescent="0.2">
      <c r="A9" s="25">
        <v>8</v>
      </c>
      <c r="B9" s="18">
        <v>8</v>
      </c>
      <c r="C9" s="18" t="s">
        <v>7</v>
      </c>
      <c r="D9" s="47" t="s">
        <v>45</v>
      </c>
      <c r="E9" s="12">
        <v>7505</v>
      </c>
      <c r="F9" s="12">
        <f>SUMIFS('Week 11 Mar 9 - Mar 15 2020'!F:F,'Week 11 Mar 9 - Mar 15 2020'!D:D,'Week 12 Mar 16 - Mar 22 2020'!D:D,'Week 11 Mar 9 - Mar 15 2020'!C:C,'Week 12 Mar 16 - Mar 22 2020'!C:C)+Table361191013555712[[#This Row],[Week Sales]]</f>
        <v>731308</v>
      </c>
      <c r="G9" s="18" t="str">
        <f>(VLOOKUP(D:D,'Week 11 Mar 9 - Mar 15 2020'!D:G,4,FALSE))</f>
        <v>Nintendo</v>
      </c>
      <c r="H9" s="67">
        <f>(VLOOKUP(D:D,'Week 11 Mar 9 - Mar 15 2020'!D:H,5,FALSE))</f>
        <v>43756</v>
      </c>
      <c r="I9" s="12">
        <f>_xlfn.IFNA(SUMIFS('Week 11 Mar 9 - Mar 15 2020'!E:E,'Week 11 Mar 9 - Mar 15 2020'!D:D,'Week 12 Mar 16 - Mar 22 2020'!D:D,'Week 11 Mar 9 - Mar 15 2020'!C:C,'Week 12 Mar 16 - Mar 22 2020'!C:C),"New")</f>
        <v>8773</v>
      </c>
      <c r="J9" s="28">
        <f>IFERROR((E9-I9)/I9,"New")</f>
        <v>-0.14453436680724951</v>
      </c>
    </row>
    <row r="10" spans="1:10" x14ac:dyDescent="0.2">
      <c r="A10" s="25">
        <v>9</v>
      </c>
      <c r="B10" s="18">
        <v>10</v>
      </c>
      <c r="C10" s="18" t="s">
        <v>7</v>
      </c>
      <c r="D10" s="47" t="s">
        <v>10</v>
      </c>
      <c r="E10" s="12">
        <v>7467</v>
      </c>
      <c r="F10" s="12">
        <f>SUMIFS('Week 11 Mar 9 - Mar 15 2020'!F:F,'Week 11 Mar 9 - Mar 15 2020'!D:D,'Week 12 Mar 16 - Mar 22 2020'!D:D,'Week 11 Mar 9 - Mar 15 2020'!C:C,'Week 12 Mar 16 - Mar 22 2020'!C:C)+Table361191013555712[[#This Row],[Week Sales]]</f>
        <v>3349417</v>
      </c>
      <c r="G10" s="18" t="str">
        <f>(VLOOKUP(D:D,'Week 11 Mar 9 - Mar 15 2020'!D:G,4,FALSE))</f>
        <v>Nintendo</v>
      </c>
      <c r="H10" s="67">
        <f>(VLOOKUP(D:D,'Week 11 Mar 9 - Mar 15 2020'!D:H,5,FALSE))</f>
        <v>42937</v>
      </c>
      <c r="I10" s="12">
        <f>_xlfn.IFNA(SUMIFS('Week 11 Mar 9 - Mar 15 2020'!E:E,'Week 11 Mar 9 - Mar 15 2020'!D:D,'Week 12 Mar 16 - Mar 22 2020'!D:D,'Week 11 Mar 9 - Mar 15 2020'!C:C,'Week 12 Mar 16 - Mar 22 2020'!C:C),"New")</f>
        <v>6827</v>
      </c>
      <c r="J10" s="28">
        <f t="shared" ref="J10:J22" si="1">IFERROR((E10-I10)/I10,"New")</f>
        <v>9.3745422586787752E-2</v>
      </c>
    </row>
    <row r="11" spans="1:10" x14ac:dyDescent="0.2">
      <c r="A11" s="25">
        <v>10</v>
      </c>
      <c r="B11" s="18">
        <v>11</v>
      </c>
      <c r="C11" s="18" t="s">
        <v>7</v>
      </c>
      <c r="D11" s="47" t="s">
        <v>13</v>
      </c>
      <c r="E11" s="12">
        <v>6580</v>
      </c>
      <c r="F11" s="12">
        <f>SUMIFS('Week 11 Mar 9 - Mar 15 2020'!F:F,'Week 11 Mar 9 - Mar 15 2020'!D:D,'Week 12 Mar 16 - Mar 22 2020'!D:D,'Week 11 Mar 9 - Mar 15 2020'!C:C,'Week 12 Mar 16 - Mar 22 2020'!C:C)+Table361191013555712[[#This Row],[Week Sales]]</f>
        <v>1375417</v>
      </c>
      <c r="G11" s="18" t="str">
        <f>(VLOOKUP(D:D,'Week 11 Mar 9 - Mar 15 2020'!D:G,4,FALSE))</f>
        <v>Nintendo</v>
      </c>
      <c r="H11" s="67">
        <f>(VLOOKUP(D:D,'Week 11 Mar 9 - Mar 15 2020'!D:H,5,FALSE))</f>
        <v>43378</v>
      </c>
      <c r="I11" s="12">
        <f>_xlfn.IFNA(SUMIFS('Week 11 Mar 9 - Mar 15 2020'!E:E,'Week 11 Mar 9 - Mar 15 2020'!D:D,'Week 12 Mar 16 - Mar 22 2020'!D:D,'Week 11 Mar 9 - Mar 15 2020'!C:C,'Week 12 Mar 16 - Mar 22 2020'!C:C),"New")</f>
        <v>6509</v>
      </c>
      <c r="J11" s="28">
        <f t="shared" si="1"/>
        <v>1.0907973575049931E-2</v>
      </c>
    </row>
    <row r="12" spans="1:10" x14ac:dyDescent="0.2">
      <c r="A12" s="13">
        <v>11</v>
      </c>
      <c r="B12" s="9" t="s">
        <v>36</v>
      </c>
      <c r="C12" s="9" t="s">
        <v>7</v>
      </c>
      <c r="D12" s="9" t="s">
        <v>219</v>
      </c>
      <c r="E12" s="10">
        <v>6280</v>
      </c>
      <c r="F12" s="10">
        <f>SUMIFS('Week 11 Mar 9 - Mar 15 2020'!F:F,'Week 11 Mar 9 - Mar 15 2020'!D:D,'Week 12 Mar 16 - Mar 22 2020'!D:D,'Week 11 Mar 9 - Mar 15 2020'!C:C,'Week 12 Mar 16 - Mar 22 2020'!C:C)+Table361191013555712[[#This Row],[Week Sales]]</f>
        <v>6280</v>
      </c>
      <c r="G12" s="9" t="s">
        <v>189</v>
      </c>
      <c r="H12" s="14">
        <v>43909</v>
      </c>
      <c r="I12" s="10" t="s">
        <v>36</v>
      </c>
      <c r="J12" s="92" t="str">
        <f t="shared" si="1"/>
        <v>New</v>
      </c>
    </row>
    <row r="13" spans="1:10" x14ac:dyDescent="0.2">
      <c r="A13" s="25">
        <v>12</v>
      </c>
      <c r="B13" s="18">
        <v>14</v>
      </c>
      <c r="C13" s="18" t="s">
        <v>7</v>
      </c>
      <c r="D13" s="47" t="s">
        <v>16</v>
      </c>
      <c r="E13" s="12">
        <v>5188</v>
      </c>
      <c r="F13" s="12">
        <f>SUMIFS('Week 11 Mar 9 - Mar 15 2020'!F:F,'Week 11 Mar 9 - Mar 15 2020'!D:D,'Week 12 Mar 16 - Mar 22 2020'!D:D,'Week 11 Mar 9 - Mar 15 2020'!C:C,'Week 12 Mar 16 - Mar 22 2020'!C:C)+Table361191013555712[[#This Row],[Week Sales]]</f>
        <v>181813</v>
      </c>
      <c r="G13" s="18" t="str">
        <f>(VLOOKUP(D:D,'Week 11 Mar 9 - Mar 15 2020'!D:G,4,FALSE))</f>
        <v>Nintendo</v>
      </c>
      <c r="H13" s="67">
        <f>(VLOOKUP(D:D,'Week 11 Mar 9 - Mar 15 2020'!D:H,5,FALSE))</f>
        <v>43826</v>
      </c>
      <c r="I13" s="12">
        <f>_xlfn.IFNA(SUMIFS('Week 11 Mar 9 - Mar 15 2020'!E:E,'Week 11 Mar 9 - Mar 15 2020'!D:D,'Week 12 Mar 16 - Mar 22 2020'!D:D,'Week 11 Mar 9 - Mar 15 2020'!C:C,'Week 12 Mar 16 - Mar 22 2020'!C:C),"New")</f>
        <v>4900</v>
      </c>
      <c r="J13" s="28">
        <f t="shared" si="1"/>
        <v>5.877551020408163E-2</v>
      </c>
    </row>
    <row r="14" spans="1:10" x14ac:dyDescent="0.2">
      <c r="A14" s="25">
        <v>13</v>
      </c>
      <c r="B14" s="18">
        <v>4</v>
      </c>
      <c r="C14" s="18" t="s">
        <v>7</v>
      </c>
      <c r="D14" s="47" t="s">
        <v>215</v>
      </c>
      <c r="E14" s="12">
        <v>5095</v>
      </c>
      <c r="F14" s="12">
        <f>SUMIFS('Week 11 Mar 9 - Mar 15 2020'!F:F,'Week 11 Mar 9 - Mar 15 2020'!D:D,'Week 12 Mar 16 - Mar 22 2020'!D:D,'Week 11 Mar 9 - Mar 15 2020'!C:C,'Week 12 Mar 16 - Mar 22 2020'!C:C)+Table361191013555712[[#This Row],[Week Sales]]</f>
        <v>22092</v>
      </c>
      <c r="G14" s="18" t="str">
        <f>(VLOOKUP(D:D,'Week 11 Mar 9 - Mar 15 2020'!D:G,4,FALSE))</f>
        <v>Bandai Namco</v>
      </c>
      <c r="H14" s="67">
        <f>(VLOOKUP(D:D,'Week 11 Mar 9 - Mar 15 2020'!D:H,5,FALSE))</f>
        <v>43902</v>
      </c>
      <c r="I14" s="12">
        <f>_xlfn.IFNA(SUMIFS('Week 11 Mar 9 - Mar 15 2020'!E:E,'Week 11 Mar 9 - Mar 15 2020'!D:D,'Week 12 Mar 16 - Mar 22 2020'!D:D,'Week 11 Mar 9 - Mar 15 2020'!C:C,'Week 12 Mar 16 - Mar 22 2020'!C:C),"New")</f>
        <v>16997</v>
      </c>
      <c r="J14" s="28">
        <f t="shared" si="1"/>
        <v>-0.70024121903865388</v>
      </c>
    </row>
    <row r="15" spans="1:10" x14ac:dyDescent="0.2">
      <c r="A15" s="25">
        <v>14</v>
      </c>
      <c r="B15" s="18">
        <v>16</v>
      </c>
      <c r="C15" s="18" t="s">
        <v>7</v>
      </c>
      <c r="D15" s="47" t="s">
        <v>19</v>
      </c>
      <c r="E15" s="12">
        <v>5093</v>
      </c>
      <c r="F15" s="12">
        <f>SUMIFS('Week 11 Mar 9 - Mar 15 2020'!F:F,'Week 11 Mar 9 - Mar 15 2020'!D:D,'Week 12 Mar 16 - Mar 22 2020'!D:D,'Week 11 Mar 9 - Mar 15 2020'!C:C,'Week 12 Mar 16 - Mar 22 2020'!C:C)+Table361191013555712[[#This Row],[Week Sales]]</f>
        <v>878995</v>
      </c>
      <c r="G15" s="18" t="str">
        <f>(VLOOKUP(D:D,'Week 11 Mar 9 - Mar 15 2020'!D:G,4,FALSE))</f>
        <v>Nintendo</v>
      </c>
      <c r="H15" s="67">
        <f>(VLOOKUP(D:D,'Week 11 Mar 9 - Mar 15 2020'!D:H,5,FALSE))</f>
        <v>43644</v>
      </c>
      <c r="I15" s="12">
        <f>_xlfn.IFNA(SUMIFS('Week 11 Mar 9 - Mar 15 2020'!E:E,'Week 11 Mar 9 - Mar 15 2020'!D:D,'Week 12 Mar 16 - Mar 22 2020'!D:D,'Week 11 Mar 9 - Mar 15 2020'!C:C,'Week 12 Mar 16 - Mar 22 2020'!C:C),"New")</f>
        <v>4668</v>
      </c>
      <c r="J15" s="28">
        <f t="shared" si="1"/>
        <v>9.1045415595544132E-2</v>
      </c>
    </row>
    <row r="16" spans="1:10" x14ac:dyDescent="0.2">
      <c r="A16" s="25">
        <v>15</v>
      </c>
      <c r="B16" s="18">
        <v>15</v>
      </c>
      <c r="C16" s="18" t="s">
        <v>7</v>
      </c>
      <c r="D16" s="47" t="s">
        <v>39</v>
      </c>
      <c r="E16" s="12">
        <v>4856</v>
      </c>
      <c r="F16" s="12">
        <f>SUMIFS('Week 11 Mar 9 - Mar 15 2020'!F:F,'Week 11 Mar 9 - Mar 15 2020'!D:D,'Week 12 Mar 16 - Mar 22 2020'!D:D,'Week 11 Mar 9 - Mar 15 2020'!C:C,'Week 12 Mar 16 - Mar 22 2020'!C:C)+Table361191013555712[[#This Row],[Week Sales]]</f>
        <v>1546362</v>
      </c>
      <c r="G16" s="18" t="str">
        <f>(VLOOKUP(D:D,'Week 11 Mar 9 - Mar 15 2020'!D:G,4,FALSE))</f>
        <v>Nintendo</v>
      </c>
      <c r="H16" s="67">
        <f>(VLOOKUP(D:D,'Week 11 Mar 9 - Mar 15 2020'!D:H,5,FALSE))</f>
        <v>42797</v>
      </c>
      <c r="I16" s="12">
        <f>_xlfn.IFNA(SUMIFS('Week 11 Mar 9 - Mar 15 2020'!E:E,'Week 11 Mar 9 - Mar 15 2020'!D:D,'Week 12 Mar 16 - Mar 22 2020'!D:D,'Week 11 Mar 9 - Mar 15 2020'!C:C,'Week 12 Mar 16 - Mar 22 2020'!C:C),"New")</f>
        <v>4882</v>
      </c>
      <c r="J16" s="28">
        <f t="shared" si="1"/>
        <v>-5.3256861941827121E-3</v>
      </c>
    </row>
    <row r="17" spans="1:10" x14ac:dyDescent="0.2">
      <c r="A17" s="25">
        <v>16</v>
      </c>
      <c r="B17" s="18">
        <v>17</v>
      </c>
      <c r="C17" s="18" t="s">
        <v>7</v>
      </c>
      <c r="D17" s="47" t="s">
        <v>17</v>
      </c>
      <c r="E17" s="12">
        <v>4700</v>
      </c>
      <c r="F17" s="12">
        <f>SUMIFS('Week 11 Mar 9 - Mar 15 2020'!F:F,'Week 11 Mar 9 - Mar 15 2020'!D:D,'Week 12 Mar 16 - Mar 22 2020'!D:D,'Week 11 Mar 9 - Mar 15 2020'!C:C,'Week 12 Mar 16 - Mar 22 2020'!C:C)+Table361191013555712[[#This Row],[Week Sales]]</f>
        <v>801983</v>
      </c>
      <c r="G17" s="18" t="str">
        <f>(VLOOKUP(D:D,'Week 11 Mar 9 - Mar 15 2020'!D:G,4,FALSE))</f>
        <v>Nintendo</v>
      </c>
      <c r="H17" s="67">
        <f>(VLOOKUP(D:D,'Week 11 Mar 9 - Mar 15 2020'!D:H,5,FALSE))</f>
        <v>43476</v>
      </c>
      <c r="I17" s="12">
        <f>_xlfn.IFNA(SUMIFS('Week 11 Mar 9 - Mar 15 2020'!E:E,'Week 11 Mar 9 - Mar 15 2020'!D:D,'Week 12 Mar 16 - Mar 22 2020'!D:D,'Week 11 Mar 9 - Mar 15 2020'!C:C,'Week 12 Mar 16 - Mar 22 2020'!C:C),"New")</f>
        <v>4297</v>
      </c>
      <c r="J17" s="28">
        <f t="shared" si="1"/>
        <v>9.378636257854317E-2</v>
      </c>
    </row>
    <row r="18" spans="1:10" x14ac:dyDescent="0.2">
      <c r="A18" s="25">
        <v>17</v>
      </c>
      <c r="B18" s="18">
        <v>20</v>
      </c>
      <c r="C18" s="18" t="s">
        <v>7</v>
      </c>
      <c r="D18" s="47" t="s">
        <v>79</v>
      </c>
      <c r="E18" s="12">
        <v>3856</v>
      </c>
      <c r="F18" s="12">
        <f>SUMIFS('Week 11 Mar 9 - Mar 15 2020'!F:F,'Week 11 Mar 9 - Mar 15 2020'!D:D,'Week 12 Mar 16 - Mar 22 2020'!D:D,'Week 11 Mar 9 - Mar 15 2020'!C:C,'Week 12 Mar 16 - Mar 22 2020'!C:C)+Table361191013555712[[#This Row],[Week Sales]]</f>
        <v>620141</v>
      </c>
      <c r="G18" s="18" t="str">
        <f>(VLOOKUP(D:D,'Week 11 Mar 9 - Mar 15 2020'!D:G,4,FALSE))</f>
        <v>Nintendo</v>
      </c>
      <c r="H18" s="67">
        <f>(VLOOKUP(D:D,'Week 11 Mar 9 - Mar 15 2020'!D:H,5,FALSE))</f>
        <v>43769</v>
      </c>
      <c r="I18" s="12">
        <f>_xlfn.IFNA(SUMIFS('Week 11 Mar 9 - Mar 15 2020'!E:E,'Week 11 Mar 9 - Mar 15 2020'!D:D,'Week 12 Mar 16 - Mar 22 2020'!D:D,'Week 11 Mar 9 - Mar 15 2020'!C:C,'Week 12 Mar 16 - Mar 22 2020'!C:C),"New")</f>
        <v>3947</v>
      </c>
      <c r="J18" s="28">
        <f t="shared" si="1"/>
        <v>-2.3055485178616671E-2</v>
      </c>
    </row>
    <row r="19" spans="1:10" x14ac:dyDescent="0.2">
      <c r="A19" s="25">
        <v>18</v>
      </c>
      <c r="B19" s="18">
        <v>21</v>
      </c>
      <c r="C19" s="18" t="s">
        <v>7</v>
      </c>
      <c r="D19" s="47" t="s">
        <v>80</v>
      </c>
      <c r="E19" s="12">
        <v>3179</v>
      </c>
      <c r="F19" s="12">
        <f>SUMIFS('Week 11 Mar 9 - Mar 15 2020'!F:F,'Week 11 Mar 9 - Mar 15 2020'!D:D,'Week 12 Mar 16 - Mar 22 2020'!D:D,'Week 11 Mar 9 - Mar 15 2020'!C:C,'Week 12 Mar 16 - Mar 22 2020'!C:C)+Table361191013555712[[#This Row],[Week Sales]]</f>
        <v>290098</v>
      </c>
      <c r="G19" s="18" t="str">
        <f>(VLOOKUP(D:D,'Week 11 Mar 9 - Mar 15 2020'!D:G,4,FALSE))</f>
        <v>Sega</v>
      </c>
      <c r="H19" s="67">
        <f>(VLOOKUP(D:D,'Week 11 Mar 9 - Mar 15 2020'!D:H,5,FALSE))</f>
        <v>43770</v>
      </c>
      <c r="I19" s="12">
        <f>_xlfn.IFNA(SUMIFS('Week 11 Mar 9 - Mar 15 2020'!E:E,'Week 11 Mar 9 - Mar 15 2020'!D:D,'Week 12 Mar 16 - Mar 22 2020'!D:D,'Week 11 Mar 9 - Mar 15 2020'!C:C,'Week 12 Mar 16 - Mar 22 2020'!C:C),"New")</f>
        <v>3620</v>
      </c>
      <c r="J19" s="28">
        <f t="shared" si="1"/>
        <v>-0.1218232044198895</v>
      </c>
    </row>
    <row r="20" spans="1:10" x14ac:dyDescent="0.2">
      <c r="A20" s="25">
        <v>19</v>
      </c>
      <c r="B20" s="18">
        <v>24</v>
      </c>
      <c r="C20" s="18" t="s">
        <v>7</v>
      </c>
      <c r="D20" s="47" t="s">
        <v>20</v>
      </c>
      <c r="E20" s="12">
        <v>3043</v>
      </c>
      <c r="F20" s="12">
        <f>SUMIFS('Week 11 Mar 9 - Mar 15 2020'!F:F,'Week 11 Mar 9 - Mar 15 2020'!D:D,'Week 12 Mar 16 - Mar 22 2020'!D:D,'Week 11 Mar 9 - Mar 15 2020'!C:C,'Week 12 Mar 16 - Mar 22 2020'!C:C)+Table361191013555712[[#This Row],[Week Sales]]</f>
        <v>409606</v>
      </c>
      <c r="G20" s="18" t="str">
        <f>(VLOOKUP(D:D,'Week 11 Mar 9 - Mar 15 2020'!D:G,4,FALSE))</f>
        <v>Bandai Namco</v>
      </c>
      <c r="H20" s="67">
        <f>(VLOOKUP(D:D,'Week 11 Mar 9 - Mar 15 2020'!D:H,5,FALSE))</f>
        <v>43671</v>
      </c>
      <c r="I20" s="12">
        <f>_xlfn.IFNA(SUMIFS('Week 11 Mar 9 - Mar 15 2020'!E:E,'Week 11 Mar 9 - Mar 15 2020'!D:D,'Week 12 Mar 16 - Mar 22 2020'!D:D,'Week 11 Mar 9 - Mar 15 2020'!C:C,'Week 12 Mar 16 - Mar 22 2020'!C:C),"New")</f>
        <v>3186</v>
      </c>
      <c r="J20" s="28">
        <f t="shared" si="1"/>
        <v>-4.4883866917765219E-2</v>
      </c>
    </row>
    <row r="21" spans="1:10" x14ac:dyDescent="0.2">
      <c r="A21" s="13">
        <v>20</v>
      </c>
      <c r="B21" s="9" t="s">
        <v>36</v>
      </c>
      <c r="C21" s="9" t="s">
        <v>8</v>
      </c>
      <c r="D21" s="46" t="s">
        <v>220</v>
      </c>
      <c r="E21" s="10">
        <v>2762</v>
      </c>
      <c r="F21" s="10">
        <f>SUMIFS('Week 11 Mar 9 - Mar 15 2020'!F:F,'Week 11 Mar 9 - Mar 15 2020'!D:D,'Week 12 Mar 16 - Mar 22 2020'!D:D,'Week 11 Mar 9 - Mar 15 2020'!C:C,'Week 12 Mar 16 - Mar 22 2020'!C:C)+Table361191013555712[[#This Row],[Week Sales]]</f>
        <v>2762</v>
      </c>
      <c r="G21" s="9" t="s">
        <v>160</v>
      </c>
      <c r="H21" s="14">
        <v>43909</v>
      </c>
      <c r="I21" s="10" t="s">
        <v>36</v>
      </c>
      <c r="J21" s="92" t="str">
        <f t="shared" si="1"/>
        <v>New</v>
      </c>
    </row>
    <row r="22" spans="1:10" x14ac:dyDescent="0.2">
      <c r="A22" s="25">
        <v>21</v>
      </c>
      <c r="B22" s="18">
        <v>9</v>
      </c>
      <c r="C22" s="18" t="s">
        <v>8</v>
      </c>
      <c r="D22" s="47" t="s">
        <v>216</v>
      </c>
      <c r="E22" s="12">
        <v>2483</v>
      </c>
      <c r="F22" s="12">
        <f>SUMIFS('Week 11 Mar 9 - Mar 15 2020'!F:F,'Week 11 Mar 9 - Mar 15 2020'!D:D,'Week 12 Mar 16 - Mar 22 2020'!D:D,'Week 11 Mar 9 - Mar 15 2020'!C:C,'Week 12 Mar 16 - Mar 22 2020'!C:C)+Table361191013555712[[#This Row],[Week Sales]]</f>
        <v>10528</v>
      </c>
      <c r="G22" s="18" t="str">
        <f>(VLOOKUP(D:D,'Week 11 Mar 9 - Mar 15 2020'!D:G,4,FALSE))</f>
        <v>Koei Tecmo</v>
      </c>
      <c r="H22" s="67">
        <f>(VLOOKUP(D:D,'Week 11 Mar 9 - Mar 15 2020'!D:H,5,FALSE))</f>
        <v>43902</v>
      </c>
      <c r="I22" s="12">
        <f>_xlfn.IFNA(SUMIFS('Week 11 Mar 9 - Mar 15 2020'!E:E,'Week 11 Mar 9 - Mar 15 2020'!D:D,'Week 12 Mar 16 - Mar 22 2020'!D:D,'Week 11 Mar 9 - Mar 15 2020'!C:C,'Week 12 Mar 16 - Mar 22 2020'!C:C),"New")</f>
        <v>8045</v>
      </c>
      <c r="J22" s="28">
        <f t="shared" si="1"/>
        <v>-0.69136109384710998</v>
      </c>
    </row>
    <row r="23" spans="1:10" x14ac:dyDescent="0.2">
      <c r="A23" s="25">
        <v>22</v>
      </c>
      <c r="B23" s="18">
        <v>23</v>
      </c>
      <c r="C23" s="18" t="s">
        <v>7</v>
      </c>
      <c r="D23" s="47" t="s">
        <v>192</v>
      </c>
      <c r="E23" s="12">
        <v>2418</v>
      </c>
      <c r="F23" s="12">
        <f>SUMIFS('Week 11 Mar 9 - Mar 15 2020'!F:F,'Week 11 Mar 9 - Mar 15 2020'!D:D,'Week 12 Mar 16 - Mar 22 2020'!D:D,'Week 11 Mar 9 - Mar 15 2020'!C:C,'Week 12 Mar 16 - Mar 22 2020'!C:C)+Table361191013555712[[#This Row],[Week Sales]]</f>
        <v>76877</v>
      </c>
      <c r="G23" s="18" t="str">
        <f>(VLOOKUP(D:D,'Week 11 Mar 9 - Mar 15 2020'!D:G,4,FALSE))</f>
        <v>Sega</v>
      </c>
      <c r="H23" s="67">
        <f>(VLOOKUP(D:D,'Week 11 Mar 9 - Mar 15 2020'!D:H,5,FALSE))</f>
        <v>43874</v>
      </c>
      <c r="I23" s="12">
        <f>_xlfn.IFNA(SUMIFS('Week 11 Mar 9 - Mar 15 2020'!E:E,'Week 11 Mar 9 - Mar 15 2020'!D:D,'Week 12 Mar 16 - Mar 22 2020'!D:D,'Week 11 Mar 9 - Mar 15 2020'!C:C,'Week 12 Mar 16 - Mar 22 2020'!C:C),"New")</f>
        <v>3297</v>
      </c>
      <c r="J23" s="28">
        <f>IFERROR((E23-I23)/I23,"New")</f>
        <v>-0.26660600545950863</v>
      </c>
    </row>
    <row r="24" spans="1:10" x14ac:dyDescent="0.2">
      <c r="A24" s="25">
        <v>23</v>
      </c>
      <c r="B24" s="18">
        <v>30</v>
      </c>
      <c r="C24" s="18" t="s">
        <v>7</v>
      </c>
      <c r="D24" s="86" t="s">
        <v>83</v>
      </c>
      <c r="E24" s="12">
        <v>2396</v>
      </c>
      <c r="F24" s="12">
        <f>SUMIFS('Week 11 Mar 9 - Mar 15 2020'!F:F,'Week 11 Mar 9 - Mar 15 2020'!D:D,'Week 12 Mar 16 - Mar 22 2020'!D:D,'Week 11 Mar 9 - Mar 15 2020'!C:C,'Week 12 Mar 16 - Mar 22 2020'!C:C)+Table361191013555712[[#This Row],[Week Sales]]</f>
        <v>500402</v>
      </c>
      <c r="G24" s="18" t="str">
        <f>(VLOOKUP(D:D,'Week 11 Mar 9 - Mar 15 2020'!D:G,4,FALSE))</f>
        <v>Square Enix</v>
      </c>
      <c r="H24" s="67">
        <f>(VLOOKUP(D:D,'Week 11 Mar 9 - Mar 15 2020'!D:H,5,FALSE))</f>
        <v>43735</v>
      </c>
      <c r="I24" s="12">
        <f>_xlfn.IFNA(SUMIFS('Week 11 Mar 9 - Mar 15 2020'!E:E,'Week 11 Mar 9 - Mar 15 2020'!D:D,'Week 12 Mar 16 - Mar 22 2020'!D:D,'Week 11 Mar 9 - Mar 15 2020'!C:C,'Week 12 Mar 16 - Mar 22 2020'!C:C),"New")</f>
        <v>2271</v>
      </c>
      <c r="J24" s="28">
        <f>IFERROR((E24-I24)/I24,"New")</f>
        <v>5.5041831792162044E-2</v>
      </c>
    </row>
    <row r="25" spans="1:10" x14ac:dyDescent="0.2">
      <c r="A25" s="25">
        <v>24</v>
      </c>
      <c r="B25" s="18">
        <v>25</v>
      </c>
      <c r="C25" s="18" t="s">
        <v>7</v>
      </c>
      <c r="D25" s="47" t="s">
        <v>25</v>
      </c>
      <c r="E25" s="12">
        <v>2391</v>
      </c>
      <c r="F25" s="12">
        <f>SUMIFS('Week 11 Mar 9 - Mar 15 2020'!F:F,'Week 11 Mar 9 - Mar 15 2020'!D:D,'Week 12 Mar 16 - Mar 22 2020'!D:D,'Week 11 Mar 9 - Mar 15 2020'!C:C,'Week 12 Mar 16 - Mar 22 2020'!C:C)+Table361191013555712[[#This Row],[Week Sales]]</f>
        <v>458252</v>
      </c>
      <c r="G25" s="18" t="str">
        <f>(VLOOKUP(D:D,'Week 11 Mar 9 - Mar 15 2020'!D:G,4,FALSE))</f>
        <v>Bandai Namco</v>
      </c>
      <c r="H25" s="67">
        <f>(VLOOKUP(D:D,'Week 11 Mar 9 - Mar 15 2020'!D:H,5,FALSE))</f>
        <v>43300</v>
      </c>
      <c r="I25" s="12">
        <f>_xlfn.IFNA(SUMIFS('Week 11 Mar 9 - Mar 15 2020'!E:E,'Week 11 Mar 9 - Mar 15 2020'!D:D,'Week 12 Mar 16 - Mar 22 2020'!D:D,'Week 11 Mar 9 - Mar 15 2020'!C:C,'Week 12 Mar 16 - Mar 22 2020'!C:C),"New")</f>
        <v>2642</v>
      </c>
      <c r="J25" s="28">
        <f t="shared" ref="J25:J30" si="2">IFERROR((E25-I25)/I25,"New")</f>
        <v>-9.5003785011355035E-2</v>
      </c>
    </row>
    <row r="26" spans="1:10" x14ac:dyDescent="0.2">
      <c r="A26" s="25">
        <v>25</v>
      </c>
      <c r="B26" s="18">
        <v>29</v>
      </c>
      <c r="C26" s="18" t="s">
        <v>7</v>
      </c>
      <c r="D26" s="47" t="s">
        <v>26</v>
      </c>
      <c r="E26" s="12">
        <v>2333</v>
      </c>
      <c r="F26" s="12">
        <f>SUMIFS('Week 11 Mar 9 - Mar 15 2020'!F:F,'Week 11 Mar 9 - Mar 15 2020'!D:D,'Week 12 Mar 16 - Mar 22 2020'!D:D,'Week 11 Mar 9 - Mar 15 2020'!C:C,'Week 12 Mar 16 - Mar 22 2020'!C:C)+Table361191013555712[[#This Row],[Week Sales]]</f>
        <v>2082275</v>
      </c>
      <c r="G26" s="18" t="str">
        <f>(VLOOKUP(D:D,'Week 11 Mar 9 - Mar 15 2020'!D:G,4,FALSE))</f>
        <v>Nintendo</v>
      </c>
      <c r="H26" s="67">
        <f>(VLOOKUP(D:D,'Week 11 Mar 9 - Mar 15 2020'!D:H,5,FALSE))</f>
        <v>43035</v>
      </c>
      <c r="I26" s="12">
        <f>_xlfn.IFNA(SUMIFS('Week 11 Mar 9 - Mar 15 2020'!E:E,'Week 11 Mar 9 - Mar 15 2020'!D:D,'Week 12 Mar 16 - Mar 22 2020'!D:D,'Week 11 Mar 9 - Mar 15 2020'!C:C,'Week 12 Mar 16 - Mar 22 2020'!C:C),"New")</f>
        <v>2302</v>
      </c>
      <c r="J26" s="28">
        <f t="shared" si="2"/>
        <v>1.3466550825369244E-2</v>
      </c>
    </row>
    <row r="27" spans="1:10" x14ac:dyDescent="0.2">
      <c r="A27" s="25">
        <v>26</v>
      </c>
      <c r="B27" s="18">
        <v>19</v>
      </c>
      <c r="C27" s="18" t="s">
        <v>8</v>
      </c>
      <c r="D27" s="47" t="s">
        <v>195</v>
      </c>
      <c r="E27" s="12">
        <v>2273</v>
      </c>
      <c r="F27" s="12">
        <f>SUMIFS('Week 11 Mar 9 - Mar 15 2020'!F:F,'Week 11 Mar 9 - Mar 15 2020'!D:D,'Week 12 Mar 16 - Mar 22 2020'!D:D,'Week 11 Mar 9 - Mar 15 2020'!C:C,'Week 12 Mar 16 - Mar 22 2020'!C:C)+Table361191013555712[[#This Row],[Week Sales]]</f>
        <v>149898</v>
      </c>
      <c r="G27" s="18" t="str">
        <f>(VLOOKUP(D:D,'Week 11 Mar 9 - Mar 15 2020'!D:G,4,FALSE))</f>
        <v>Atlus</v>
      </c>
      <c r="H27" s="67">
        <f>(VLOOKUP(D:D,'Week 11 Mar 9 - Mar 15 2020'!D:H,5,FALSE))</f>
        <v>43881</v>
      </c>
      <c r="I27" s="12">
        <f>_xlfn.IFNA(SUMIFS('Week 11 Mar 9 - Mar 15 2020'!E:E,'Week 11 Mar 9 - Mar 15 2020'!D:D,'Week 12 Mar 16 - Mar 22 2020'!D:D,'Week 11 Mar 9 - Mar 15 2020'!C:C,'Week 12 Mar 16 - Mar 22 2020'!C:C),"New")</f>
        <v>4017</v>
      </c>
      <c r="J27" s="28">
        <f>IFERROR((E27-I27)/I27,"New")</f>
        <v>-0.43415484192183224</v>
      </c>
    </row>
    <row r="28" spans="1:10" x14ac:dyDescent="0.2">
      <c r="A28" s="25">
        <v>27</v>
      </c>
      <c r="B28" s="18">
        <v>22</v>
      </c>
      <c r="C28" s="18" t="s">
        <v>7</v>
      </c>
      <c r="D28" s="47" t="s">
        <v>195</v>
      </c>
      <c r="E28" s="12">
        <v>2088</v>
      </c>
      <c r="F28" s="12">
        <f>SUMIFS('Week 11 Mar 9 - Mar 15 2020'!F:F,'Week 11 Mar 9 - Mar 15 2020'!D:D,'Week 12 Mar 16 - Mar 22 2020'!D:D,'Week 11 Mar 9 - Mar 15 2020'!C:C,'Week 12 Mar 16 - Mar 22 2020'!C:C)+Table361191013555712[[#This Row],[Week Sales]]</f>
        <v>65653</v>
      </c>
      <c r="G28" s="18" t="str">
        <f>(VLOOKUP(D:D,'Week 11 Mar 9 - Mar 15 2020'!D:G,4,FALSE))</f>
        <v>Atlus</v>
      </c>
      <c r="H28" s="67">
        <f>(VLOOKUP(D:D,'Week 11 Mar 9 - Mar 15 2020'!D:H,5,FALSE))</f>
        <v>43881</v>
      </c>
      <c r="I28" s="12">
        <f>_xlfn.IFNA(SUMIFS('Week 11 Mar 9 - Mar 15 2020'!E:E,'Week 11 Mar 9 - Mar 15 2020'!D:D,'Week 12 Mar 16 - Mar 22 2020'!D:D,'Week 11 Mar 9 - Mar 15 2020'!C:C,'Week 12 Mar 16 - Mar 22 2020'!C:C),"New")</f>
        <v>3506</v>
      </c>
      <c r="J28" s="28">
        <f t="shared" si="2"/>
        <v>-0.40444951511694238</v>
      </c>
    </row>
    <row r="29" spans="1:10" x14ac:dyDescent="0.2">
      <c r="A29" s="35">
        <v>28</v>
      </c>
      <c r="B29" s="31" t="s">
        <v>53</v>
      </c>
      <c r="C29" s="31" t="s">
        <v>7</v>
      </c>
      <c r="D29" s="62" t="s">
        <v>93</v>
      </c>
      <c r="E29" s="33">
        <v>1908</v>
      </c>
      <c r="F29" s="33">
        <v>1712532</v>
      </c>
      <c r="G29" s="31" t="str">
        <f>(VLOOKUP(D:D,'Week 10 Mar 2 - Mar 8 2020'!D:G,4,FALSE))</f>
        <v>The Pokemon Company</v>
      </c>
      <c r="H29" s="93">
        <f>(VLOOKUP(D:D,'Week 10 Mar 2 - Mar 8 2020'!D:H,5,FALSE))</f>
        <v>43420</v>
      </c>
      <c r="I29" s="33">
        <v>2137</v>
      </c>
      <c r="J29" s="97">
        <f t="shared" si="2"/>
        <v>-0.10715956948993917</v>
      </c>
    </row>
    <row r="30" spans="1:10" x14ac:dyDescent="0.2">
      <c r="A30" s="25">
        <v>29</v>
      </c>
      <c r="B30" s="18">
        <v>26</v>
      </c>
      <c r="C30" s="18" t="s">
        <v>7</v>
      </c>
      <c r="D30" s="47" t="s">
        <v>218</v>
      </c>
      <c r="E30" s="12">
        <v>1787</v>
      </c>
      <c r="F30" s="12">
        <f>SUMIFS('Week 11 Mar 9 - Mar 15 2020'!F:F,'Week 11 Mar 9 - Mar 15 2020'!D:D,'Week 12 Mar 16 - Mar 22 2020'!D:D,'Week 11 Mar 9 - Mar 15 2020'!C:C,'Week 12 Mar 16 - Mar 22 2020'!C:C)+Table361191013555712[[#This Row],[Week Sales]]</f>
        <v>4320</v>
      </c>
      <c r="G30" s="18" t="str">
        <f>(VLOOKUP(D:D,'Week 11 Mar 9 - Mar 15 2020'!D:G,4,FALSE))</f>
        <v>Ubisoft</v>
      </c>
      <c r="H30" s="67">
        <f>(VLOOKUP(D:D,'Week 11 Mar 9 - Mar 15 2020'!D:H,5,FALSE))</f>
        <v>43902</v>
      </c>
      <c r="I30" s="12">
        <f>_xlfn.IFNA(SUMIFS('Week 11 Mar 9 - Mar 15 2020'!E:E,'Week 11 Mar 9 - Mar 15 2020'!D:D,'Week 12 Mar 16 - Mar 22 2020'!D:D,'Week 11 Mar 9 - Mar 15 2020'!C:C,'Week 12 Mar 16 - Mar 22 2020'!C:C),"New")</f>
        <v>2533</v>
      </c>
      <c r="J30" s="28">
        <f t="shared" si="2"/>
        <v>-0.29451243584682196</v>
      </c>
    </row>
    <row r="31" spans="1:10" x14ac:dyDescent="0.2">
      <c r="A31" s="35">
        <v>30</v>
      </c>
      <c r="B31" s="31" t="s">
        <v>53</v>
      </c>
      <c r="C31" s="31" t="s">
        <v>7</v>
      </c>
      <c r="D31" s="32" t="s">
        <v>120</v>
      </c>
      <c r="E31" s="33">
        <v>1683</v>
      </c>
      <c r="F31" s="33">
        <v>274320</v>
      </c>
      <c r="G31" s="31" t="str">
        <f>(VLOOKUP(D:D,'Week 6 Feb 3 - Feb 9 2020'!D:G,4,FALSE))</f>
        <v>Nintendo</v>
      </c>
      <c r="H31" s="93">
        <f>(VLOOKUP(D:D,'Week 6 Feb 3 - Feb 9 2020'!D:H,5,FALSE))</f>
        <v>43728</v>
      </c>
      <c r="I31" s="33"/>
      <c r="J31" s="97"/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2068550</v>
      </c>
      <c r="F33" s="2"/>
      <c r="I33" s="2"/>
      <c r="J33" s="19"/>
    </row>
    <row r="34" spans="1:10" x14ac:dyDescent="0.2">
      <c r="A34" s="3"/>
      <c r="B34" s="3"/>
      <c r="D34" s="100" t="s">
        <v>178</v>
      </c>
      <c r="E34" s="101">
        <f>SUM('Week 11 Mar 9 - Mar 15 2020'!E34,'Week 12 Mar 16 - Mar 22 2020'!E33)</f>
        <v>5675462</v>
      </c>
      <c r="F34" s="2"/>
      <c r="I34" s="2"/>
      <c r="J34" s="19"/>
    </row>
    <row r="35" spans="1:10" x14ac:dyDescent="0.2">
      <c r="A35" s="3"/>
      <c r="B35" s="3"/>
      <c r="D35" s="2" t="s">
        <v>60</v>
      </c>
      <c r="E35" s="2">
        <f>AVERAGE(E2:E31)</f>
        <v>68951.666666666672</v>
      </c>
      <c r="F35" s="2"/>
      <c r="I35" s="2"/>
      <c r="J35" s="19"/>
    </row>
    <row r="36" spans="1:10" x14ac:dyDescent="0.2">
      <c r="A36" s="3"/>
      <c r="B36" s="3"/>
      <c r="D36" s="9" t="s">
        <v>78</v>
      </c>
      <c r="E36" s="10">
        <f>COUNTIF(B:B,"New")</f>
        <v>3</v>
      </c>
      <c r="F36" s="2"/>
      <c r="I36" s="2"/>
      <c r="J36" s="19"/>
    </row>
    <row r="37" spans="1:10" x14ac:dyDescent="0.2">
      <c r="A37" s="3"/>
      <c r="B37" s="3"/>
      <c r="E37" s="2"/>
      <c r="F37" s="2"/>
      <c r="I37" s="2"/>
      <c r="J37" s="19"/>
    </row>
    <row r="38" spans="1:10" x14ac:dyDescent="0.2">
      <c r="A38" s="3"/>
      <c r="B38" s="3"/>
      <c r="D38" t="s">
        <v>66</v>
      </c>
      <c r="E38" s="2"/>
      <c r="F38" s="2"/>
      <c r="I38" s="2"/>
      <c r="J38" s="19"/>
    </row>
    <row r="39" spans="1:10" x14ac:dyDescent="0.2">
      <c r="A39" s="3"/>
      <c r="B39" s="3"/>
      <c r="D39" s="8" t="s">
        <v>67</v>
      </c>
      <c r="E39" s="2"/>
      <c r="F39" s="2"/>
      <c r="I39" s="2"/>
      <c r="J39" s="19"/>
    </row>
    <row r="40" spans="1:10" x14ac:dyDescent="0.2">
      <c r="A40" s="3"/>
      <c r="B40" s="3"/>
      <c r="D40" s="8" t="s">
        <v>65</v>
      </c>
      <c r="E40" s="2"/>
      <c r="F40" s="2"/>
      <c r="I40" s="2"/>
      <c r="J40" s="19"/>
    </row>
    <row r="41" spans="1:10" x14ac:dyDescent="0.2">
      <c r="D41" s="8" t="s">
        <v>71</v>
      </c>
      <c r="E41" s="2"/>
    </row>
  </sheetData>
  <hyperlinks>
    <hyperlink ref="D40" r:id="rId1" xr:uid="{7F606E9C-D665-D24C-B287-10A000539494}"/>
    <hyperlink ref="D41" r:id="rId2" xr:uid="{2E535391-98B8-C04A-BDA4-4FBF383AB1EC}"/>
    <hyperlink ref="D39" r:id="rId3" xr:uid="{02E5A2FE-38DE-DC4D-AEF4-BA828E0BF4D9}"/>
  </hyperlinks>
  <pageMargins left="0.7" right="0.7" top="0.75" bottom="0.75" header="0.3" footer="0.3"/>
  <pageSetup paperSize="9" orientation="portrait" horizontalDpi="0" verticalDpi="0"/>
  <ignoredErrors>
    <ignoredError sqref="F2:I31" calculatedColumn="1"/>
  </ignoredErrors>
  <tableParts count="1"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163D5-2F05-9F4A-B337-E149CCADB4AA}">
  <dimension ref="A1:J42"/>
  <sheetViews>
    <sheetView workbookViewId="0">
      <selection activeCell="M35" sqref="M35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3.8320312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0" x14ac:dyDescent="0.2">
      <c r="A2" s="25">
        <v>1</v>
      </c>
      <c r="B2" s="18">
        <v>1</v>
      </c>
      <c r="C2" s="18" t="s">
        <v>7</v>
      </c>
      <c r="D2" s="86" t="s">
        <v>46</v>
      </c>
      <c r="E2" s="12">
        <v>727791</v>
      </c>
      <c r="F2" s="12">
        <f>SUMIFS('Week 12 Mar 16 - Mar 22 2020'!F:F,'Week 12 Mar 16 - Mar 22 2020'!D:D,'Week 13 Mar 23 - Mar 29 2020'!D:D,'Week 12 Mar 16 - Mar 22 2020'!C:C,'Week 13 Mar 23 - Mar 29 2020'!C:C)+Table36119101355571214[[#This Row],[Week Sales]]</f>
        <v>2608417</v>
      </c>
      <c r="G2" s="18" t="str">
        <f>(VLOOKUP(D:D,'Week 12 Mar 16 - Mar 22 2020'!D:G,4,FALSE))</f>
        <v>Nintendo</v>
      </c>
      <c r="H2" s="67">
        <f>(VLOOKUP(D:D,'Week 12 Mar 16 - Mar 22 2020'!D:H,5,FALSE))</f>
        <v>43910</v>
      </c>
      <c r="I2" s="12">
        <f>_xlfn.IFNA(SUMIFS('Week 12 Mar 16 - Mar 22 2020'!E:E,'Week 12 Mar 16 - Mar 22 2020'!D:D,'Week 13 Mar 23 - Mar 29 2020'!D:D,'Week 12 Mar 16 - Mar 22 2020'!C:C,'Week 13 Mar 23 - Mar 29 2020'!C:C),"New")</f>
        <v>1880626</v>
      </c>
      <c r="J2" s="28">
        <f>IFERROR((E2-I2)/I2,"New")</f>
        <v>-0.61300598843151166</v>
      </c>
    </row>
    <row r="3" spans="1:10" x14ac:dyDescent="0.2">
      <c r="A3" s="13">
        <v>2</v>
      </c>
      <c r="B3" s="9" t="s">
        <v>36</v>
      </c>
      <c r="C3" s="9" t="s">
        <v>8</v>
      </c>
      <c r="D3" s="46" t="s">
        <v>221</v>
      </c>
      <c r="E3" s="10">
        <v>75998</v>
      </c>
      <c r="F3" s="10">
        <f>SUMIFS('Week 12 Mar 16 - Mar 22 2020'!F:F,'Week 12 Mar 16 - Mar 22 2020'!D:D,'Week 13 Mar 23 - Mar 29 2020'!D:D,'Week 12 Mar 16 - Mar 22 2020'!C:C,'Week 13 Mar 23 - Mar 29 2020'!C:C)+Table36119101355571214[[#This Row],[Week Sales]]</f>
        <v>75998</v>
      </c>
      <c r="G3" s="9" t="s">
        <v>34</v>
      </c>
      <c r="H3" s="14">
        <v>43916</v>
      </c>
      <c r="I3" s="10" t="s">
        <v>36</v>
      </c>
      <c r="J3" s="92" t="str">
        <f t="shared" ref="J3:J29" si="0">IFERROR((E3-I3)/I3,"New")</f>
        <v>New</v>
      </c>
    </row>
    <row r="4" spans="1:10" x14ac:dyDescent="0.2">
      <c r="A4" s="13">
        <v>3</v>
      </c>
      <c r="B4" s="9" t="s">
        <v>36</v>
      </c>
      <c r="C4" s="9" t="s">
        <v>7</v>
      </c>
      <c r="D4" s="46" t="s">
        <v>221</v>
      </c>
      <c r="E4" s="10">
        <v>61571</v>
      </c>
      <c r="F4" s="10">
        <f>SUMIFS('Week 12 Mar 16 - Mar 22 2020'!F:F,'Week 12 Mar 16 - Mar 22 2020'!D:D,'Week 13 Mar 23 - Mar 29 2020'!D:D,'Week 12 Mar 16 - Mar 22 2020'!C:C,'Week 13 Mar 23 - Mar 29 2020'!C:C)+Table36119101355571214[[#This Row],[Week Sales]]</f>
        <v>61571</v>
      </c>
      <c r="G4" s="9" t="s">
        <v>34</v>
      </c>
      <c r="H4" s="14">
        <v>43916</v>
      </c>
      <c r="I4" s="10" t="s">
        <v>36</v>
      </c>
      <c r="J4" s="92" t="str">
        <f t="shared" si="0"/>
        <v>New</v>
      </c>
    </row>
    <row r="5" spans="1:10" x14ac:dyDescent="0.2">
      <c r="A5" s="25">
        <v>4</v>
      </c>
      <c r="B5" s="18">
        <v>4</v>
      </c>
      <c r="C5" s="18" t="s">
        <v>7</v>
      </c>
      <c r="D5" s="47" t="s">
        <v>62</v>
      </c>
      <c r="E5" s="12">
        <v>14996</v>
      </c>
      <c r="F5" s="12">
        <f>SUMIFS('Week 12 Mar 16 - Mar 22 2020'!F:F,'Week 12 Mar 16 - Mar 22 2020'!D:D,'Week 13 Mar 23 - Mar 29 2020'!D:D,'Week 12 Mar 16 - Mar 22 2020'!C:C,'Week 13 Mar 23 - Mar 29 2020'!C:C)+Table36119101355571214[[#This Row],[Week Sales]]</f>
        <v>3542524</v>
      </c>
      <c r="G5" s="18" t="str">
        <f>(VLOOKUP(D:D,'Week 12 Mar 16 - Mar 22 2020'!D:G,4,FALSE))</f>
        <v>The Pokemon Company</v>
      </c>
      <c r="H5" s="67">
        <f>(VLOOKUP(D:D,'Week 12 Mar 16 - Mar 22 2020'!D:H,5,FALSE))</f>
        <v>43784</v>
      </c>
      <c r="I5" s="12">
        <f>_xlfn.IFNA(SUMIFS('Week 12 Mar 16 - Mar 22 2020'!E:E,'Week 12 Mar 16 - Mar 22 2020'!D:D,'Week 13 Mar 23 - Mar 29 2020'!D:D,'Week 12 Mar 16 - Mar 22 2020'!C:C,'Week 13 Mar 23 - Mar 29 2020'!C:C),"New")</f>
        <v>17608</v>
      </c>
      <c r="J5" s="28">
        <f t="shared" si="0"/>
        <v>-0.14834166288050887</v>
      </c>
    </row>
    <row r="6" spans="1:10" x14ac:dyDescent="0.2">
      <c r="A6" s="25">
        <v>5</v>
      </c>
      <c r="B6" s="18">
        <v>8</v>
      </c>
      <c r="C6" s="18" t="s">
        <v>7</v>
      </c>
      <c r="D6" s="47" t="s">
        <v>45</v>
      </c>
      <c r="E6" s="12">
        <v>13819</v>
      </c>
      <c r="F6" s="12">
        <f>SUMIFS('Week 12 Mar 16 - Mar 22 2020'!F:F,'Week 12 Mar 16 - Mar 22 2020'!D:D,'Week 13 Mar 23 - Mar 29 2020'!D:D,'Week 12 Mar 16 - Mar 22 2020'!C:C,'Week 13 Mar 23 - Mar 29 2020'!C:C)+Table36119101355571214[[#This Row],[Week Sales]]</f>
        <v>745127</v>
      </c>
      <c r="G6" s="18" t="str">
        <f>(VLOOKUP(D:D,'Week 12 Mar 16 - Mar 22 2020'!D:G,4,FALSE))</f>
        <v>Nintendo</v>
      </c>
      <c r="H6" s="67">
        <f>(VLOOKUP(D:D,'Week 12 Mar 16 - Mar 22 2020'!D:H,5,FALSE))</f>
        <v>43756</v>
      </c>
      <c r="I6" s="12">
        <f>_xlfn.IFNA(SUMIFS('Week 12 Mar 16 - Mar 22 2020'!E:E,'Week 12 Mar 16 - Mar 22 2020'!D:D,'Week 13 Mar 23 - Mar 29 2020'!D:D,'Week 12 Mar 16 - Mar 22 2020'!C:C,'Week 13 Mar 23 - Mar 29 2020'!C:C),"New")</f>
        <v>7505</v>
      </c>
      <c r="J6" s="28">
        <f t="shared" si="0"/>
        <v>0.84130579613590939</v>
      </c>
    </row>
    <row r="7" spans="1:10" x14ac:dyDescent="0.2">
      <c r="A7" s="25">
        <v>6</v>
      </c>
      <c r="B7" s="18">
        <v>6</v>
      </c>
      <c r="C7" s="18" t="s">
        <v>7</v>
      </c>
      <c r="D7" s="47" t="s">
        <v>49</v>
      </c>
      <c r="E7" s="12">
        <v>11577</v>
      </c>
      <c r="F7" s="12">
        <f>SUMIFS('Week 12 Mar 16 - Mar 22 2020'!F:F,'Week 12 Mar 16 - Mar 22 2020'!D:D,'Week 13 Mar 23 - Mar 29 2020'!D:D,'Week 12 Mar 16 - Mar 22 2020'!C:C,'Week 13 Mar 23 - Mar 29 2020'!C:C)+Table36119101355571214[[#This Row],[Week Sales]]</f>
        <v>2840930</v>
      </c>
      <c r="G7" s="18" t="str">
        <f>(VLOOKUP(D:D,'Week 12 Mar 16 - Mar 22 2020'!D:G,4,FALSE))</f>
        <v>Nintendo</v>
      </c>
      <c r="H7" s="67">
        <f>(VLOOKUP(D:D,'Week 12 Mar 16 - Mar 22 2020'!D:H,5,FALSE))</f>
        <v>42853</v>
      </c>
      <c r="I7" s="12">
        <f>_xlfn.IFNA(SUMIFS('Week 12 Mar 16 - Mar 22 2020'!E:E,'Week 12 Mar 16 - Mar 22 2020'!D:D,'Week 13 Mar 23 - Mar 29 2020'!D:D,'Week 12 Mar 16 - Mar 22 2020'!C:C,'Week 13 Mar 23 - Mar 29 2020'!C:C),"New")</f>
        <v>12095</v>
      </c>
      <c r="J7" s="28">
        <f t="shared" si="0"/>
        <v>-4.2827614716825134E-2</v>
      </c>
    </row>
    <row r="8" spans="1:10" x14ac:dyDescent="0.2">
      <c r="A8" s="25">
        <v>7</v>
      </c>
      <c r="B8" s="18">
        <v>3</v>
      </c>
      <c r="C8" s="18" t="s">
        <v>7</v>
      </c>
      <c r="D8" s="47" t="s">
        <v>209</v>
      </c>
      <c r="E8" s="12">
        <v>11501</v>
      </c>
      <c r="F8" s="12">
        <f>SUMIFS('Week 12 Mar 16 - Mar 22 2020'!F:F,'Week 12 Mar 16 - Mar 22 2020'!D:D,'Week 13 Mar 23 - Mar 29 2020'!D:D,'Week 12 Mar 16 - Mar 22 2020'!C:C,'Week 13 Mar 23 - Mar 29 2020'!C:C)+Table36119101355571214[[#This Row],[Week Sales]]</f>
        <v>218394</v>
      </c>
      <c r="G8" s="18" t="str">
        <f>(VLOOKUP(D:D,'Week 12 Mar 16 - Mar 22 2020'!D:G,4,FALSE))</f>
        <v>The Pokemon Company</v>
      </c>
      <c r="H8" s="67">
        <f>(VLOOKUP(D:D,'Week 12 Mar 16 - Mar 22 2020'!D:H,5,FALSE))</f>
        <v>43896</v>
      </c>
      <c r="I8" s="12">
        <f>_xlfn.IFNA(SUMIFS('Week 12 Mar 16 - Mar 22 2020'!E:E,'Week 12 Mar 16 - Mar 22 2020'!D:D,'Week 13 Mar 23 - Mar 29 2020'!D:D,'Week 12 Mar 16 - Mar 22 2020'!C:C,'Week 13 Mar 23 - Mar 29 2020'!C:C),"New")</f>
        <v>21954</v>
      </c>
      <c r="J8" s="28">
        <f t="shared" si="0"/>
        <v>-0.47613191218001277</v>
      </c>
    </row>
    <row r="9" spans="1:10" x14ac:dyDescent="0.2">
      <c r="A9" s="25">
        <v>8</v>
      </c>
      <c r="B9" s="18">
        <v>2</v>
      </c>
      <c r="C9" s="18" t="s">
        <v>8</v>
      </c>
      <c r="D9" s="47" t="s">
        <v>214</v>
      </c>
      <c r="E9" s="12">
        <v>11270</v>
      </c>
      <c r="F9" s="12">
        <f>SUMIFS('Week 12 Mar 16 - Mar 22 2020'!F:F,'Week 12 Mar 16 - Mar 22 2020'!D:D,'Week 13 Mar 23 - Mar 29 2020'!D:D,'Week 12 Mar 16 - Mar 22 2020'!C:C,'Week 13 Mar 23 - Mar 29 2020'!C:C)+Table36119101355571214[[#This Row],[Week Sales]]</f>
        <v>129302</v>
      </c>
      <c r="G9" s="18" t="str">
        <f>(VLOOKUP(D:D,'Week 12 Mar 16 - Mar 22 2020'!D:G,4,FALSE))</f>
        <v>Koei Tecmo</v>
      </c>
      <c r="H9" s="67">
        <f>(VLOOKUP(D:D,'Week 12 Mar 16 - Mar 22 2020'!D:H,5,FALSE))</f>
        <v>43902</v>
      </c>
      <c r="I9" s="12">
        <f>_xlfn.IFNA(SUMIFS('Week 12 Mar 16 - Mar 22 2020'!E:E,'Week 12 Mar 16 - Mar 22 2020'!D:D,'Week 13 Mar 23 - Mar 29 2020'!D:D,'Week 12 Mar 16 - Mar 22 2020'!C:C,'Week 13 Mar 23 - Mar 29 2020'!C:C),"New")</f>
        <v>26140</v>
      </c>
      <c r="J9" s="28">
        <f t="shared" si="0"/>
        <v>-0.56885998469778121</v>
      </c>
    </row>
    <row r="10" spans="1:10" x14ac:dyDescent="0.2">
      <c r="A10" s="25">
        <v>9</v>
      </c>
      <c r="B10" s="18">
        <v>7</v>
      </c>
      <c r="C10" s="18" t="s">
        <v>7</v>
      </c>
      <c r="D10" s="47" t="s">
        <v>52</v>
      </c>
      <c r="E10" s="12">
        <v>10355</v>
      </c>
      <c r="F10" s="12">
        <f>SUMIFS('Week 12 Mar 16 - Mar 22 2020'!F:F,'Week 12 Mar 16 - Mar 22 2020'!D:D,'Week 13 Mar 23 - Mar 29 2020'!D:D,'Week 12 Mar 16 - Mar 22 2020'!C:C,'Week 13 Mar 23 - Mar 29 2020'!C:C)+Table36119101355571214[[#This Row],[Week Sales]]</f>
        <v>3623274</v>
      </c>
      <c r="G10" s="18" t="str">
        <f>(VLOOKUP(D:D,'Week 12 Mar 16 - Mar 22 2020'!D:G,4,FALSE))</f>
        <v>Nintendo</v>
      </c>
      <c r="H10" s="67">
        <f>(VLOOKUP(D:D,'Week 12 Mar 16 - Mar 22 2020'!D:H,5,FALSE))</f>
        <v>43441</v>
      </c>
      <c r="I10" s="12">
        <f>_xlfn.IFNA(SUMIFS('Week 12 Mar 16 - Mar 22 2020'!E:E,'Week 12 Mar 16 - Mar 22 2020'!D:D,'Week 13 Mar 23 - Mar 29 2020'!D:D,'Week 12 Mar 16 - Mar 22 2020'!C:C,'Week 13 Mar 23 - Mar 29 2020'!C:C),"New")</f>
        <v>10647</v>
      </c>
      <c r="J10" s="28">
        <f t="shared" si="0"/>
        <v>-2.7425565887104347E-2</v>
      </c>
    </row>
    <row r="11" spans="1:10" x14ac:dyDescent="0.2">
      <c r="A11" s="25">
        <v>10</v>
      </c>
      <c r="B11" s="18">
        <v>5</v>
      </c>
      <c r="C11" s="18" t="s">
        <v>7</v>
      </c>
      <c r="D11" s="47" t="s">
        <v>12</v>
      </c>
      <c r="E11" s="12">
        <v>9908</v>
      </c>
      <c r="F11" s="12">
        <f>SUMIFS('Week 12 Mar 16 - Mar 22 2020'!F:F,'Week 12 Mar 16 - Mar 22 2020'!D:D,'Week 13 Mar 23 - Mar 29 2020'!D:D,'Week 12 Mar 16 - Mar 22 2020'!C:C,'Week 13 Mar 23 - Mar 29 2020'!C:C)+Table36119101355571214[[#This Row],[Week Sales]]</f>
        <v>1331839</v>
      </c>
      <c r="G11" s="18" t="str">
        <f>(VLOOKUP(D:D,'Week 12 Mar 16 - Mar 22 2020'!D:G,4,FALSE))</f>
        <v>Microsoft</v>
      </c>
      <c r="H11" s="67">
        <f>(VLOOKUP(D:D,'Week 12 Mar 16 - Mar 22 2020'!D:H,5,FALSE))</f>
        <v>43272</v>
      </c>
      <c r="I11" s="12">
        <f>_xlfn.IFNA(SUMIFS('Week 12 Mar 16 - Mar 22 2020'!E:E,'Week 12 Mar 16 - Mar 22 2020'!D:D,'Week 13 Mar 23 - Mar 29 2020'!D:D,'Week 12 Mar 16 - Mar 22 2020'!C:C,'Week 13 Mar 23 - Mar 29 2020'!C:C),"New")</f>
        <v>12116</v>
      </c>
      <c r="J11" s="28">
        <f t="shared" si="0"/>
        <v>-0.18223836249587322</v>
      </c>
    </row>
    <row r="12" spans="1:10" x14ac:dyDescent="0.2">
      <c r="A12" s="25">
        <v>11</v>
      </c>
      <c r="B12" s="18">
        <v>9</v>
      </c>
      <c r="C12" s="18" t="s">
        <v>7</v>
      </c>
      <c r="D12" s="47" t="s">
        <v>10</v>
      </c>
      <c r="E12" s="12">
        <v>6992</v>
      </c>
      <c r="F12" s="12">
        <f>SUMIFS('Week 12 Mar 16 - Mar 22 2020'!F:F,'Week 12 Mar 16 - Mar 22 2020'!D:D,'Week 13 Mar 23 - Mar 29 2020'!D:D,'Week 12 Mar 16 - Mar 22 2020'!C:C,'Week 13 Mar 23 - Mar 29 2020'!C:C)+Table36119101355571214[[#This Row],[Week Sales]]</f>
        <v>3356409</v>
      </c>
      <c r="G12" s="18" t="str">
        <f>(VLOOKUP(D:D,'Week 12 Mar 16 - Mar 22 2020'!D:G,4,FALSE))</f>
        <v>Nintendo</v>
      </c>
      <c r="H12" s="67">
        <f>(VLOOKUP(D:D,'Week 12 Mar 16 - Mar 22 2020'!D:H,5,FALSE))</f>
        <v>42937</v>
      </c>
      <c r="I12" s="12">
        <f>_xlfn.IFNA(SUMIFS('Week 12 Mar 16 - Mar 22 2020'!E:E,'Week 12 Mar 16 - Mar 22 2020'!D:D,'Week 13 Mar 23 - Mar 29 2020'!D:D,'Week 12 Mar 16 - Mar 22 2020'!C:C,'Week 13 Mar 23 - Mar 29 2020'!C:C),"New")</f>
        <v>7467</v>
      </c>
      <c r="J12" s="28">
        <f t="shared" si="0"/>
        <v>-6.3613231552162849E-2</v>
      </c>
    </row>
    <row r="13" spans="1:10" x14ac:dyDescent="0.2">
      <c r="A13" s="25">
        <v>12</v>
      </c>
      <c r="B13" s="18">
        <v>10</v>
      </c>
      <c r="C13" s="18" t="s">
        <v>7</v>
      </c>
      <c r="D13" s="47" t="s">
        <v>13</v>
      </c>
      <c r="E13" s="12">
        <v>6370</v>
      </c>
      <c r="F13" s="12">
        <f>SUMIFS('Week 12 Mar 16 - Mar 22 2020'!F:F,'Week 12 Mar 16 - Mar 22 2020'!D:D,'Week 13 Mar 23 - Mar 29 2020'!D:D,'Week 12 Mar 16 - Mar 22 2020'!C:C,'Week 13 Mar 23 - Mar 29 2020'!C:C)+Table36119101355571214[[#This Row],[Week Sales]]</f>
        <v>1381787</v>
      </c>
      <c r="G13" s="18" t="str">
        <f>(VLOOKUP(D:D,'Week 12 Mar 16 - Mar 22 2020'!D:G,4,FALSE))</f>
        <v>Nintendo</v>
      </c>
      <c r="H13" s="67">
        <f>(VLOOKUP(D:D,'Week 12 Mar 16 - Mar 22 2020'!D:H,5,FALSE))</f>
        <v>43378</v>
      </c>
      <c r="I13" s="12">
        <f>_xlfn.IFNA(SUMIFS('Week 12 Mar 16 - Mar 22 2020'!E:E,'Week 12 Mar 16 - Mar 22 2020'!D:D,'Week 13 Mar 23 - Mar 29 2020'!D:D,'Week 12 Mar 16 - Mar 22 2020'!C:C,'Week 13 Mar 23 - Mar 29 2020'!C:C),"New")</f>
        <v>6580</v>
      </c>
      <c r="J13" s="28">
        <f t="shared" si="0"/>
        <v>-3.1914893617021274E-2</v>
      </c>
    </row>
    <row r="14" spans="1:10" x14ac:dyDescent="0.2">
      <c r="A14" s="13">
        <v>13</v>
      </c>
      <c r="B14" s="9" t="s">
        <v>36</v>
      </c>
      <c r="C14" s="9" t="s">
        <v>8</v>
      </c>
      <c r="D14" s="46" t="s">
        <v>224</v>
      </c>
      <c r="E14" s="10">
        <v>4608</v>
      </c>
      <c r="F14" s="10">
        <f>SUMIFS('Week 12 Mar 16 - Mar 22 2020'!F:F,'Week 12 Mar 16 - Mar 22 2020'!D:D,'Week 13 Mar 23 - Mar 29 2020'!D:D,'Week 12 Mar 16 - Mar 22 2020'!C:C,'Week 13 Mar 23 - Mar 29 2020'!C:C)+Table36119101355571214[[#This Row],[Week Sales]]</f>
        <v>4608</v>
      </c>
      <c r="G14" s="9" t="s">
        <v>229</v>
      </c>
      <c r="H14" s="14">
        <v>43916</v>
      </c>
      <c r="I14" s="10" t="s">
        <v>36</v>
      </c>
      <c r="J14" s="92" t="str">
        <f t="shared" si="0"/>
        <v>New</v>
      </c>
    </row>
    <row r="15" spans="1:10" x14ac:dyDescent="0.2">
      <c r="A15" s="25">
        <v>14</v>
      </c>
      <c r="B15" s="18">
        <v>16</v>
      </c>
      <c r="C15" s="18" t="s">
        <v>7</v>
      </c>
      <c r="D15" s="47" t="s">
        <v>17</v>
      </c>
      <c r="E15" s="12">
        <v>4505</v>
      </c>
      <c r="F15" s="12">
        <f>SUMIFS('Week 12 Mar 16 - Mar 22 2020'!F:F,'Week 12 Mar 16 - Mar 22 2020'!D:D,'Week 13 Mar 23 - Mar 29 2020'!D:D,'Week 12 Mar 16 - Mar 22 2020'!C:C,'Week 13 Mar 23 - Mar 29 2020'!C:C)+Table36119101355571214[[#This Row],[Week Sales]]</f>
        <v>806488</v>
      </c>
      <c r="G15" s="18" t="str">
        <f>(VLOOKUP(D:D,'Week 12 Mar 16 - Mar 22 2020'!D:G,4,FALSE))</f>
        <v>Nintendo</v>
      </c>
      <c r="H15" s="67">
        <f>(VLOOKUP(D:D,'Week 12 Mar 16 - Mar 22 2020'!D:H,5,FALSE))</f>
        <v>43476</v>
      </c>
      <c r="I15" s="12">
        <f>_xlfn.IFNA(SUMIFS('Week 12 Mar 16 - Mar 22 2020'!E:E,'Week 12 Mar 16 - Mar 22 2020'!D:D,'Week 13 Mar 23 - Mar 29 2020'!D:D,'Week 12 Mar 16 - Mar 22 2020'!C:C,'Week 13 Mar 23 - Mar 29 2020'!C:C),"New")</f>
        <v>4700</v>
      </c>
      <c r="J15" s="28">
        <f t="shared" si="0"/>
        <v>-4.1489361702127657E-2</v>
      </c>
    </row>
    <row r="16" spans="1:10" x14ac:dyDescent="0.2">
      <c r="A16" s="13">
        <v>15</v>
      </c>
      <c r="B16" s="9" t="s">
        <v>36</v>
      </c>
      <c r="C16" s="9" t="s">
        <v>8</v>
      </c>
      <c r="D16" s="46" t="s">
        <v>225</v>
      </c>
      <c r="E16" s="10">
        <v>4471</v>
      </c>
      <c r="F16" s="10">
        <f>SUMIFS('Week 12 Mar 16 - Mar 22 2020'!F:F,'Week 12 Mar 16 - Mar 22 2020'!D:D,'Week 13 Mar 23 - Mar 29 2020'!D:D,'Week 12 Mar 16 - Mar 22 2020'!C:C,'Week 13 Mar 23 - Mar 29 2020'!C:C)+Table36119101355571214[[#This Row],[Week Sales]]</f>
        <v>4471</v>
      </c>
      <c r="G16" s="9" t="s">
        <v>27</v>
      </c>
      <c r="H16" s="14">
        <v>43916</v>
      </c>
      <c r="I16" s="10" t="s">
        <v>36</v>
      </c>
      <c r="J16" s="92" t="str">
        <f t="shared" si="0"/>
        <v>New</v>
      </c>
    </row>
    <row r="17" spans="1:10" x14ac:dyDescent="0.2">
      <c r="A17" s="25">
        <v>16</v>
      </c>
      <c r="B17" s="18">
        <v>14</v>
      </c>
      <c r="C17" s="18" t="s">
        <v>7</v>
      </c>
      <c r="D17" s="47" t="s">
        <v>19</v>
      </c>
      <c r="E17" s="12">
        <v>4424</v>
      </c>
      <c r="F17" s="12">
        <f>SUMIFS('Week 12 Mar 16 - Mar 22 2020'!F:F,'Week 12 Mar 16 - Mar 22 2020'!D:D,'Week 13 Mar 23 - Mar 29 2020'!D:D,'Week 12 Mar 16 - Mar 22 2020'!C:C,'Week 13 Mar 23 - Mar 29 2020'!C:C)+Table36119101355571214[[#This Row],[Week Sales]]</f>
        <v>883419</v>
      </c>
      <c r="G17" s="18" t="str">
        <f>(VLOOKUP(D:D,'Week 12 Mar 16 - Mar 22 2020'!D:G,4,FALSE))</f>
        <v>Nintendo</v>
      </c>
      <c r="H17" s="67">
        <f>(VLOOKUP(D:D,'Week 12 Mar 16 - Mar 22 2020'!D:H,5,FALSE))</f>
        <v>43644</v>
      </c>
      <c r="I17" s="12">
        <f>_xlfn.IFNA(SUMIFS('Week 12 Mar 16 - Mar 22 2020'!E:E,'Week 12 Mar 16 - Mar 22 2020'!D:D,'Week 13 Mar 23 - Mar 29 2020'!D:D,'Week 12 Mar 16 - Mar 22 2020'!C:C,'Week 13 Mar 23 - Mar 29 2020'!C:C),"New")</f>
        <v>5093</v>
      </c>
      <c r="J17" s="28">
        <f t="shared" si="0"/>
        <v>-0.13135676418613784</v>
      </c>
    </row>
    <row r="18" spans="1:10" x14ac:dyDescent="0.2">
      <c r="A18" s="25">
        <v>17</v>
      </c>
      <c r="B18" s="18">
        <v>15</v>
      </c>
      <c r="C18" s="18" t="s">
        <v>7</v>
      </c>
      <c r="D18" s="47" t="s">
        <v>39</v>
      </c>
      <c r="E18" s="12">
        <v>4365</v>
      </c>
      <c r="F18" s="12">
        <f>SUMIFS('Week 12 Mar 16 - Mar 22 2020'!F:F,'Week 12 Mar 16 - Mar 22 2020'!D:D,'Week 13 Mar 23 - Mar 29 2020'!D:D,'Week 12 Mar 16 - Mar 22 2020'!C:C,'Week 13 Mar 23 - Mar 29 2020'!C:C)+Table36119101355571214[[#This Row],[Week Sales]]</f>
        <v>1550727</v>
      </c>
      <c r="G18" s="18" t="str">
        <f>(VLOOKUP(D:D,'Week 12 Mar 16 - Mar 22 2020'!D:G,4,FALSE))</f>
        <v>Nintendo</v>
      </c>
      <c r="H18" s="67">
        <f>(VLOOKUP(D:D,'Week 12 Mar 16 - Mar 22 2020'!D:H,5,FALSE))</f>
        <v>42797</v>
      </c>
      <c r="I18" s="12">
        <f>_xlfn.IFNA(SUMIFS('Week 12 Mar 16 - Mar 22 2020'!E:E,'Week 12 Mar 16 - Mar 22 2020'!D:D,'Week 13 Mar 23 - Mar 29 2020'!D:D,'Week 12 Mar 16 - Mar 22 2020'!C:C,'Week 13 Mar 23 - Mar 29 2020'!C:C),"New")</f>
        <v>4856</v>
      </c>
      <c r="J18" s="28">
        <f t="shared" si="0"/>
        <v>-0.10111202635914333</v>
      </c>
    </row>
    <row r="19" spans="1:10" x14ac:dyDescent="0.2">
      <c r="A19" s="25">
        <v>18</v>
      </c>
      <c r="B19" s="18">
        <v>19</v>
      </c>
      <c r="C19" s="18" t="s">
        <v>7</v>
      </c>
      <c r="D19" s="47" t="s">
        <v>20</v>
      </c>
      <c r="E19" s="12">
        <v>4310</v>
      </c>
      <c r="F19" s="12">
        <f>SUMIFS('Week 12 Mar 16 - Mar 22 2020'!F:F,'Week 12 Mar 16 - Mar 22 2020'!D:D,'Week 13 Mar 23 - Mar 29 2020'!D:D,'Week 12 Mar 16 - Mar 22 2020'!C:C,'Week 13 Mar 23 - Mar 29 2020'!C:C)+Table36119101355571214[[#This Row],[Week Sales]]</f>
        <v>413916</v>
      </c>
      <c r="G19" s="18" t="str">
        <f>(VLOOKUP(D:D,'Week 12 Mar 16 - Mar 22 2020'!D:G,4,FALSE))</f>
        <v>Bandai Namco</v>
      </c>
      <c r="H19" s="67">
        <f>(VLOOKUP(D:D,'Week 12 Mar 16 - Mar 22 2020'!D:H,5,FALSE))</f>
        <v>43671</v>
      </c>
      <c r="I19" s="12">
        <f>_xlfn.IFNA(SUMIFS('Week 12 Mar 16 - Mar 22 2020'!E:E,'Week 12 Mar 16 - Mar 22 2020'!D:D,'Week 13 Mar 23 - Mar 29 2020'!D:D,'Week 12 Mar 16 - Mar 22 2020'!C:C,'Week 13 Mar 23 - Mar 29 2020'!C:C),"New")</f>
        <v>3043</v>
      </c>
      <c r="J19" s="28">
        <f t="shared" si="0"/>
        <v>0.41636542885310551</v>
      </c>
    </row>
    <row r="20" spans="1:10" x14ac:dyDescent="0.2">
      <c r="A20" s="25">
        <v>19</v>
      </c>
      <c r="B20" s="18">
        <v>12</v>
      </c>
      <c r="C20" s="18" t="s">
        <v>7</v>
      </c>
      <c r="D20" s="47" t="s">
        <v>16</v>
      </c>
      <c r="E20" s="12">
        <v>4234</v>
      </c>
      <c r="F20" s="12">
        <f>SUMIFS('Week 12 Mar 16 - Mar 22 2020'!F:F,'Week 12 Mar 16 - Mar 22 2020'!D:D,'Week 13 Mar 23 - Mar 29 2020'!D:D,'Week 12 Mar 16 - Mar 22 2020'!C:C,'Week 13 Mar 23 - Mar 29 2020'!C:C)+Table36119101355571214[[#This Row],[Week Sales]]</f>
        <v>186047</v>
      </c>
      <c r="G20" s="18" t="str">
        <f>(VLOOKUP(D:D,'Week 12 Mar 16 - Mar 22 2020'!D:G,4,FALSE))</f>
        <v>Nintendo</v>
      </c>
      <c r="H20" s="67">
        <f>(VLOOKUP(D:D,'Week 12 Mar 16 - Mar 22 2020'!D:H,5,FALSE))</f>
        <v>43826</v>
      </c>
      <c r="I20" s="12">
        <f>_xlfn.IFNA(SUMIFS('Week 12 Mar 16 - Mar 22 2020'!E:E,'Week 12 Mar 16 - Mar 22 2020'!D:D,'Week 13 Mar 23 - Mar 29 2020'!D:D,'Week 12 Mar 16 - Mar 22 2020'!C:C,'Week 13 Mar 23 - Mar 29 2020'!C:C),"New")</f>
        <v>5188</v>
      </c>
      <c r="J20" s="28">
        <f t="shared" si="0"/>
        <v>-0.18388589051657672</v>
      </c>
    </row>
    <row r="21" spans="1:10" x14ac:dyDescent="0.2">
      <c r="A21" s="13">
        <v>20</v>
      </c>
      <c r="B21" s="9" t="s">
        <v>36</v>
      </c>
      <c r="C21" s="9" t="s">
        <v>7</v>
      </c>
      <c r="D21" s="46" t="s">
        <v>226</v>
      </c>
      <c r="E21" s="10">
        <v>3668</v>
      </c>
      <c r="F21" s="10">
        <f>SUMIFS('Week 12 Mar 16 - Mar 22 2020'!F:F,'Week 12 Mar 16 - Mar 22 2020'!D:D,'Week 13 Mar 23 - Mar 29 2020'!D:D,'Week 12 Mar 16 - Mar 22 2020'!C:C,'Week 13 Mar 23 - Mar 29 2020'!C:C)+Table36119101355571214[[#This Row],[Week Sales]]</f>
        <v>3668</v>
      </c>
      <c r="G21" s="9" t="s">
        <v>207</v>
      </c>
      <c r="H21" s="14">
        <v>43916</v>
      </c>
      <c r="I21" s="10" t="s">
        <v>36</v>
      </c>
      <c r="J21" s="92" t="str">
        <f t="shared" si="0"/>
        <v>New</v>
      </c>
    </row>
    <row r="22" spans="1:10" x14ac:dyDescent="0.2">
      <c r="A22" s="13">
        <v>21</v>
      </c>
      <c r="B22" s="9" t="s">
        <v>36</v>
      </c>
      <c r="C22" s="9" t="s">
        <v>8</v>
      </c>
      <c r="D22" s="46" t="s">
        <v>227</v>
      </c>
      <c r="E22" s="10">
        <v>3418</v>
      </c>
      <c r="F22" s="10">
        <f>SUMIFS('Week 12 Mar 16 - Mar 22 2020'!F:F,'Week 12 Mar 16 - Mar 22 2020'!D:D,'Week 13 Mar 23 - Mar 29 2020'!D:D,'Week 12 Mar 16 - Mar 22 2020'!C:C,'Week 13 Mar 23 - Mar 29 2020'!C:C)+Table36119101355571214[[#This Row],[Week Sales]]</f>
        <v>3418</v>
      </c>
      <c r="G22" s="9" t="s">
        <v>230</v>
      </c>
      <c r="H22" s="14">
        <v>43916</v>
      </c>
      <c r="I22" s="10" t="s">
        <v>36</v>
      </c>
      <c r="J22" s="92" t="str">
        <f t="shared" si="0"/>
        <v>New</v>
      </c>
    </row>
    <row r="23" spans="1:10" x14ac:dyDescent="0.2">
      <c r="A23" s="25">
        <v>22</v>
      </c>
      <c r="B23" s="18">
        <v>17</v>
      </c>
      <c r="C23" s="18" t="s">
        <v>7</v>
      </c>
      <c r="D23" s="47" t="s">
        <v>79</v>
      </c>
      <c r="E23" s="12">
        <v>3339</v>
      </c>
      <c r="F23" s="12">
        <f>SUMIFS('Week 12 Mar 16 - Mar 22 2020'!F:F,'Week 12 Mar 16 - Mar 22 2020'!D:D,'Week 13 Mar 23 - Mar 29 2020'!D:D,'Week 12 Mar 16 - Mar 22 2020'!C:C,'Week 13 Mar 23 - Mar 29 2020'!C:C)+Table36119101355571214[[#This Row],[Week Sales]]</f>
        <v>623480</v>
      </c>
      <c r="G23" s="18" t="str">
        <f>(VLOOKUP(D:D,'Week 12 Mar 16 - Mar 22 2020'!D:G,4,FALSE))</f>
        <v>Nintendo</v>
      </c>
      <c r="H23" s="67">
        <f>(VLOOKUP(D:D,'Week 12 Mar 16 - Mar 22 2020'!D:H,5,FALSE))</f>
        <v>43769</v>
      </c>
      <c r="I23" s="12">
        <f>_xlfn.IFNA(SUMIFS('Week 12 Mar 16 - Mar 22 2020'!E:E,'Week 12 Mar 16 - Mar 22 2020'!D:D,'Week 13 Mar 23 - Mar 29 2020'!D:D,'Week 12 Mar 16 - Mar 22 2020'!C:C,'Week 13 Mar 23 - Mar 29 2020'!C:C),"New")</f>
        <v>3856</v>
      </c>
      <c r="J23" s="28">
        <f t="shared" si="0"/>
        <v>-0.13407676348547717</v>
      </c>
    </row>
    <row r="24" spans="1:10" x14ac:dyDescent="0.2">
      <c r="A24" s="25">
        <v>23</v>
      </c>
      <c r="B24" s="18">
        <v>18</v>
      </c>
      <c r="C24" s="18" t="s">
        <v>7</v>
      </c>
      <c r="D24" s="47" t="s">
        <v>80</v>
      </c>
      <c r="E24" s="12">
        <v>2802</v>
      </c>
      <c r="F24" s="12">
        <f>SUMIFS('Week 12 Mar 16 - Mar 22 2020'!F:F,'Week 12 Mar 16 - Mar 22 2020'!D:D,'Week 13 Mar 23 - Mar 29 2020'!D:D,'Week 12 Mar 16 - Mar 22 2020'!C:C,'Week 13 Mar 23 - Mar 29 2020'!C:C)+Table36119101355571214[[#This Row],[Week Sales]]</f>
        <v>292900</v>
      </c>
      <c r="G24" s="18" t="str">
        <f>(VLOOKUP(D:D,'Week 12 Mar 16 - Mar 22 2020'!D:G,4,FALSE))</f>
        <v>Sega</v>
      </c>
      <c r="H24" s="67">
        <f>(VLOOKUP(D:D,'Week 12 Mar 16 - Mar 22 2020'!D:H,5,FALSE))</f>
        <v>43770</v>
      </c>
      <c r="I24" s="12">
        <f>_xlfn.IFNA(SUMIFS('Week 12 Mar 16 - Mar 22 2020'!E:E,'Week 12 Mar 16 - Mar 22 2020'!D:D,'Week 13 Mar 23 - Mar 29 2020'!D:D,'Week 12 Mar 16 - Mar 22 2020'!C:C,'Week 13 Mar 23 - Mar 29 2020'!C:C),"New")</f>
        <v>3179</v>
      </c>
      <c r="J24" s="28">
        <f t="shared" si="0"/>
        <v>-0.11859075180874488</v>
      </c>
    </row>
    <row r="25" spans="1:10" x14ac:dyDescent="0.2">
      <c r="A25" s="25">
        <v>24</v>
      </c>
      <c r="B25" s="18">
        <v>13</v>
      </c>
      <c r="C25" s="18" t="s">
        <v>7</v>
      </c>
      <c r="D25" s="47" t="s">
        <v>215</v>
      </c>
      <c r="E25" s="12">
        <v>2737</v>
      </c>
      <c r="F25" s="12">
        <f>SUMIFS('Week 12 Mar 16 - Mar 22 2020'!F:F,'Week 12 Mar 16 - Mar 22 2020'!D:D,'Week 13 Mar 23 - Mar 29 2020'!D:D,'Week 12 Mar 16 - Mar 22 2020'!C:C,'Week 13 Mar 23 - Mar 29 2020'!C:C)+Table36119101355571214[[#This Row],[Week Sales]]</f>
        <v>24829</v>
      </c>
      <c r="G25" s="18" t="str">
        <f>(VLOOKUP(D:D,'Week 12 Mar 16 - Mar 22 2020'!D:G,4,FALSE))</f>
        <v>Bandai Namco</v>
      </c>
      <c r="H25" s="67">
        <f>(VLOOKUP(D:D,'Week 12 Mar 16 - Mar 22 2020'!D:H,5,FALSE))</f>
        <v>43902</v>
      </c>
      <c r="I25" s="12">
        <f>_xlfn.IFNA(SUMIFS('Week 12 Mar 16 - Mar 22 2020'!E:E,'Week 12 Mar 16 - Mar 22 2020'!D:D,'Week 13 Mar 23 - Mar 29 2020'!D:D,'Week 12 Mar 16 - Mar 22 2020'!C:C,'Week 13 Mar 23 - Mar 29 2020'!C:C),"New")</f>
        <v>5095</v>
      </c>
      <c r="J25" s="28">
        <f t="shared" si="0"/>
        <v>-0.46280667320902846</v>
      </c>
    </row>
    <row r="26" spans="1:10" x14ac:dyDescent="0.2">
      <c r="A26" s="35">
        <v>25</v>
      </c>
      <c r="B26" s="31" t="s">
        <v>53</v>
      </c>
      <c r="C26" s="31" t="s">
        <v>222</v>
      </c>
      <c r="D26" s="52" t="s">
        <v>223</v>
      </c>
      <c r="E26" s="33">
        <v>2545</v>
      </c>
      <c r="F26" s="33">
        <v>484888</v>
      </c>
      <c r="G26" s="31" t="s">
        <v>9</v>
      </c>
      <c r="H26" s="93">
        <v>42697</v>
      </c>
      <c r="I26" s="33"/>
      <c r="J26" s="97"/>
    </row>
    <row r="27" spans="1:10" x14ac:dyDescent="0.2">
      <c r="A27" s="25">
        <v>26</v>
      </c>
      <c r="B27" s="18">
        <v>23</v>
      </c>
      <c r="C27" s="18" t="s">
        <v>7</v>
      </c>
      <c r="D27" s="86" t="s">
        <v>83</v>
      </c>
      <c r="E27" s="12">
        <v>2478</v>
      </c>
      <c r="F27" s="12">
        <f>SUMIFS('Week 12 Mar 16 - Mar 22 2020'!F:F,'Week 12 Mar 16 - Mar 22 2020'!D:D,'Week 13 Mar 23 - Mar 29 2020'!D:D,'Week 12 Mar 16 - Mar 22 2020'!C:C,'Week 13 Mar 23 - Mar 29 2020'!C:C)+Table36119101355571214[[#This Row],[Week Sales]]</f>
        <v>502880</v>
      </c>
      <c r="G27" s="18" t="str">
        <f>(VLOOKUP(D:D,'Week 12 Mar 16 - Mar 22 2020'!D:G,4,FALSE))</f>
        <v>Square Enix</v>
      </c>
      <c r="H27" s="67">
        <f>(VLOOKUP(D:D,'Week 12 Mar 16 - Mar 22 2020'!D:H,5,FALSE))</f>
        <v>43735</v>
      </c>
      <c r="I27" s="12">
        <f>_xlfn.IFNA(SUMIFS('Week 12 Mar 16 - Mar 22 2020'!E:E,'Week 12 Mar 16 - Mar 22 2020'!D:D,'Week 13 Mar 23 - Mar 29 2020'!D:D,'Week 12 Mar 16 - Mar 22 2020'!C:C,'Week 13 Mar 23 - Mar 29 2020'!C:C),"New")</f>
        <v>2396</v>
      </c>
      <c r="J27" s="28">
        <f t="shared" si="0"/>
        <v>3.4223706176961605E-2</v>
      </c>
    </row>
    <row r="28" spans="1:10" x14ac:dyDescent="0.2">
      <c r="A28" s="25">
        <v>27</v>
      </c>
      <c r="B28" s="18">
        <v>24</v>
      </c>
      <c r="C28" s="18" t="s">
        <v>7</v>
      </c>
      <c r="D28" s="47" t="s">
        <v>25</v>
      </c>
      <c r="E28" s="12">
        <v>2134</v>
      </c>
      <c r="F28" s="12">
        <f>SUMIFS('Week 12 Mar 16 - Mar 22 2020'!F:F,'Week 12 Mar 16 - Mar 22 2020'!D:D,'Week 13 Mar 23 - Mar 29 2020'!D:D,'Week 12 Mar 16 - Mar 22 2020'!C:C,'Week 13 Mar 23 - Mar 29 2020'!C:C)+Table36119101355571214[[#This Row],[Week Sales]]</f>
        <v>460386</v>
      </c>
      <c r="G28" s="18" t="str">
        <f>(VLOOKUP(D:D,'Week 12 Mar 16 - Mar 22 2020'!D:G,4,FALSE))</f>
        <v>Bandai Namco</v>
      </c>
      <c r="H28" s="67">
        <f>(VLOOKUP(D:D,'Week 12 Mar 16 - Mar 22 2020'!D:H,5,FALSE))</f>
        <v>43300</v>
      </c>
      <c r="I28" s="12">
        <f>_xlfn.IFNA(SUMIFS('Week 12 Mar 16 - Mar 22 2020'!E:E,'Week 12 Mar 16 - Mar 22 2020'!D:D,'Week 13 Mar 23 - Mar 29 2020'!D:D,'Week 12 Mar 16 - Mar 22 2020'!C:C,'Week 13 Mar 23 - Mar 29 2020'!C:C),"New")</f>
        <v>2391</v>
      </c>
      <c r="J28" s="28">
        <f t="shared" si="0"/>
        <v>-0.10748640736093684</v>
      </c>
    </row>
    <row r="29" spans="1:10" x14ac:dyDescent="0.2">
      <c r="A29" s="25">
        <v>28</v>
      </c>
      <c r="B29" s="18">
        <v>28</v>
      </c>
      <c r="C29" s="18" t="s">
        <v>7</v>
      </c>
      <c r="D29" s="68" t="s">
        <v>93</v>
      </c>
      <c r="E29" s="12">
        <v>1753</v>
      </c>
      <c r="F29" s="12">
        <f>SUMIFS('Week 12 Mar 16 - Mar 22 2020'!F:F,'Week 12 Mar 16 - Mar 22 2020'!D:D,'Week 13 Mar 23 - Mar 29 2020'!D:D,'Week 12 Mar 16 - Mar 22 2020'!C:C,'Week 13 Mar 23 - Mar 29 2020'!C:C)+Table36119101355571214[[#This Row],[Week Sales]]</f>
        <v>1714285</v>
      </c>
      <c r="G29" s="18" t="str">
        <f>(VLOOKUP(D:D,'Week 12 Mar 16 - Mar 22 2020'!D:G,4,FALSE))</f>
        <v>The Pokemon Company</v>
      </c>
      <c r="H29" s="67">
        <f>(VLOOKUP(D:D,'Week 12 Mar 16 - Mar 22 2020'!D:H,5,FALSE))</f>
        <v>43420</v>
      </c>
      <c r="I29" s="12">
        <f>_xlfn.IFNA(SUMIFS('Week 12 Mar 16 - Mar 22 2020'!E:E,'Week 12 Mar 16 - Mar 22 2020'!D:D,'Week 13 Mar 23 - Mar 29 2020'!D:D,'Week 12 Mar 16 - Mar 22 2020'!C:C,'Week 13 Mar 23 - Mar 29 2020'!C:C),"New")</f>
        <v>1908</v>
      </c>
      <c r="J29" s="28">
        <f t="shared" si="0"/>
        <v>-8.1236897274633124E-2</v>
      </c>
    </row>
    <row r="30" spans="1:10" x14ac:dyDescent="0.2">
      <c r="A30" s="35">
        <v>29</v>
      </c>
      <c r="B30" s="31" t="s">
        <v>53</v>
      </c>
      <c r="C30" s="31" t="s">
        <v>7</v>
      </c>
      <c r="D30" s="52" t="s">
        <v>228</v>
      </c>
      <c r="E30" s="33">
        <v>1711</v>
      </c>
      <c r="F30" s="33">
        <v>85407</v>
      </c>
      <c r="G30" s="31" t="s">
        <v>162</v>
      </c>
      <c r="H30" s="93">
        <v>43454</v>
      </c>
      <c r="I30" s="33"/>
      <c r="J30" s="97"/>
    </row>
    <row r="31" spans="1:10" x14ac:dyDescent="0.2">
      <c r="A31" s="25">
        <v>30</v>
      </c>
      <c r="B31" s="18">
        <v>22</v>
      </c>
      <c r="C31" s="18" t="s">
        <v>7</v>
      </c>
      <c r="D31" s="47" t="s">
        <v>192</v>
      </c>
      <c r="E31" s="12">
        <v>1681</v>
      </c>
      <c r="F31" s="12">
        <f>SUMIFS('Week 12 Mar 16 - Mar 22 2020'!F:F,'Week 12 Mar 16 - Mar 22 2020'!D:D,'Week 13 Mar 23 - Mar 29 2020'!D:D,'Week 12 Mar 16 - Mar 22 2020'!C:C,'Week 13 Mar 23 - Mar 29 2020'!C:C)+Table36119101355571214[[#This Row],[Week Sales]]</f>
        <v>78558</v>
      </c>
      <c r="G31" s="18" t="str">
        <f>(VLOOKUP(D:D,'Week 12 Mar 16 - Mar 22 2020'!D:G,4,FALSE))</f>
        <v>Sega</v>
      </c>
      <c r="H31" s="67">
        <f>(VLOOKUP(D:D,'Week 12 Mar 16 - Mar 22 2020'!D:H,5,FALSE))</f>
        <v>43874</v>
      </c>
      <c r="I31" s="12">
        <f>_xlfn.IFNA(SUMIFS('Week 12 Mar 16 - Mar 22 2020'!E:E,'Week 12 Mar 16 - Mar 22 2020'!D:D,'Week 13 Mar 23 - Mar 29 2020'!D:D,'Week 12 Mar 16 - Mar 22 2020'!C:C,'Week 13 Mar 23 - Mar 29 2020'!C:C),"New")</f>
        <v>2418</v>
      </c>
      <c r="J31" s="28">
        <f>IFERROR((E31-I31)/I31,"New")</f>
        <v>-0.30479735318444995</v>
      </c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1021331</v>
      </c>
      <c r="F33" s="2"/>
      <c r="I33" s="2"/>
      <c r="J33" s="19"/>
    </row>
    <row r="34" spans="1:10" x14ac:dyDescent="0.2">
      <c r="A34" s="3"/>
      <c r="B34" s="3"/>
      <c r="D34" s="100" t="s">
        <v>178</v>
      </c>
      <c r="E34" s="101">
        <f>SUM('Week 12 Mar 16 - Mar 22 2020'!E34,'Week 13 Mar 23 - Mar 29 2020'!E33)</f>
        <v>6696793</v>
      </c>
      <c r="F34" s="2"/>
      <c r="I34" s="2"/>
      <c r="J34" s="19"/>
    </row>
    <row r="35" spans="1:10" x14ac:dyDescent="0.2">
      <c r="A35" s="3"/>
      <c r="B35" s="3"/>
      <c r="D35" s="98" t="s">
        <v>231</v>
      </c>
      <c r="E35" s="99">
        <f>SUM(E33+'Week 12 Mar 16 - Mar 22 2020'!E33+'Week 11 Mar 9 - Mar 15 2020'!E33+'Week 10 Mar 2 - Mar 8 2020'!E33)</f>
        <v>3704502</v>
      </c>
      <c r="F35" s="2"/>
      <c r="I35" s="2"/>
      <c r="J35" s="19"/>
    </row>
    <row r="36" spans="1:10" x14ac:dyDescent="0.2">
      <c r="A36" s="3"/>
      <c r="B36" s="3"/>
      <c r="D36" s="2" t="s">
        <v>60</v>
      </c>
      <c r="E36" s="2">
        <f>AVERAGE(E2:E31)</f>
        <v>34044.366666666669</v>
      </c>
      <c r="F36" s="2"/>
      <c r="I36" s="2"/>
      <c r="J36" s="19"/>
    </row>
    <row r="37" spans="1:10" x14ac:dyDescent="0.2">
      <c r="A37" s="3"/>
      <c r="B37" s="3"/>
      <c r="D37" s="9" t="s">
        <v>78</v>
      </c>
      <c r="E37" s="10">
        <f>COUNTIF(B:B,"New")</f>
        <v>6</v>
      </c>
      <c r="F37" s="2"/>
      <c r="I37" s="2"/>
      <c r="J37" s="19"/>
    </row>
    <row r="38" spans="1:10" x14ac:dyDescent="0.2">
      <c r="A38" s="3"/>
      <c r="B38" s="3"/>
      <c r="E38" s="2"/>
      <c r="F38" s="2"/>
      <c r="I38" s="2"/>
      <c r="J38" s="19"/>
    </row>
    <row r="39" spans="1:10" x14ac:dyDescent="0.2">
      <c r="A39" s="3"/>
      <c r="B39" s="3"/>
      <c r="D39" t="s">
        <v>66</v>
      </c>
      <c r="E39" s="2"/>
      <c r="F39" s="2"/>
      <c r="I39" s="2"/>
      <c r="J39" s="19"/>
    </row>
    <row r="40" spans="1:10" x14ac:dyDescent="0.2">
      <c r="A40" s="3"/>
      <c r="B40" s="3"/>
      <c r="D40" s="8" t="s">
        <v>67</v>
      </c>
      <c r="E40" s="2"/>
      <c r="F40" s="2"/>
      <c r="I40" s="2"/>
      <c r="J40" s="19"/>
    </row>
    <row r="41" spans="1:10" x14ac:dyDescent="0.2">
      <c r="A41" s="3"/>
      <c r="B41" s="3"/>
      <c r="D41" s="8" t="s">
        <v>65</v>
      </c>
      <c r="E41" s="2"/>
      <c r="F41" s="2"/>
      <c r="I41" s="2"/>
      <c r="J41" s="19"/>
    </row>
    <row r="42" spans="1:10" x14ac:dyDescent="0.2">
      <c r="D42" s="8" t="s">
        <v>71</v>
      </c>
      <c r="E42" s="2"/>
    </row>
  </sheetData>
  <hyperlinks>
    <hyperlink ref="D41" r:id="rId1" xr:uid="{5864AFE5-23A8-644B-94CF-6E620DA5C657}"/>
    <hyperlink ref="D42" r:id="rId2" xr:uid="{341ECBEA-383B-8C4E-9EA7-831E7D79D39D}"/>
    <hyperlink ref="D40" r:id="rId3" xr:uid="{9F215F75-4688-1E48-8D99-EB75903C889B}"/>
  </hyperlinks>
  <pageMargins left="0.7" right="0.7" top="0.75" bottom="0.75" header="0.3" footer="0.3"/>
  <pageSetup paperSize="9" orientation="portrait" horizontalDpi="0" verticalDpi="0"/>
  <ignoredErrors>
    <ignoredError sqref="G2 H2:I2 G3:I15 G23:I30 G21:H21 G22:H22 I21:I22 G16:I20 F26:F30" calculatedColumn="1"/>
  </ignoredErrors>
  <tableParts count="1"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E527A-2EB1-DB4B-8FF3-48055AE62162}">
  <dimension ref="A1:J41"/>
  <sheetViews>
    <sheetView workbookViewId="0">
      <selection activeCell="D12" sqref="D12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3.8320312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0" x14ac:dyDescent="0.2">
      <c r="A2" s="25">
        <v>1</v>
      </c>
      <c r="B2" s="18">
        <v>1</v>
      </c>
      <c r="C2" s="18" t="s">
        <v>7</v>
      </c>
      <c r="D2" s="86" t="s">
        <v>46</v>
      </c>
      <c r="E2" s="12">
        <v>423367</v>
      </c>
      <c r="F2" s="12">
        <f>SUMIFS('Week 13 Mar 23 - Mar 29 2020'!F:F,'Week 13 Mar 23 - Mar 29 2020'!D:D,'Week 14 Mar 30 - Apr 5 2020'!D:D,'Week 13 Mar 23 - Mar 29 2020'!C:C,'Week 14 Mar 30 - Apr 5 2020'!C:C)+Table3611910135557121417[[#This Row],[Week Sales]]</f>
        <v>3031784</v>
      </c>
      <c r="G2" s="18" t="str">
        <f>(VLOOKUP(D:D,'Week 13 Mar 23 - Mar 29 2020'!D:G,4,FALSE))</f>
        <v>Nintendo</v>
      </c>
      <c r="H2" s="67">
        <f>(VLOOKUP(D:D,'Week 13 Mar 23 - Mar 29 2020'!D:H,5,FALSE))</f>
        <v>43910</v>
      </c>
      <c r="I2" s="12">
        <f>_xlfn.IFNA(SUMIFS('Week 13 Mar 23 - Mar 29 2020'!E:E,'Week 13 Mar 23 - Mar 29 2020'!D:D,'Week 14 Mar 30 - Apr 5 2020'!D:D,'Week 13 Mar 23 - Mar 29 2020'!C:C,'Week 14 Mar 30 - Apr 5 2020'!C:C),"New")</f>
        <v>727791</v>
      </c>
      <c r="J2" s="28">
        <f>IFERROR((E2-I2)/I2,"New")</f>
        <v>-0.41828491970909232</v>
      </c>
    </row>
    <row r="3" spans="1:10" x14ac:dyDescent="0.2">
      <c r="A3" s="13">
        <v>2</v>
      </c>
      <c r="B3" s="9" t="s">
        <v>36</v>
      </c>
      <c r="C3" s="9" t="s">
        <v>8</v>
      </c>
      <c r="D3" s="46" t="s">
        <v>232</v>
      </c>
      <c r="E3" s="10">
        <v>189490</v>
      </c>
      <c r="F3" s="10">
        <f>SUMIFS('Week 13 Mar 23 - Mar 29 2020'!F:F,'Week 13 Mar 23 - Mar 29 2020'!D:D,'Week 14 Mar 30 - Apr 5 2020'!D:D,'Week 13 Mar 23 - Mar 29 2020'!C:C,'Week 14 Mar 30 - Apr 5 2020'!C:C)+Table3611910135557121417[[#This Row],[Week Sales]]</f>
        <v>189490</v>
      </c>
      <c r="G3" s="9" t="s">
        <v>121</v>
      </c>
      <c r="H3" s="14">
        <v>43924</v>
      </c>
      <c r="I3" s="10" t="s">
        <v>36</v>
      </c>
      <c r="J3" s="92" t="str">
        <f t="shared" ref="J3:J29" si="0">IFERROR((E3-I3)/I3,"New")</f>
        <v>New</v>
      </c>
    </row>
    <row r="4" spans="1:10" x14ac:dyDescent="0.2">
      <c r="A4" s="25">
        <v>3</v>
      </c>
      <c r="B4" s="18">
        <v>2</v>
      </c>
      <c r="C4" s="18" t="s">
        <v>8</v>
      </c>
      <c r="D4" s="47" t="s">
        <v>221</v>
      </c>
      <c r="E4" s="12">
        <v>18333</v>
      </c>
      <c r="F4" s="12">
        <f>SUMIFS('Week 13 Mar 23 - Mar 29 2020'!F:F,'Week 13 Mar 23 - Mar 29 2020'!D:D,'Week 14 Mar 30 - Apr 5 2020'!D:D,'Week 13 Mar 23 - Mar 29 2020'!C:C,'Week 14 Mar 30 - Apr 5 2020'!C:C)+Table3611910135557121417[[#This Row],[Week Sales]]</f>
        <v>94331</v>
      </c>
      <c r="G4" s="18" t="str">
        <f>(VLOOKUP(D:D,'Week 13 Mar 23 - Mar 29 2020'!D:G,4,FALSE))</f>
        <v>Bandai Namco</v>
      </c>
      <c r="H4" s="67">
        <f>(VLOOKUP(D:D,'Week 13 Mar 23 - Mar 29 2020'!D:H,5,FALSE))</f>
        <v>43916</v>
      </c>
      <c r="I4" s="12">
        <f>_xlfn.IFNA(SUMIFS('Week 13 Mar 23 - Mar 29 2020'!E:E,'Week 13 Mar 23 - Mar 29 2020'!D:D,'Week 14 Mar 30 - Apr 5 2020'!D:D,'Week 13 Mar 23 - Mar 29 2020'!C:C,'Week 14 Mar 30 - Apr 5 2020'!C:C),"New")</f>
        <v>75998</v>
      </c>
      <c r="J4" s="20">
        <f t="shared" si="0"/>
        <v>-0.75876996763072713</v>
      </c>
    </row>
    <row r="5" spans="1:10" x14ac:dyDescent="0.2">
      <c r="A5" s="25">
        <v>4</v>
      </c>
      <c r="B5" s="18">
        <v>3</v>
      </c>
      <c r="C5" s="18" t="s">
        <v>7</v>
      </c>
      <c r="D5" s="47" t="s">
        <v>221</v>
      </c>
      <c r="E5" s="12">
        <v>17340</v>
      </c>
      <c r="F5" s="12">
        <f>SUMIFS('Week 13 Mar 23 - Mar 29 2020'!F:F,'Week 13 Mar 23 - Mar 29 2020'!D:D,'Week 14 Mar 30 - Apr 5 2020'!D:D,'Week 13 Mar 23 - Mar 29 2020'!C:C,'Week 14 Mar 30 - Apr 5 2020'!C:C)+Table3611910135557121417[[#This Row],[Week Sales]]</f>
        <v>78911</v>
      </c>
      <c r="G5" s="18" t="str">
        <f>(VLOOKUP(D:D,'Week 13 Mar 23 - Mar 29 2020'!D:G,4,FALSE))</f>
        <v>Bandai Namco</v>
      </c>
      <c r="H5" s="67">
        <f>(VLOOKUP(D:D,'Week 13 Mar 23 - Mar 29 2020'!D:H,5,FALSE))</f>
        <v>43916</v>
      </c>
      <c r="I5" s="12">
        <f>_xlfn.IFNA(SUMIFS('Week 13 Mar 23 - Mar 29 2020'!E:E,'Week 13 Mar 23 - Mar 29 2020'!D:D,'Week 14 Mar 30 - Apr 5 2020'!D:D,'Week 13 Mar 23 - Mar 29 2020'!C:C,'Week 14 Mar 30 - Apr 5 2020'!C:C),"New")</f>
        <v>61571</v>
      </c>
      <c r="J5" s="28">
        <f t="shared" si="0"/>
        <v>-0.71837390979519578</v>
      </c>
    </row>
    <row r="6" spans="1:10" x14ac:dyDescent="0.2">
      <c r="A6" s="25">
        <v>5</v>
      </c>
      <c r="B6" s="18">
        <v>6</v>
      </c>
      <c r="C6" s="18" t="s">
        <v>7</v>
      </c>
      <c r="D6" s="47" t="s">
        <v>49</v>
      </c>
      <c r="E6" s="12">
        <v>14171</v>
      </c>
      <c r="F6" s="12">
        <f>SUMIFS('Week 13 Mar 23 - Mar 29 2020'!F:F,'Week 13 Mar 23 - Mar 29 2020'!D:D,'Week 14 Mar 30 - Apr 5 2020'!D:D,'Week 13 Mar 23 - Mar 29 2020'!C:C,'Week 14 Mar 30 - Apr 5 2020'!C:C)+Table3611910135557121417[[#This Row],[Week Sales]]</f>
        <v>2855101</v>
      </c>
      <c r="G6" s="18" t="str">
        <f>(VLOOKUP(D:D,'Week 13 Mar 23 - Mar 29 2020'!D:G,4,FALSE))</f>
        <v>Nintendo</v>
      </c>
      <c r="H6" s="67">
        <f>(VLOOKUP(D:D,'Week 13 Mar 23 - Mar 29 2020'!D:H,5,FALSE))</f>
        <v>42853</v>
      </c>
      <c r="I6" s="12">
        <f>_xlfn.IFNA(SUMIFS('Week 13 Mar 23 - Mar 29 2020'!E:E,'Week 13 Mar 23 - Mar 29 2020'!D:D,'Week 14 Mar 30 - Apr 5 2020'!D:D,'Week 13 Mar 23 - Mar 29 2020'!C:C,'Week 14 Mar 30 - Apr 5 2020'!C:C),"New")</f>
        <v>11577</v>
      </c>
      <c r="J6" s="28">
        <f t="shared" si="0"/>
        <v>0.22406495637902737</v>
      </c>
    </row>
    <row r="7" spans="1:10" x14ac:dyDescent="0.2">
      <c r="A7" s="25">
        <v>6</v>
      </c>
      <c r="B7" s="18">
        <v>9</v>
      </c>
      <c r="C7" s="18" t="s">
        <v>7</v>
      </c>
      <c r="D7" s="47" t="s">
        <v>52</v>
      </c>
      <c r="E7" s="12">
        <v>12257</v>
      </c>
      <c r="F7" s="12">
        <f>SUMIFS('Week 13 Mar 23 - Mar 29 2020'!F:F,'Week 13 Mar 23 - Mar 29 2020'!D:D,'Week 14 Mar 30 - Apr 5 2020'!D:D,'Week 13 Mar 23 - Mar 29 2020'!C:C,'Week 14 Mar 30 - Apr 5 2020'!C:C)+Table3611910135557121417[[#This Row],[Week Sales]]</f>
        <v>3635531</v>
      </c>
      <c r="G7" s="18" t="str">
        <f>(VLOOKUP(D:D,'Week 13 Mar 23 - Mar 29 2020'!D:G,4,FALSE))</f>
        <v>Nintendo</v>
      </c>
      <c r="H7" s="67">
        <f>(VLOOKUP(D:D,'Week 13 Mar 23 - Mar 29 2020'!D:H,5,FALSE))</f>
        <v>43441</v>
      </c>
      <c r="I7" s="12">
        <f>_xlfn.IFNA(SUMIFS('Week 13 Mar 23 - Mar 29 2020'!E:E,'Week 13 Mar 23 - Mar 29 2020'!D:D,'Week 14 Mar 30 - Apr 5 2020'!D:D,'Week 13 Mar 23 - Mar 29 2020'!C:C,'Week 14 Mar 30 - Apr 5 2020'!C:C),"New")</f>
        <v>10355</v>
      </c>
      <c r="J7" s="28">
        <f t="shared" si="0"/>
        <v>0.18367938194109126</v>
      </c>
    </row>
    <row r="8" spans="1:10" x14ac:dyDescent="0.2">
      <c r="A8" s="25">
        <v>7</v>
      </c>
      <c r="B8" s="18">
        <v>4</v>
      </c>
      <c r="C8" s="18" t="s">
        <v>7</v>
      </c>
      <c r="D8" s="47" t="s">
        <v>62</v>
      </c>
      <c r="E8" s="12">
        <v>11017</v>
      </c>
      <c r="F8" s="12">
        <f>SUMIFS('Week 13 Mar 23 - Mar 29 2020'!F:F,'Week 13 Mar 23 - Mar 29 2020'!D:D,'Week 14 Mar 30 - Apr 5 2020'!D:D,'Week 13 Mar 23 - Mar 29 2020'!C:C,'Week 14 Mar 30 - Apr 5 2020'!C:C)+Table3611910135557121417[[#This Row],[Week Sales]]</f>
        <v>3553541</v>
      </c>
      <c r="G8" s="18" t="str">
        <f>(VLOOKUP(D:D,'Week 13 Mar 23 - Mar 29 2020'!D:G,4,FALSE))</f>
        <v>The Pokemon Company</v>
      </c>
      <c r="H8" s="67">
        <f>(VLOOKUP(D:D,'Week 13 Mar 23 - Mar 29 2020'!D:H,5,FALSE))</f>
        <v>43784</v>
      </c>
      <c r="I8" s="12">
        <f>_xlfn.IFNA(SUMIFS('Week 13 Mar 23 - Mar 29 2020'!E:E,'Week 13 Mar 23 - Mar 29 2020'!D:D,'Week 14 Mar 30 - Apr 5 2020'!D:D,'Week 13 Mar 23 - Mar 29 2020'!C:C,'Week 14 Mar 30 - Apr 5 2020'!C:C),"New")</f>
        <v>14996</v>
      </c>
      <c r="J8" s="28">
        <f t="shared" si="0"/>
        <v>-0.26533742331288346</v>
      </c>
    </row>
    <row r="9" spans="1:10" x14ac:dyDescent="0.2">
      <c r="A9" s="25">
        <v>8</v>
      </c>
      <c r="B9" s="18">
        <v>10</v>
      </c>
      <c r="C9" s="18" t="s">
        <v>7</v>
      </c>
      <c r="D9" s="47" t="s">
        <v>12</v>
      </c>
      <c r="E9" s="12">
        <v>9045</v>
      </c>
      <c r="F9" s="12">
        <f>SUMIFS('Week 13 Mar 23 - Mar 29 2020'!F:F,'Week 13 Mar 23 - Mar 29 2020'!D:D,'Week 14 Mar 30 - Apr 5 2020'!D:D,'Week 13 Mar 23 - Mar 29 2020'!C:C,'Week 14 Mar 30 - Apr 5 2020'!C:C)+Table3611910135557121417[[#This Row],[Week Sales]]</f>
        <v>1340884</v>
      </c>
      <c r="G9" s="18" t="str">
        <f>(VLOOKUP(D:D,'Week 13 Mar 23 - Mar 29 2020'!D:G,4,FALSE))</f>
        <v>Microsoft</v>
      </c>
      <c r="H9" s="67">
        <f>(VLOOKUP(D:D,'Week 13 Mar 23 - Mar 29 2020'!D:H,5,FALSE))</f>
        <v>43272</v>
      </c>
      <c r="I9" s="12">
        <f>_xlfn.IFNA(SUMIFS('Week 13 Mar 23 - Mar 29 2020'!E:E,'Week 13 Mar 23 - Mar 29 2020'!D:D,'Week 14 Mar 30 - Apr 5 2020'!D:D,'Week 13 Mar 23 - Mar 29 2020'!C:C,'Week 14 Mar 30 - Apr 5 2020'!C:C),"New")</f>
        <v>9908</v>
      </c>
      <c r="J9" s="28">
        <f t="shared" si="0"/>
        <v>-8.7101332256762212E-2</v>
      </c>
    </row>
    <row r="10" spans="1:10" x14ac:dyDescent="0.2">
      <c r="A10" s="25">
        <v>9</v>
      </c>
      <c r="B10" s="18">
        <v>7</v>
      </c>
      <c r="C10" s="18" t="s">
        <v>7</v>
      </c>
      <c r="D10" s="47" t="s">
        <v>209</v>
      </c>
      <c r="E10" s="12">
        <v>8556</v>
      </c>
      <c r="F10" s="12">
        <f>SUMIFS('Week 13 Mar 23 - Mar 29 2020'!F:F,'Week 13 Mar 23 - Mar 29 2020'!D:D,'Week 14 Mar 30 - Apr 5 2020'!D:D,'Week 13 Mar 23 - Mar 29 2020'!C:C,'Week 14 Mar 30 - Apr 5 2020'!C:C)+Table3611910135557121417[[#This Row],[Week Sales]]</f>
        <v>226950</v>
      </c>
      <c r="G10" s="18" t="str">
        <f>(VLOOKUP(D:D,'Week 13 Mar 23 - Mar 29 2020'!D:G,4,FALSE))</f>
        <v>The Pokemon Company</v>
      </c>
      <c r="H10" s="67">
        <f>(VLOOKUP(D:D,'Week 13 Mar 23 - Mar 29 2020'!D:H,5,FALSE))</f>
        <v>43896</v>
      </c>
      <c r="I10" s="12">
        <f>_xlfn.IFNA(SUMIFS('Week 13 Mar 23 - Mar 29 2020'!E:E,'Week 13 Mar 23 - Mar 29 2020'!D:D,'Week 14 Mar 30 - Apr 5 2020'!D:D,'Week 13 Mar 23 - Mar 29 2020'!C:C,'Week 14 Mar 30 - Apr 5 2020'!C:C),"New")</f>
        <v>11501</v>
      </c>
      <c r="J10" s="28">
        <f t="shared" si="0"/>
        <v>-0.2560646900269542</v>
      </c>
    </row>
    <row r="11" spans="1:10" x14ac:dyDescent="0.2">
      <c r="A11" s="25">
        <v>10</v>
      </c>
      <c r="B11" s="18">
        <v>5</v>
      </c>
      <c r="C11" s="18" t="s">
        <v>7</v>
      </c>
      <c r="D11" s="47" t="s">
        <v>45</v>
      </c>
      <c r="E11" s="12">
        <v>8496</v>
      </c>
      <c r="F11" s="12">
        <f>SUMIFS('Week 13 Mar 23 - Mar 29 2020'!F:F,'Week 13 Mar 23 - Mar 29 2020'!D:D,'Week 14 Mar 30 - Apr 5 2020'!D:D,'Week 13 Mar 23 - Mar 29 2020'!C:C,'Week 14 Mar 30 - Apr 5 2020'!C:C)+Table3611910135557121417[[#This Row],[Week Sales]]</f>
        <v>753623</v>
      </c>
      <c r="G11" s="18" t="str">
        <f>(VLOOKUP(D:D,'Week 13 Mar 23 - Mar 29 2020'!D:G,4,FALSE))</f>
        <v>Nintendo</v>
      </c>
      <c r="H11" s="67">
        <f>(VLOOKUP(D:D,'Week 13 Mar 23 - Mar 29 2020'!D:H,5,FALSE))</f>
        <v>43756</v>
      </c>
      <c r="I11" s="12">
        <f>_xlfn.IFNA(SUMIFS('Week 13 Mar 23 - Mar 29 2020'!E:E,'Week 13 Mar 23 - Mar 29 2020'!D:D,'Week 14 Mar 30 - Apr 5 2020'!D:D,'Week 13 Mar 23 - Mar 29 2020'!C:C,'Week 14 Mar 30 - Apr 5 2020'!C:C),"New")</f>
        <v>13819</v>
      </c>
      <c r="J11" s="28">
        <f t="shared" si="0"/>
        <v>-0.3851942977060569</v>
      </c>
    </row>
    <row r="12" spans="1:10" x14ac:dyDescent="0.2">
      <c r="A12" s="25">
        <v>11</v>
      </c>
      <c r="B12" s="18">
        <v>12</v>
      </c>
      <c r="C12" s="18" t="s">
        <v>7</v>
      </c>
      <c r="D12" s="47" t="s">
        <v>13</v>
      </c>
      <c r="E12" s="12">
        <v>8356</v>
      </c>
      <c r="F12" s="12">
        <f>SUMIFS('Week 13 Mar 23 - Mar 29 2020'!F:F,'Week 13 Mar 23 - Mar 29 2020'!D:D,'Week 14 Mar 30 - Apr 5 2020'!D:D,'Week 13 Mar 23 - Mar 29 2020'!C:C,'Week 14 Mar 30 - Apr 5 2020'!C:C)+Table3611910135557121417[[#This Row],[Week Sales]]</f>
        <v>1390143</v>
      </c>
      <c r="G12" s="18" t="str">
        <f>(VLOOKUP(D:D,'Week 13 Mar 23 - Mar 29 2020'!D:G,4,FALSE))</f>
        <v>Nintendo</v>
      </c>
      <c r="H12" s="67">
        <f>(VLOOKUP(D:D,'Week 13 Mar 23 - Mar 29 2020'!D:H,5,FALSE))</f>
        <v>43378</v>
      </c>
      <c r="I12" s="12">
        <f>_xlfn.IFNA(SUMIFS('Week 13 Mar 23 - Mar 29 2020'!E:E,'Week 13 Mar 23 - Mar 29 2020'!D:D,'Week 14 Mar 30 - Apr 5 2020'!D:D,'Week 13 Mar 23 - Mar 29 2020'!C:C,'Week 14 Mar 30 - Apr 5 2020'!C:C),"New")</f>
        <v>6370</v>
      </c>
      <c r="J12" s="28">
        <f t="shared" si="0"/>
        <v>0.31177394034536893</v>
      </c>
    </row>
    <row r="13" spans="1:10" x14ac:dyDescent="0.2">
      <c r="A13" s="13">
        <v>12</v>
      </c>
      <c r="B13" s="9" t="s">
        <v>36</v>
      </c>
      <c r="C13" s="9" t="s">
        <v>7</v>
      </c>
      <c r="D13" s="46" t="s">
        <v>233</v>
      </c>
      <c r="E13" s="10">
        <v>7585</v>
      </c>
      <c r="F13" s="10">
        <f>SUMIFS('Week 13 Mar 23 - Mar 29 2020'!F:F,'Week 13 Mar 23 - Mar 29 2020'!D:D,'Week 14 Mar 30 - Apr 5 2020'!D:D,'Week 13 Mar 23 - Mar 29 2020'!C:C,'Week 14 Mar 30 - Apr 5 2020'!C:C)+Table3611910135557121417[[#This Row],[Week Sales]]</f>
        <v>7585</v>
      </c>
      <c r="G13" s="9" t="s">
        <v>34</v>
      </c>
      <c r="H13" s="14">
        <v>43923</v>
      </c>
      <c r="I13" s="10" t="s">
        <v>36</v>
      </c>
      <c r="J13" s="92" t="str">
        <f t="shared" si="0"/>
        <v>New</v>
      </c>
    </row>
    <row r="14" spans="1:10" x14ac:dyDescent="0.2">
      <c r="A14" s="25">
        <v>13</v>
      </c>
      <c r="B14" s="18">
        <v>8</v>
      </c>
      <c r="C14" s="18" t="s">
        <v>8</v>
      </c>
      <c r="D14" s="47" t="s">
        <v>214</v>
      </c>
      <c r="E14" s="12">
        <v>7365</v>
      </c>
      <c r="F14" s="12">
        <f>SUMIFS('Week 13 Mar 23 - Mar 29 2020'!F:F,'Week 13 Mar 23 - Mar 29 2020'!D:D,'Week 14 Mar 30 - Apr 5 2020'!D:D,'Week 13 Mar 23 - Mar 29 2020'!C:C,'Week 14 Mar 30 - Apr 5 2020'!C:C)+Table3611910135557121417[[#This Row],[Week Sales]]</f>
        <v>136667</v>
      </c>
      <c r="G14" s="18" t="str">
        <f>(VLOOKUP(D:D,'Week 13 Mar 23 - Mar 29 2020'!D:G,4,FALSE))</f>
        <v>Koei Tecmo</v>
      </c>
      <c r="H14" s="67">
        <f>(VLOOKUP(D:D,'Week 13 Mar 23 - Mar 29 2020'!D:H,5,FALSE))</f>
        <v>43902</v>
      </c>
      <c r="I14" s="12">
        <f>_xlfn.IFNA(SUMIFS('Week 13 Mar 23 - Mar 29 2020'!E:E,'Week 13 Mar 23 - Mar 29 2020'!D:D,'Week 14 Mar 30 - Apr 5 2020'!D:D,'Week 13 Mar 23 - Mar 29 2020'!C:C,'Week 14 Mar 30 - Apr 5 2020'!C:C),"New")</f>
        <v>11270</v>
      </c>
      <c r="J14" s="20">
        <f t="shared" si="0"/>
        <v>-0.34649511978704528</v>
      </c>
    </row>
    <row r="15" spans="1:10" x14ac:dyDescent="0.2">
      <c r="A15" s="25">
        <v>14</v>
      </c>
      <c r="B15" s="18">
        <v>11</v>
      </c>
      <c r="C15" s="18" t="s">
        <v>7</v>
      </c>
      <c r="D15" s="47" t="s">
        <v>10</v>
      </c>
      <c r="E15" s="12">
        <v>6552</v>
      </c>
      <c r="F15" s="12">
        <f>SUMIFS('Week 13 Mar 23 - Mar 29 2020'!F:F,'Week 13 Mar 23 - Mar 29 2020'!D:D,'Week 14 Mar 30 - Apr 5 2020'!D:D,'Week 13 Mar 23 - Mar 29 2020'!C:C,'Week 14 Mar 30 - Apr 5 2020'!C:C)+Table3611910135557121417[[#This Row],[Week Sales]]</f>
        <v>3362961</v>
      </c>
      <c r="G15" s="18" t="str">
        <f>(VLOOKUP(D:D,'Week 13 Mar 23 - Mar 29 2020'!D:G,4,FALSE))</f>
        <v>Nintendo</v>
      </c>
      <c r="H15" s="67">
        <f>(VLOOKUP(D:D,'Week 13 Mar 23 - Mar 29 2020'!D:H,5,FALSE))</f>
        <v>42937</v>
      </c>
      <c r="I15" s="12">
        <f>_xlfn.IFNA(SUMIFS('Week 13 Mar 23 - Mar 29 2020'!E:E,'Week 13 Mar 23 - Mar 29 2020'!D:D,'Week 14 Mar 30 - Apr 5 2020'!D:D,'Week 13 Mar 23 - Mar 29 2020'!C:C,'Week 14 Mar 30 - Apr 5 2020'!C:C),"New")</f>
        <v>6992</v>
      </c>
      <c r="J15" s="28">
        <f t="shared" si="0"/>
        <v>-6.2929061784897031E-2</v>
      </c>
    </row>
    <row r="16" spans="1:10" x14ac:dyDescent="0.2">
      <c r="A16" s="25">
        <v>15</v>
      </c>
      <c r="B16" s="18">
        <v>17</v>
      </c>
      <c r="C16" s="18" t="s">
        <v>7</v>
      </c>
      <c r="D16" s="47" t="s">
        <v>39</v>
      </c>
      <c r="E16" s="12">
        <v>5056</v>
      </c>
      <c r="F16" s="12">
        <f>SUMIFS('Week 13 Mar 23 - Mar 29 2020'!F:F,'Week 13 Mar 23 - Mar 29 2020'!D:D,'Week 14 Mar 30 - Apr 5 2020'!D:D,'Week 13 Mar 23 - Mar 29 2020'!C:C,'Week 14 Mar 30 - Apr 5 2020'!C:C)+Table3611910135557121417[[#This Row],[Week Sales]]</f>
        <v>1555783</v>
      </c>
      <c r="G16" s="18" t="str">
        <f>(VLOOKUP(D:D,'Week 13 Mar 23 - Mar 29 2020'!D:G,4,FALSE))</f>
        <v>Nintendo</v>
      </c>
      <c r="H16" s="67">
        <f>(VLOOKUP(D:D,'Week 13 Mar 23 - Mar 29 2020'!D:H,5,FALSE))</f>
        <v>42797</v>
      </c>
      <c r="I16" s="12">
        <f>_xlfn.IFNA(SUMIFS('Week 13 Mar 23 - Mar 29 2020'!E:E,'Week 13 Mar 23 - Mar 29 2020'!D:D,'Week 14 Mar 30 - Apr 5 2020'!D:D,'Week 13 Mar 23 - Mar 29 2020'!C:C,'Week 14 Mar 30 - Apr 5 2020'!C:C),"New")</f>
        <v>4365</v>
      </c>
      <c r="J16" s="20">
        <f t="shared" si="0"/>
        <v>0.15830469644902634</v>
      </c>
    </row>
    <row r="17" spans="1:10" x14ac:dyDescent="0.2">
      <c r="A17" s="25">
        <v>16</v>
      </c>
      <c r="B17" s="18">
        <v>14</v>
      </c>
      <c r="C17" s="18" t="s">
        <v>7</v>
      </c>
      <c r="D17" s="47" t="s">
        <v>17</v>
      </c>
      <c r="E17" s="12">
        <v>5027</v>
      </c>
      <c r="F17" s="12">
        <f>SUMIFS('Week 13 Mar 23 - Mar 29 2020'!F:F,'Week 13 Mar 23 - Mar 29 2020'!D:D,'Week 14 Mar 30 - Apr 5 2020'!D:D,'Week 13 Mar 23 - Mar 29 2020'!C:C,'Week 14 Mar 30 - Apr 5 2020'!C:C)+Table3611910135557121417[[#This Row],[Week Sales]]</f>
        <v>811515</v>
      </c>
      <c r="G17" s="18" t="str">
        <f>(VLOOKUP(D:D,'Week 13 Mar 23 - Mar 29 2020'!D:G,4,FALSE))</f>
        <v>Nintendo</v>
      </c>
      <c r="H17" s="67">
        <f>(VLOOKUP(D:D,'Week 13 Mar 23 - Mar 29 2020'!D:H,5,FALSE))</f>
        <v>43476</v>
      </c>
      <c r="I17" s="12">
        <f>_xlfn.IFNA(SUMIFS('Week 13 Mar 23 - Mar 29 2020'!E:E,'Week 13 Mar 23 - Mar 29 2020'!D:D,'Week 14 Mar 30 - Apr 5 2020'!D:D,'Week 13 Mar 23 - Mar 29 2020'!C:C,'Week 14 Mar 30 - Apr 5 2020'!C:C),"New")</f>
        <v>4505</v>
      </c>
      <c r="J17" s="28">
        <f t="shared" si="0"/>
        <v>0.11587125416204218</v>
      </c>
    </row>
    <row r="18" spans="1:10" x14ac:dyDescent="0.2">
      <c r="A18" s="25">
        <v>17</v>
      </c>
      <c r="B18" s="18">
        <v>16</v>
      </c>
      <c r="C18" s="18" t="s">
        <v>7</v>
      </c>
      <c r="D18" s="47" t="s">
        <v>19</v>
      </c>
      <c r="E18" s="12">
        <v>4272</v>
      </c>
      <c r="F18" s="12">
        <f>SUMIFS('Week 13 Mar 23 - Mar 29 2020'!F:F,'Week 13 Mar 23 - Mar 29 2020'!D:D,'Week 14 Mar 30 - Apr 5 2020'!D:D,'Week 13 Mar 23 - Mar 29 2020'!C:C,'Week 14 Mar 30 - Apr 5 2020'!C:C)+Table3611910135557121417[[#This Row],[Week Sales]]</f>
        <v>887691</v>
      </c>
      <c r="G18" s="18" t="str">
        <f>(VLOOKUP(D:D,'Week 13 Mar 23 - Mar 29 2020'!D:G,4,FALSE))</f>
        <v>Nintendo</v>
      </c>
      <c r="H18" s="67">
        <f>(VLOOKUP(D:D,'Week 13 Mar 23 - Mar 29 2020'!D:H,5,FALSE))</f>
        <v>43644</v>
      </c>
      <c r="I18" s="12">
        <f>_xlfn.IFNA(SUMIFS('Week 13 Mar 23 - Mar 29 2020'!E:E,'Week 13 Mar 23 - Mar 29 2020'!D:D,'Week 14 Mar 30 - Apr 5 2020'!D:D,'Week 13 Mar 23 - Mar 29 2020'!C:C,'Week 14 Mar 30 - Apr 5 2020'!C:C),"New")</f>
        <v>4424</v>
      </c>
      <c r="J18" s="28">
        <f t="shared" si="0"/>
        <v>-3.4358047016274866E-2</v>
      </c>
    </row>
    <row r="19" spans="1:10" x14ac:dyDescent="0.2">
      <c r="A19" s="25">
        <v>18</v>
      </c>
      <c r="B19" s="18">
        <v>19</v>
      </c>
      <c r="C19" s="18" t="s">
        <v>7</v>
      </c>
      <c r="D19" s="47" t="s">
        <v>16</v>
      </c>
      <c r="E19" s="12">
        <v>4249</v>
      </c>
      <c r="F19" s="12">
        <f>SUMIFS('Week 13 Mar 23 - Mar 29 2020'!F:F,'Week 13 Mar 23 - Mar 29 2020'!D:D,'Week 14 Mar 30 - Apr 5 2020'!D:D,'Week 13 Mar 23 - Mar 29 2020'!C:C,'Week 14 Mar 30 - Apr 5 2020'!C:C)+Table3611910135557121417[[#This Row],[Week Sales]]</f>
        <v>190296</v>
      </c>
      <c r="G19" s="18" t="str">
        <f>(VLOOKUP(D:D,'Week 13 Mar 23 - Mar 29 2020'!D:G,4,FALSE))</f>
        <v>Nintendo</v>
      </c>
      <c r="H19" s="67">
        <f>(VLOOKUP(D:D,'Week 13 Mar 23 - Mar 29 2020'!D:H,5,FALSE))</f>
        <v>43826</v>
      </c>
      <c r="I19" s="12">
        <f>_xlfn.IFNA(SUMIFS('Week 13 Mar 23 - Mar 29 2020'!E:E,'Week 13 Mar 23 - Mar 29 2020'!D:D,'Week 14 Mar 30 - Apr 5 2020'!D:D,'Week 13 Mar 23 - Mar 29 2020'!C:C,'Week 14 Mar 30 - Apr 5 2020'!C:C),"New")</f>
        <v>4234</v>
      </c>
      <c r="J19" s="28">
        <f t="shared" si="0"/>
        <v>3.5427491733585263E-3</v>
      </c>
    </row>
    <row r="20" spans="1:10" x14ac:dyDescent="0.2">
      <c r="A20" s="25">
        <v>19</v>
      </c>
      <c r="B20" s="18">
        <v>25</v>
      </c>
      <c r="C20" s="18" t="s">
        <v>222</v>
      </c>
      <c r="D20" s="47" t="s">
        <v>223</v>
      </c>
      <c r="E20" s="12">
        <v>3688</v>
      </c>
      <c r="F20" s="12">
        <f>SUMIFS('Week 13 Mar 23 - Mar 29 2020'!F:F,'Week 13 Mar 23 - Mar 29 2020'!D:D,'Week 14 Mar 30 - Apr 5 2020'!D:D,'Week 13 Mar 23 - Mar 29 2020'!C:C,'Week 14 Mar 30 - Apr 5 2020'!C:C)+Table3611910135557121417[[#This Row],[Week Sales]]</f>
        <v>488576</v>
      </c>
      <c r="G20" s="18" t="str">
        <f>(VLOOKUP(D:D,'Week 13 Mar 23 - Mar 29 2020'!D:G,4,FALSE))</f>
        <v>Nintendo</v>
      </c>
      <c r="H20" s="67">
        <f>(VLOOKUP(D:D,'Week 13 Mar 23 - Mar 29 2020'!D:H,5,FALSE))</f>
        <v>42697</v>
      </c>
      <c r="I20" s="12">
        <f>_xlfn.IFNA(SUMIFS('Week 13 Mar 23 - Mar 29 2020'!E:E,'Week 13 Mar 23 - Mar 29 2020'!D:D,'Week 14 Mar 30 - Apr 5 2020'!D:D,'Week 13 Mar 23 - Mar 29 2020'!C:C,'Week 14 Mar 30 - Apr 5 2020'!C:C),"New")</f>
        <v>2545</v>
      </c>
      <c r="J20" s="28">
        <f t="shared" si="0"/>
        <v>0.44911591355599212</v>
      </c>
    </row>
    <row r="21" spans="1:10" x14ac:dyDescent="0.2">
      <c r="A21" s="25">
        <v>20</v>
      </c>
      <c r="B21" s="18">
        <v>18</v>
      </c>
      <c r="C21" s="18" t="s">
        <v>7</v>
      </c>
      <c r="D21" s="47" t="s">
        <v>20</v>
      </c>
      <c r="E21" s="12">
        <v>3583</v>
      </c>
      <c r="F21" s="12">
        <f>SUMIFS('Week 13 Mar 23 - Mar 29 2020'!F:F,'Week 13 Mar 23 - Mar 29 2020'!D:D,'Week 14 Mar 30 - Apr 5 2020'!D:D,'Week 13 Mar 23 - Mar 29 2020'!C:C,'Week 14 Mar 30 - Apr 5 2020'!C:C)+Table3611910135557121417[[#This Row],[Week Sales]]</f>
        <v>417499</v>
      </c>
      <c r="G21" s="18" t="str">
        <f>(VLOOKUP(D:D,'Week 13 Mar 23 - Mar 29 2020'!D:G,4,FALSE))</f>
        <v>Bandai Namco</v>
      </c>
      <c r="H21" s="67">
        <f>(VLOOKUP(D:D,'Week 13 Mar 23 - Mar 29 2020'!D:H,5,FALSE))</f>
        <v>43671</v>
      </c>
      <c r="I21" s="12">
        <f>_xlfn.IFNA(SUMIFS('Week 13 Mar 23 - Mar 29 2020'!E:E,'Week 13 Mar 23 - Mar 29 2020'!D:D,'Week 14 Mar 30 - Apr 5 2020'!D:D,'Week 13 Mar 23 - Mar 29 2020'!C:C,'Week 14 Mar 30 - Apr 5 2020'!C:C),"New")</f>
        <v>4310</v>
      </c>
      <c r="J21" s="20">
        <f t="shared" si="0"/>
        <v>-0.16867749419953595</v>
      </c>
    </row>
    <row r="22" spans="1:10" x14ac:dyDescent="0.2">
      <c r="A22" s="25">
        <v>21</v>
      </c>
      <c r="B22" s="18">
        <v>22</v>
      </c>
      <c r="C22" s="18" t="s">
        <v>7</v>
      </c>
      <c r="D22" s="47" t="s">
        <v>79</v>
      </c>
      <c r="E22" s="12">
        <v>3317</v>
      </c>
      <c r="F22" s="12">
        <f>SUMIFS('Week 13 Mar 23 - Mar 29 2020'!F:F,'Week 13 Mar 23 - Mar 29 2020'!D:D,'Week 14 Mar 30 - Apr 5 2020'!D:D,'Week 13 Mar 23 - Mar 29 2020'!C:C,'Week 14 Mar 30 - Apr 5 2020'!C:C)+Table3611910135557121417[[#This Row],[Week Sales]]</f>
        <v>626797</v>
      </c>
      <c r="G22" s="18" t="str">
        <f>(VLOOKUP(D:D,'Week 13 Mar 23 - Mar 29 2020'!D:G,4,FALSE))</f>
        <v>Nintendo</v>
      </c>
      <c r="H22" s="67">
        <f>(VLOOKUP(D:D,'Week 13 Mar 23 - Mar 29 2020'!D:H,5,FALSE))</f>
        <v>43769</v>
      </c>
      <c r="I22" s="12">
        <f>_xlfn.IFNA(SUMIFS('Week 13 Mar 23 - Mar 29 2020'!E:E,'Week 13 Mar 23 - Mar 29 2020'!D:D,'Week 14 Mar 30 - Apr 5 2020'!D:D,'Week 13 Mar 23 - Mar 29 2020'!C:C,'Week 14 Mar 30 - Apr 5 2020'!C:C),"New")</f>
        <v>3339</v>
      </c>
      <c r="J22" s="20">
        <f t="shared" si="0"/>
        <v>-6.5887990416292307E-3</v>
      </c>
    </row>
    <row r="23" spans="1:10" x14ac:dyDescent="0.2">
      <c r="A23" s="25">
        <v>22</v>
      </c>
      <c r="B23" s="18">
        <v>23</v>
      </c>
      <c r="C23" s="18" t="s">
        <v>7</v>
      </c>
      <c r="D23" s="47" t="s">
        <v>80</v>
      </c>
      <c r="E23" s="12">
        <v>2864</v>
      </c>
      <c r="F23" s="12">
        <f>SUMIFS('Week 13 Mar 23 - Mar 29 2020'!F:F,'Week 13 Mar 23 - Mar 29 2020'!D:D,'Week 14 Mar 30 - Apr 5 2020'!D:D,'Week 13 Mar 23 - Mar 29 2020'!C:C,'Week 14 Mar 30 - Apr 5 2020'!C:C)+Table3611910135557121417[[#This Row],[Week Sales]]</f>
        <v>295764</v>
      </c>
      <c r="G23" s="18" t="str">
        <f>(VLOOKUP(D:D,'Week 13 Mar 23 - Mar 29 2020'!D:G,4,FALSE))</f>
        <v>Sega</v>
      </c>
      <c r="H23" s="67">
        <f>(VLOOKUP(D:D,'Week 13 Mar 23 - Mar 29 2020'!D:H,5,FALSE))</f>
        <v>43770</v>
      </c>
      <c r="I23" s="12">
        <f>_xlfn.IFNA(SUMIFS('Week 13 Mar 23 - Mar 29 2020'!E:E,'Week 13 Mar 23 - Mar 29 2020'!D:D,'Week 14 Mar 30 - Apr 5 2020'!D:D,'Week 13 Mar 23 - Mar 29 2020'!C:C,'Week 14 Mar 30 - Apr 5 2020'!C:C),"New")</f>
        <v>2802</v>
      </c>
      <c r="J23" s="28">
        <f t="shared" si="0"/>
        <v>2.2127052105638829E-2</v>
      </c>
    </row>
    <row r="24" spans="1:10" x14ac:dyDescent="0.2">
      <c r="A24" s="25">
        <v>23</v>
      </c>
      <c r="B24" s="18">
        <v>27</v>
      </c>
      <c r="C24" s="18" t="s">
        <v>7</v>
      </c>
      <c r="D24" s="47" t="s">
        <v>25</v>
      </c>
      <c r="E24" s="12">
        <v>2528</v>
      </c>
      <c r="F24" s="12">
        <f>SUMIFS('Week 13 Mar 23 - Mar 29 2020'!F:F,'Week 13 Mar 23 - Mar 29 2020'!D:D,'Week 14 Mar 30 - Apr 5 2020'!D:D,'Week 13 Mar 23 - Mar 29 2020'!C:C,'Week 14 Mar 30 - Apr 5 2020'!C:C)+Table3611910135557121417[[#This Row],[Week Sales]]</f>
        <v>462914</v>
      </c>
      <c r="G24" s="18" t="str">
        <f>(VLOOKUP(D:D,'Week 13 Mar 23 - Mar 29 2020'!D:G,4,FALSE))</f>
        <v>Bandai Namco</v>
      </c>
      <c r="H24" s="67">
        <f>(VLOOKUP(D:D,'Week 13 Mar 23 - Mar 29 2020'!D:H,5,FALSE))</f>
        <v>43300</v>
      </c>
      <c r="I24" s="12">
        <f>_xlfn.IFNA(SUMIFS('Week 13 Mar 23 - Mar 29 2020'!E:E,'Week 13 Mar 23 - Mar 29 2020'!D:D,'Week 14 Mar 30 - Apr 5 2020'!D:D,'Week 13 Mar 23 - Mar 29 2020'!C:C,'Week 14 Mar 30 - Apr 5 2020'!C:C),"New")</f>
        <v>2134</v>
      </c>
      <c r="J24" s="28">
        <f t="shared" si="0"/>
        <v>0.18462980318650421</v>
      </c>
    </row>
    <row r="25" spans="1:10" x14ac:dyDescent="0.2">
      <c r="A25" s="25">
        <v>24</v>
      </c>
      <c r="B25" s="18">
        <v>26</v>
      </c>
      <c r="C25" s="18" t="s">
        <v>7</v>
      </c>
      <c r="D25" s="86" t="s">
        <v>83</v>
      </c>
      <c r="E25" s="12">
        <v>2302</v>
      </c>
      <c r="F25" s="12">
        <f>SUMIFS('Week 13 Mar 23 - Mar 29 2020'!F:F,'Week 13 Mar 23 - Mar 29 2020'!D:D,'Week 14 Mar 30 - Apr 5 2020'!D:D,'Week 13 Mar 23 - Mar 29 2020'!C:C,'Week 14 Mar 30 - Apr 5 2020'!C:C)+Table3611910135557121417[[#This Row],[Week Sales]]</f>
        <v>505182</v>
      </c>
      <c r="G25" s="18" t="str">
        <f>(VLOOKUP(D:D,'Week 13 Mar 23 - Mar 29 2020'!D:G,4,FALSE))</f>
        <v>Square Enix</v>
      </c>
      <c r="H25" s="67">
        <f>(VLOOKUP(D:D,'Week 13 Mar 23 - Mar 29 2020'!D:H,5,FALSE))</f>
        <v>43735</v>
      </c>
      <c r="I25" s="12">
        <f>_xlfn.IFNA(SUMIFS('Week 13 Mar 23 - Mar 29 2020'!E:E,'Week 13 Mar 23 - Mar 29 2020'!D:D,'Week 14 Mar 30 - Apr 5 2020'!D:D,'Week 13 Mar 23 - Mar 29 2020'!C:C,'Week 14 Mar 30 - Apr 5 2020'!C:C),"New")</f>
        <v>2478</v>
      </c>
      <c r="J25" s="28">
        <f t="shared" si="0"/>
        <v>-7.1025020177562556E-2</v>
      </c>
    </row>
    <row r="26" spans="1:10" x14ac:dyDescent="0.2">
      <c r="A26" s="35">
        <v>25</v>
      </c>
      <c r="B26" s="31" t="s">
        <v>53</v>
      </c>
      <c r="C26" s="31" t="s">
        <v>8</v>
      </c>
      <c r="D26" s="52" t="s">
        <v>99</v>
      </c>
      <c r="E26" s="33">
        <v>2277</v>
      </c>
      <c r="F26" s="33">
        <v>447587</v>
      </c>
      <c r="G26" s="31" t="s">
        <v>121</v>
      </c>
      <c r="H26" s="93">
        <v>43714</v>
      </c>
      <c r="I26" s="33"/>
      <c r="J26" s="97"/>
    </row>
    <row r="27" spans="1:10" x14ac:dyDescent="0.2">
      <c r="A27" s="25">
        <v>26</v>
      </c>
      <c r="B27" s="18">
        <v>24</v>
      </c>
      <c r="C27" s="18" t="s">
        <v>7</v>
      </c>
      <c r="D27" s="47" t="s">
        <v>215</v>
      </c>
      <c r="E27" s="12">
        <v>2086</v>
      </c>
      <c r="F27" s="12">
        <f>SUMIFS('Week 13 Mar 23 - Mar 29 2020'!F:F,'Week 13 Mar 23 - Mar 29 2020'!D:D,'Week 14 Mar 30 - Apr 5 2020'!D:D,'Week 13 Mar 23 - Mar 29 2020'!C:C,'Week 14 Mar 30 - Apr 5 2020'!C:C)+Table3611910135557121417[[#This Row],[Week Sales]]</f>
        <v>26915</v>
      </c>
      <c r="G27" s="18" t="str">
        <f>(VLOOKUP(D:D,'Week 13 Mar 23 - Mar 29 2020'!D:G,4,FALSE))</f>
        <v>Bandai Namco</v>
      </c>
      <c r="H27" s="67">
        <f>(VLOOKUP(D:D,'Week 13 Mar 23 - Mar 29 2020'!D:H,5,FALSE))</f>
        <v>43902</v>
      </c>
      <c r="I27" s="12">
        <f>_xlfn.IFNA(SUMIFS('Week 13 Mar 23 - Mar 29 2020'!E:E,'Week 13 Mar 23 - Mar 29 2020'!D:D,'Week 14 Mar 30 - Apr 5 2020'!D:D,'Week 13 Mar 23 - Mar 29 2020'!C:C,'Week 14 Mar 30 - Apr 5 2020'!C:C),"New")</f>
        <v>2737</v>
      </c>
      <c r="J27" s="28">
        <f t="shared" si="0"/>
        <v>-0.23785166240409208</v>
      </c>
    </row>
    <row r="28" spans="1:10" x14ac:dyDescent="0.2">
      <c r="A28" s="25">
        <v>27</v>
      </c>
      <c r="B28" s="18">
        <v>29</v>
      </c>
      <c r="C28" s="18" t="s">
        <v>7</v>
      </c>
      <c r="D28" s="47" t="s">
        <v>228</v>
      </c>
      <c r="E28" s="12">
        <v>2037</v>
      </c>
      <c r="F28" s="12">
        <f>SUMIFS('Week 13 Mar 23 - Mar 29 2020'!F:F,'Week 13 Mar 23 - Mar 29 2020'!D:D,'Week 14 Mar 30 - Apr 5 2020'!D:D,'Week 13 Mar 23 - Mar 29 2020'!C:C,'Week 14 Mar 30 - Apr 5 2020'!C:C)+Table3611910135557121417[[#This Row],[Week Sales]]</f>
        <v>87444</v>
      </c>
      <c r="G28" s="18" t="str">
        <f>(VLOOKUP(D:D,'Week 13 Mar 23 - Mar 29 2020'!D:G,4,FALSE))</f>
        <v>Imagineer</v>
      </c>
      <c r="H28" s="67">
        <f>(VLOOKUP(D:D,'Week 13 Mar 23 - Mar 29 2020'!D:H,5,FALSE))</f>
        <v>43454</v>
      </c>
      <c r="I28" s="12">
        <f>_xlfn.IFNA(SUMIFS('Week 13 Mar 23 - Mar 29 2020'!E:E,'Week 13 Mar 23 - Mar 29 2020'!D:D,'Week 14 Mar 30 - Apr 5 2020'!D:D,'Week 13 Mar 23 - Mar 29 2020'!C:C,'Week 14 Mar 30 - Apr 5 2020'!C:C),"New")</f>
        <v>1711</v>
      </c>
      <c r="J28" s="28">
        <f t="shared" si="0"/>
        <v>0.19053185271770895</v>
      </c>
    </row>
    <row r="29" spans="1:10" x14ac:dyDescent="0.2">
      <c r="A29" s="25">
        <v>28</v>
      </c>
      <c r="B29" s="18">
        <v>13</v>
      </c>
      <c r="C29" s="18" t="s">
        <v>8</v>
      </c>
      <c r="D29" s="47" t="s">
        <v>224</v>
      </c>
      <c r="E29" s="12">
        <v>1949</v>
      </c>
      <c r="F29" s="12">
        <f>SUMIFS('Week 13 Mar 23 - Mar 29 2020'!F:F,'Week 13 Mar 23 - Mar 29 2020'!D:D,'Week 14 Mar 30 - Apr 5 2020'!D:D,'Week 13 Mar 23 - Mar 29 2020'!C:C,'Week 14 Mar 30 - Apr 5 2020'!C:C)+Table3611910135557121417[[#This Row],[Week Sales]]</f>
        <v>6557</v>
      </c>
      <c r="G29" s="18" t="str">
        <f>(VLOOKUP(D:D,'Week 13 Mar 23 - Mar 29 2020'!D:G,4,FALSE))</f>
        <v>H2 Interactive</v>
      </c>
      <c r="H29" s="67">
        <f>(VLOOKUP(D:D,'Week 13 Mar 23 - Mar 29 2020'!D:H,5,FALSE))</f>
        <v>43916</v>
      </c>
      <c r="I29" s="12">
        <f>_xlfn.IFNA(SUMIFS('Week 13 Mar 23 - Mar 29 2020'!E:E,'Week 13 Mar 23 - Mar 29 2020'!D:D,'Week 14 Mar 30 - Apr 5 2020'!D:D,'Week 13 Mar 23 - Mar 29 2020'!C:C,'Week 14 Mar 30 - Apr 5 2020'!C:C),"New")</f>
        <v>4608</v>
      </c>
      <c r="J29" s="28">
        <f t="shared" si="0"/>
        <v>-0.57703993055555558</v>
      </c>
    </row>
    <row r="30" spans="1:10" x14ac:dyDescent="0.2">
      <c r="A30" s="35">
        <v>29</v>
      </c>
      <c r="B30" s="31" t="s">
        <v>53</v>
      </c>
      <c r="C30" s="31" t="s">
        <v>7</v>
      </c>
      <c r="D30" s="52" t="s">
        <v>89</v>
      </c>
      <c r="E30" s="33">
        <v>1890</v>
      </c>
      <c r="F30" s="33">
        <v>146363</v>
      </c>
      <c r="G30" s="31" t="s">
        <v>97</v>
      </c>
      <c r="H30" s="93">
        <v>43755</v>
      </c>
      <c r="I30" s="33"/>
      <c r="J30" s="97"/>
    </row>
    <row r="31" spans="1:10" x14ac:dyDescent="0.2">
      <c r="A31" s="25">
        <v>30</v>
      </c>
      <c r="B31" s="18">
        <v>28</v>
      </c>
      <c r="C31" s="18" t="s">
        <v>7</v>
      </c>
      <c r="D31" s="68" t="s">
        <v>93</v>
      </c>
      <c r="E31" s="12">
        <v>1831</v>
      </c>
      <c r="F31" s="12">
        <f>SUMIFS('Week 13 Mar 23 - Mar 29 2020'!F:F,'Week 13 Mar 23 - Mar 29 2020'!D:D,'Week 14 Mar 30 - Apr 5 2020'!D:D,'Week 13 Mar 23 - Mar 29 2020'!C:C,'Week 14 Mar 30 - Apr 5 2020'!C:C)+Table3611910135557121417[[#This Row],[Week Sales]]</f>
        <v>1716116</v>
      </c>
      <c r="G31" s="18" t="str">
        <f>(VLOOKUP(D:D,'Week 13 Mar 23 - Mar 29 2020'!D:G,4,FALSE))</f>
        <v>The Pokemon Company</v>
      </c>
      <c r="H31" s="67">
        <f>(VLOOKUP(D:D,'Week 13 Mar 23 - Mar 29 2020'!D:H,5,FALSE))</f>
        <v>43420</v>
      </c>
      <c r="I31" s="12">
        <f>_xlfn.IFNA(SUMIFS('Week 13 Mar 23 - Mar 29 2020'!E:E,'Week 13 Mar 23 - Mar 29 2020'!D:D,'Week 14 Mar 30 - Apr 5 2020'!D:D,'Week 13 Mar 23 - Mar 29 2020'!C:C,'Week 14 Mar 30 - Apr 5 2020'!C:C),"New")</f>
        <v>1753</v>
      </c>
      <c r="J31" s="28">
        <f>IFERROR((E31-I31)/I31,"New")</f>
        <v>4.4495151169423847E-2</v>
      </c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790886</v>
      </c>
      <c r="F33" s="2"/>
      <c r="I33" s="2"/>
      <c r="J33" s="19"/>
    </row>
    <row r="34" spans="1:10" x14ac:dyDescent="0.2">
      <c r="A34" s="3"/>
      <c r="B34" s="3"/>
      <c r="D34" s="100" t="s">
        <v>178</v>
      </c>
      <c r="E34" s="101">
        <f>SUM('Week 13 Mar 23 - Mar 29 2020'!E34,'Week 14 Mar 30 - Apr 5 2020'!E33)</f>
        <v>7487679</v>
      </c>
      <c r="F34" s="2"/>
      <c r="I34" s="2"/>
      <c r="J34" s="19"/>
    </row>
    <row r="35" spans="1:10" x14ac:dyDescent="0.2">
      <c r="A35" s="3"/>
      <c r="B35" s="3"/>
      <c r="D35" s="2" t="s">
        <v>60</v>
      </c>
      <c r="E35" s="2">
        <f>AVERAGE(E2:E31)</f>
        <v>26362.866666666665</v>
      </c>
      <c r="F35" s="2"/>
      <c r="I35" s="2"/>
      <c r="J35" s="19"/>
    </row>
    <row r="36" spans="1:10" x14ac:dyDescent="0.2">
      <c r="A36" s="3"/>
      <c r="B36" s="3"/>
      <c r="D36" s="9" t="s">
        <v>78</v>
      </c>
      <c r="E36" s="10">
        <f>COUNTIF(B:B,"New")</f>
        <v>2</v>
      </c>
      <c r="F36" s="2"/>
      <c r="I36" s="2"/>
      <c r="J36" s="19"/>
    </row>
    <row r="37" spans="1:10" x14ac:dyDescent="0.2">
      <c r="A37" s="3"/>
      <c r="B37" s="3"/>
      <c r="E37" s="2"/>
      <c r="F37" s="2"/>
      <c r="I37" s="2"/>
      <c r="J37" s="19"/>
    </row>
    <row r="38" spans="1:10" x14ac:dyDescent="0.2">
      <c r="A38" s="3"/>
      <c r="B38" s="3"/>
      <c r="D38" t="s">
        <v>66</v>
      </c>
      <c r="E38" s="2"/>
      <c r="F38" s="2"/>
      <c r="I38" s="2"/>
      <c r="J38" s="19"/>
    </row>
    <row r="39" spans="1:10" x14ac:dyDescent="0.2">
      <c r="A39" s="3"/>
      <c r="B39" s="3"/>
      <c r="D39" s="8" t="s">
        <v>67</v>
      </c>
      <c r="E39" s="2"/>
      <c r="F39" s="2"/>
      <c r="I39" s="2"/>
      <c r="J39" s="19"/>
    </row>
    <row r="40" spans="1:10" x14ac:dyDescent="0.2">
      <c r="A40" s="3"/>
      <c r="B40" s="3"/>
      <c r="D40" s="8" t="s">
        <v>65</v>
      </c>
      <c r="E40" s="2"/>
      <c r="F40" s="2"/>
      <c r="I40" s="2"/>
      <c r="J40" s="19"/>
    </row>
    <row r="41" spans="1:10" x14ac:dyDescent="0.2">
      <c r="D41" s="8" t="s">
        <v>71</v>
      </c>
      <c r="E41" s="2"/>
    </row>
  </sheetData>
  <hyperlinks>
    <hyperlink ref="D40" r:id="rId1" xr:uid="{245FDC8B-3CC8-2F4A-9BB8-23BECB104C47}"/>
    <hyperlink ref="D41" r:id="rId2" xr:uid="{BCA0437C-AADB-8B49-90C6-EF02DB0F799C}"/>
    <hyperlink ref="D39" r:id="rId3" xr:uid="{45CBE8F5-A44E-0942-BE96-4981893CA94A}"/>
  </hyperlinks>
  <pageMargins left="0.7" right="0.7" top="0.75" bottom="0.75" header="0.3" footer="0.3"/>
  <pageSetup paperSize="9" orientation="portrait" horizontalDpi="0" verticalDpi="0"/>
  <ignoredErrors>
    <ignoredError sqref="G2:H30 I3:I25" calculatedColumn="1"/>
  </ignoredErrors>
  <tableParts count="1">
    <tablePart r:id="rId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883F7-0E69-B346-9BA7-1D033D12875F}">
  <dimension ref="A1:J41"/>
  <sheetViews>
    <sheetView topLeftCell="B1" workbookViewId="0">
      <selection activeCell="D11" sqref="D2:E11"/>
    </sheetView>
  </sheetViews>
  <sheetFormatPr baseColWidth="10" defaultRowHeight="16" x14ac:dyDescent="0.2"/>
  <cols>
    <col min="4" max="4" width="59.832031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0" x14ac:dyDescent="0.2">
      <c r="A2" s="13">
        <v>1</v>
      </c>
      <c r="B2" s="9" t="s">
        <v>36</v>
      </c>
      <c r="C2" s="9" t="s">
        <v>8</v>
      </c>
      <c r="D2" s="9" t="s">
        <v>234</v>
      </c>
      <c r="E2" s="10">
        <v>702853</v>
      </c>
      <c r="F2" s="10">
        <f>SUMIFS('Week 14 Mar 30 - Apr 5 2020'!F:F,'Week 14 Mar 30 - Apr 5 2020'!D:D,'Week 15 Apr 6 - Apr 12 2020'!D:D,'Week 14 Mar 30 - Apr 5 2020'!C:C,'Week 15 Apr 6 - Apr 12 2020'!C:C)+Table361191013555712141752[[#This Row],[Week Sales]]</f>
        <v>702853</v>
      </c>
      <c r="G2" s="9" t="s">
        <v>27</v>
      </c>
      <c r="H2" s="14">
        <v>43931</v>
      </c>
      <c r="I2" s="10" t="s">
        <v>36</v>
      </c>
      <c r="J2" s="92" t="str">
        <f>IFERROR((E2-I2)/I2,"New")</f>
        <v>New</v>
      </c>
    </row>
    <row r="3" spans="1:10" x14ac:dyDescent="0.2">
      <c r="A3" s="25">
        <v>2</v>
      </c>
      <c r="B3" s="18">
        <v>1</v>
      </c>
      <c r="C3" s="18" t="s">
        <v>7</v>
      </c>
      <c r="D3" s="86" t="s">
        <v>46</v>
      </c>
      <c r="E3" s="12">
        <v>292876</v>
      </c>
      <c r="F3" s="12">
        <f>SUMIFS('Week 14 Mar 30 - Apr 5 2020'!F:F,'Week 14 Mar 30 - Apr 5 2020'!D:D,'Week 15 Apr 6 - Apr 12 2020'!D:D,'Week 14 Mar 30 - Apr 5 2020'!C:C,'Week 15 Apr 6 - Apr 12 2020'!C:C)+Table361191013555712141752[[#This Row],[Week Sales]]</f>
        <v>3324660</v>
      </c>
      <c r="G3" s="18" t="str">
        <f>(VLOOKUP(D:D,'Week 14 Mar 30 - Apr 5 2020'!D:G,4,FALSE))</f>
        <v>Nintendo</v>
      </c>
      <c r="H3" s="67">
        <f>(VLOOKUP(D:D,'Week 14 Mar 30 - Apr 5 2020'!D:H,5,FALSE))</f>
        <v>43910</v>
      </c>
      <c r="I3" s="12">
        <f>_xlfn.IFNA(SUMIFS('Week 14 Mar 30 - Apr 5 2020'!E:E,'Week 14 Mar 30 - Apr 5 2020'!D:D,'Week 15 Apr 6 - Apr 12 2020'!D:D,'Week 14 Mar 30 - Apr 5 2020'!C:C,'Week 15 Apr 6 - Apr 12 2020'!C:C),"New")</f>
        <v>423367</v>
      </c>
      <c r="J3" s="28">
        <f t="shared" ref="J3:J29" si="0">IFERROR((E3-I3)/I3,"New")</f>
        <v>-0.3082219445540158</v>
      </c>
    </row>
    <row r="4" spans="1:10" x14ac:dyDescent="0.2">
      <c r="A4" s="25">
        <v>3</v>
      </c>
      <c r="B4" s="18">
        <v>2</v>
      </c>
      <c r="C4" s="18" t="s">
        <v>8</v>
      </c>
      <c r="D4" s="47" t="s">
        <v>232</v>
      </c>
      <c r="E4" s="12">
        <v>34698</v>
      </c>
      <c r="F4" s="12">
        <f>SUMIFS('Week 14 Mar 30 - Apr 5 2020'!F:F,'Week 14 Mar 30 - Apr 5 2020'!D:D,'Week 15 Apr 6 - Apr 12 2020'!D:D,'Week 14 Mar 30 - Apr 5 2020'!C:C,'Week 15 Apr 6 - Apr 12 2020'!C:C)+Table361191013555712141752[[#This Row],[Week Sales]]</f>
        <v>224188</v>
      </c>
      <c r="G4" s="18" t="str">
        <f>(VLOOKUP(D:D,'Week 14 Mar 30 - Apr 5 2020'!D:G,4,FALSE))</f>
        <v>Capcom</v>
      </c>
      <c r="H4" s="67">
        <f>(VLOOKUP(D:D,'Week 14 Mar 30 - Apr 5 2020'!D:H,5,FALSE))</f>
        <v>43924</v>
      </c>
      <c r="I4" s="12">
        <f>_xlfn.IFNA(SUMIFS('Week 14 Mar 30 - Apr 5 2020'!E:E,'Week 14 Mar 30 - Apr 5 2020'!D:D,'Week 15 Apr 6 - Apr 12 2020'!D:D,'Week 14 Mar 30 - Apr 5 2020'!C:C,'Week 15 Apr 6 - Apr 12 2020'!C:C),"New")</f>
        <v>189490</v>
      </c>
      <c r="J4" s="28">
        <f t="shared" si="0"/>
        <v>-0.81688743469312364</v>
      </c>
    </row>
    <row r="5" spans="1:10" x14ac:dyDescent="0.2">
      <c r="A5" s="25">
        <v>4</v>
      </c>
      <c r="B5" s="18">
        <v>5</v>
      </c>
      <c r="C5" s="18" t="s">
        <v>7</v>
      </c>
      <c r="D5" s="47" t="s">
        <v>49</v>
      </c>
      <c r="E5" s="12">
        <v>14171</v>
      </c>
      <c r="F5" s="12">
        <f>SUMIFS('Week 14 Mar 30 - Apr 5 2020'!F:F,'Week 14 Mar 30 - Apr 5 2020'!D:D,'Week 15 Apr 6 - Apr 12 2020'!D:D,'Week 14 Mar 30 - Apr 5 2020'!C:C,'Week 15 Apr 6 - Apr 12 2020'!C:C)+Table361191013555712141752[[#This Row],[Week Sales]]</f>
        <v>2869272</v>
      </c>
      <c r="G5" s="18" t="str">
        <f>(VLOOKUP(D:D,'Week 14 Mar 30 - Apr 5 2020'!D:G,4,FALSE))</f>
        <v>Nintendo</v>
      </c>
      <c r="H5" s="67">
        <f>(VLOOKUP(D:D,'Week 14 Mar 30 - Apr 5 2020'!D:H,5,FALSE))</f>
        <v>42853</v>
      </c>
      <c r="I5" s="12">
        <f>_xlfn.IFNA(SUMIFS('Week 14 Mar 30 - Apr 5 2020'!E:E,'Week 14 Mar 30 - Apr 5 2020'!D:D,'Week 15 Apr 6 - Apr 12 2020'!D:D,'Week 14 Mar 30 - Apr 5 2020'!C:C,'Week 15 Apr 6 - Apr 12 2020'!C:C),"New")</f>
        <v>14171</v>
      </c>
      <c r="J5" s="28">
        <f t="shared" si="0"/>
        <v>0</v>
      </c>
    </row>
    <row r="6" spans="1:10" x14ac:dyDescent="0.2">
      <c r="A6" s="25">
        <v>5</v>
      </c>
      <c r="B6" s="18">
        <v>3</v>
      </c>
      <c r="C6" s="18" t="s">
        <v>8</v>
      </c>
      <c r="D6" s="47" t="s">
        <v>221</v>
      </c>
      <c r="E6" s="12">
        <v>13204</v>
      </c>
      <c r="F6" s="12">
        <f>SUMIFS('Week 14 Mar 30 - Apr 5 2020'!F:F,'Week 14 Mar 30 - Apr 5 2020'!D:D,'Week 15 Apr 6 - Apr 12 2020'!D:D,'Week 14 Mar 30 - Apr 5 2020'!C:C,'Week 15 Apr 6 - Apr 12 2020'!C:C)+Table361191013555712141752[[#This Row],[Week Sales]]</f>
        <v>107535</v>
      </c>
      <c r="G6" s="18" t="str">
        <f>(VLOOKUP(D:D,'Week 14 Mar 30 - Apr 5 2020'!D:G,4,FALSE))</f>
        <v>Bandai Namco</v>
      </c>
      <c r="H6" s="67">
        <f>(VLOOKUP(D:D,'Week 14 Mar 30 - Apr 5 2020'!D:H,5,FALSE))</f>
        <v>43916</v>
      </c>
      <c r="I6" s="12">
        <f>_xlfn.IFNA(SUMIFS('Week 14 Mar 30 - Apr 5 2020'!E:E,'Week 14 Mar 30 - Apr 5 2020'!D:D,'Week 15 Apr 6 - Apr 12 2020'!D:D,'Week 14 Mar 30 - Apr 5 2020'!C:C,'Week 15 Apr 6 - Apr 12 2020'!C:C),"New")</f>
        <v>18333</v>
      </c>
      <c r="J6" s="28">
        <f t="shared" si="0"/>
        <v>-0.27976872306769213</v>
      </c>
    </row>
    <row r="7" spans="1:10" x14ac:dyDescent="0.2">
      <c r="A7" s="25">
        <v>6</v>
      </c>
      <c r="B7" s="18">
        <v>4</v>
      </c>
      <c r="C7" s="18" t="s">
        <v>7</v>
      </c>
      <c r="D7" s="47" t="s">
        <v>221</v>
      </c>
      <c r="E7" s="12">
        <v>11921</v>
      </c>
      <c r="F7" s="12">
        <f>SUMIFS('Week 14 Mar 30 - Apr 5 2020'!F:F,'Week 14 Mar 30 - Apr 5 2020'!D:D,'Week 15 Apr 6 - Apr 12 2020'!D:D,'Week 14 Mar 30 - Apr 5 2020'!C:C,'Week 15 Apr 6 - Apr 12 2020'!C:C)+Table361191013555712141752[[#This Row],[Week Sales]]</f>
        <v>90832</v>
      </c>
      <c r="G7" s="18" t="str">
        <f>(VLOOKUP(D:D,'Week 14 Mar 30 - Apr 5 2020'!D:G,4,FALSE))</f>
        <v>Bandai Namco</v>
      </c>
      <c r="H7" s="67">
        <f>(VLOOKUP(D:D,'Week 14 Mar 30 - Apr 5 2020'!D:H,5,FALSE))</f>
        <v>43916</v>
      </c>
      <c r="I7" s="12">
        <f>_xlfn.IFNA(SUMIFS('Week 14 Mar 30 - Apr 5 2020'!E:E,'Week 14 Mar 30 - Apr 5 2020'!D:D,'Week 15 Apr 6 - Apr 12 2020'!D:D,'Week 14 Mar 30 - Apr 5 2020'!C:C,'Week 15 Apr 6 - Apr 12 2020'!C:C),"New")</f>
        <v>17340</v>
      </c>
      <c r="J7" s="28">
        <f t="shared" si="0"/>
        <v>-0.31251441753171855</v>
      </c>
    </row>
    <row r="8" spans="1:10" x14ac:dyDescent="0.2">
      <c r="A8" s="25">
        <v>7</v>
      </c>
      <c r="B8" s="18">
        <v>6</v>
      </c>
      <c r="C8" s="18" t="s">
        <v>7</v>
      </c>
      <c r="D8" s="47" t="s">
        <v>52</v>
      </c>
      <c r="E8" s="12">
        <v>11303</v>
      </c>
      <c r="F8" s="12">
        <f>SUMIFS('Week 14 Mar 30 - Apr 5 2020'!F:F,'Week 14 Mar 30 - Apr 5 2020'!D:D,'Week 15 Apr 6 - Apr 12 2020'!D:D,'Week 14 Mar 30 - Apr 5 2020'!C:C,'Week 15 Apr 6 - Apr 12 2020'!C:C)+Table361191013555712141752[[#This Row],[Week Sales]]</f>
        <v>3646834</v>
      </c>
      <c r="G8" s="18" t="str">
        <f>(VLOOKUP(D:D,'Week 14 Mar 30 - Apr 5 2020'!D:G,4,FALSE))</f>
        <v>Nintendo</v>
      </c>
      <c r="H8" s="67">
        <f>(VLOOKUP(D:D,'Week 14 Mar 30 - Apr 5 2020'!D:H,5,FALSE))</f>
        <v>43441</v>
      </c>
      <c r="I8" s="12">
        <f>_xlfn.IFNA(SUMIFS('Week 14 Mar 30 - Apr 5 2020'!E:E,'Week 14 Mar 30 - Apr 5 2020'!D:D,'Week 15 Apr 6 - Apr 12 2020'!D:D,'Week 14 Mar 30 - Apr 5 2020'!C:C,'Week 15 Apr 6 - Apr 12 2020'!C:C),"New")</f>
        <v>12257</v>
      </c>
      <c r="J8" s="28">
        <f t="shared" si="0"/>
        <v>-7.7833074977563838E-2</v>
      </c>
    </row>
    <row r="9" spans="1:10" x14ac:dyDescent="0.2">
      <c r="A9" s="25">
        <v>8</v>
      </c>
      <c r="B9" s="18">
        <v>10</v>
      </c>
      <c r="C9" s="18" t="s">
        <v>7</v>
      </c>
      <c r="D9" s="47" t="s">
        <v>45</v>
      </c>
      <c r="E9" s="12">
        <v>9249</v>
      </c>
      <c r="F9" s="12">
        <f>SUMIFS('Week 14 Mar 30 - Apr 5 2020'!F:F,'Week 14 Mar 30 - Apr 5 2020'!D:D,'Week 15 Apr 6 - Apr 12 2020'!D:D,'Week 14 Mar 30 - Apr 5 2020'!C:C,'Week 15 Apr 6 - Apr 12 2020'!C:C)+Table361191013555712141752[[#This Row],[Week Sales]]</f>
        <v>762872</v>
      </c>
      <c r="G9" s="18" t="str">
        <f>(VLOOKUP(D:D,'Week 14 Mar 30 - Apr 5 2020'!D:G,4,FALSE))</f>
        <v>Nintendo</v>
      </c>
      <c r="H9" s="67">
        <f>(VLOOKUP(D:D,'Week 14 Mar 30 - Apr 5 2020'!D:H,5,FALSE))</f>
        <v>43756</v>
      </c>
      <c r="I9" s="12">
        <f>_xlfn.IFNA(SUMIFS('Week 14 Mar 30 - Apr 5 2020'!E:E,'Week 14 Mar 30 - Apr 5 2020'!D:D,'Week 15 Apr 6 - Apr 12 2020'!D:D,'Week 14 Mar 30 - Apr 5 2020'!C:C,'Week 15 Apr 6 - Apr 12 2020'!C:C),"New")</f>
        <v>8496</v>
      </c>
      <c r="J9" s="28">
        <f t="shared" si="0"/>
        <v>8.8629943502824854E-2</v>
      </c>
    </row>
    <row r="10" spans="1:10" x14ac:dyDescent="0.2">
      <c r="A10" s="25">
        <v>9</v>
      </c>
      <c r="B10" s="18">
        <v>7</v>
      </c>
      <c r="C10" s="18" t="s">
        <v>7</v>
      </c>
      <c r="D10" s="47" t="s">
        <v>62</v>
      </c>
      <c r="E10" s="12">
        <v>9037</v>
      </c>
      <c r="F10" s="12">
        <f>SUMIFS('Week 14 Mar 30 - Apr 5 2020'!F:F,'Week 14 Mar 30 - Apr 5 2020'!D:D,'Week 15 Apr 6 - Apr 12 2020'!D:D,'Week 14 Mar 30 - Apr 5 2020'!C:C,'Week 15 Apr 6 - Apr 12 2020'!C:C)+Table361191013555712141752[[#This Row],[Week Sales]]</f>
        <v>3562578</v>
      </c>
      <c r="G10" s="18" t="str">
        <f>(VLOOKUP(D:D,'Week 14 Mar 30 - Apr 5 2020'!D:G,4,FALSE))</f>
        <v>The Pokemon Company</v>
      </c>
      <c r="H10" s="67">
        <f>(VLOOKUP(D:D,'Week 14 Mar 30 - Apr 5 2020'!D:H,5,FALSE))</f>
        <v>43784</v>
      </c>
      <c r="I10" s="12">
        <f>_xlfn.IFNA(SUMIFS('Week 14 Mar 30 - Apr 5 2020'!E:E,'Week 14 Mar 30 - Apr 5 2020'!D:D,'Week 15 Apr 6 - Apr 12 2020'!D:D,'Week 14 Mar 30 - Apr 5 2020'!C:C,'Week 15 Apr 6 - Apr 12 2020'!C:C),"New")</f>
        <v>11017</v>
      </c>
      <c r="J10" s="28">
        <f t="shared" si="0"/>
        <v>-0.17972224743578105</v>
      </c>
    </row>
    <row r="11" spans="1:10" x14ac:dyDescent="0.2">
      <c r="A11" s="25">
        <v>10</v>
      </c>
      <c r="B11" s="18">
        <v>11</v>
      </c>
      <c r="C11" s="18" t="s">
        <v>7</v>
      </c>
      <c r="D11" s="47" t="s">
        <v>13</v>
      </c>
      <c r="E11" s="12">
        <v>8755</v>
      </c>
      <c r="F11" s="12">
        <f>SUMIFS('Week 14 Mar 30 - Apr 5 2020'!F:F,'Week 14 Mar 30 - Apr 5 2020'!D:D,'Week 15 Apr 6 - Apr 12 2020'!D:D,'Week 14 Mar 30 - Apr 5 2020'!C:C,'Week 15 Apr 6 - Apr 12 2020'!C:C)+Table361191013555712141752[[#This Row],[Week Sales]]</f>
        <v>1398898</v>
      </c>
      <c r="G11" s="18" t="str">
        <f>(VLOOKUP(D:D,'Week 14 Mar 30 - Apr 5 2020'!D:G,4,FALSE))</f>
        <v>Nintendo</v>
      </c>
      <c r="H11" s="67">
        <f>(VLOOKUP(D:D,'Week 14 Mar 30 - Apr 5 2020'!D:H,5,FALSE))</f>
        <v>43378</v>
      </c>
      <c r="I11" s="12">
        <f>_xlfn.IFNA(SUMIFS('Week 14 Mar 30 - Apr 5 2020'!E:E,'Week 14 Mar 30 - Apr 5 2020'!D:D,'Week 15 Apr 6 - Apr 12 2020'!D:D,'Week 14 Mar 30 - Apr 5 2020'!C:C,'Week 15 Apr 6 - Apr 12 2020'!C:C),"New")</f>
        <v>8356</v>
      </c>
      <c r="J11" s="28">
        <f t="shared" si="0"/>
        <v>4.7750119674485399E-2</v>
      </c>
    </row>
    <row r="12" spans="1:10" x14ac:dyDescent="0.2">
      <c r="A12" s="25">
        <v>11</v>
      </c>
      <c r="B12" s="18">
        <v>8</v>
      </c>
      <c r="C12" s="18" t="s">
        <v>7</v>
      </c>
      <c r="D12" s="47" t="s">
        <v>12</v>
      </c>
      <c r="E12" s="12">
        <v>8192</v>
      </c>
      <c r="F12" s="12">
        <f>SUMIFS('Week 14 Mar 30 - Apr 5 2020'!F:F,'Week 14 Mar 30 - Apr 5 2020'!D:D,'Week 15 Apr 6 - Apr 12 2020'!D:D,'Week 14 Mar 30 - Apr 5 2020'!C:C,'Week 15 Apr 6 - Apr 12 2020'!C:C)+Table361191013555712141752[[#This Row],[Week Sales]]</f>
        <v>1349076</v>
      </c>
      <c r="G12" s="18" t="str">
        <f>(VLOOKUP(D:D,'Week 14 Mar 30 - Apr 5 2020'!D:G,4,FALSE))</f>
        <v>Microsoft</v>
      </c>
      <c r="H12" s="67">
        <f>(VLOOKUP(D:D,'Week 14 Mar 30 - Apr 5 2020'!D:H,5,FALSE))</f>
        <v>43272</v>
      </c>
      <c r="I12" s="12">
        <f>_xlfn.IFNA(SUMIFS('Week 14 Mar 30 - Apr 5 2020'!E:E,'Week 14 Mar 30 - Apr 5 2020'!D:D,'Week 15 Apr 6 - Apr 12 2020'!D:D,'Week 14 Mar 30 - Apr 5 2020'!C:C,'Week 15 Apr 6 - Apr 12 2020'!C:C),"New")</f>
        <v>9045</v>
      </c>
      <c r="J12" s="28">
        <f t="shared" si="0"/>
        <v>-9.4306246545052513E-2</v>
      </c>
    </row>
    <row r="13" spans="1:10" x14ac:dyDescent="0.2">
      <c r="A13" s="25">
        <v>12</v>
      </c>
      <c r="B13" s="18">
        <v>9</v>
      </c>
      <c r="C13" s="18" t="s">
        <v>7</v>
      </c>
      <c r="D13" s="47" t="s">
        <v>209</v>
      </c>
      <c r="E13" s="12">
        <v>6385</v>
      </c>
      <c r="F13" s="12">
        <f>SUMIFS('Week 14 Mar 30 - Apr 5 2020'!F:F,'Week 14 Mar 30 - Apr 5 2020'!D:D,'Week 15 Apr 6 - Apr 12 2020'!D:D,'Week 14 Mar 30 - Apr 5 2020'!C:C,'Week 15 Apr 6 - Apr 12 2020'!C:C)+Table361191013555712141752[[#This Row],[Week Sales]]</f>
        <v>233335</v>
      </c>
      <c r="G13" s="18" t="str">
        <f>(VLOOKUP(D:D,'Week 14 Mar 30 - Apr 5 2020'!D:G,4,FALSE))</f>
        <v>The Pokemon Company</v>
      </c>
      <c r="H13" s="67">
        <f>(VLOOKUP(D:D,'Week 14 Mar 30 - Apr 5 2020'!D:H,5,FALSE))</f>
        <v>43896</v>
      </c>
      <c r="I13" s="12">
        <f>_xlfn.IFNA(SUMIFS('Week 14 Mar 30 - Apr 5 2020'!E:E,'Week 14 Mar 30 - Apr 5 2020'!D:D,'Week 15 Apr 6 - Apr 12 2020'!D:D,'Week 14 Mar 30 - Apr 5 2020'!C:C,'Week 15 Apr 6 - Apr 12 2020'!C:C),"New")</f>
        <v>8556</v>
      </c>
      <c r="J13" s="28">
        <f t="shared" si="0"/>
        <v>-0.25374006545114541</v>
      </c>
    </row>
    <row r="14" spans="1:10" x14ac:dyDescent="0.2">
      <c r="A14" s="25">
        <v>13</v>
      </c>
      <c r="B14" s="18">
        <v>14</v>
      </c>
      <c r="C14" s="18" t="s">
        <v>7</v>
      </c>
      <c r="D14" s="47" t="s">
        <v>10</v>
      </c>
      <c r="E14" s="12">
        <v>5954</v>
      </c>
      <c r="F14" s="12">
        <f>SUMIFS('Week 14 Mar 30 - Apr 5 2020'!F:F,'Week 14 Mar 30 - Apr 5 2020'!D:D,'Week 15 Apr 6 - Apr 12 2020'!D:D,'Week 14 Mar 30 - Apr 5 2020'!C:C,'Week 15 Apr 6 - Apr 12 2020'!C:C)+Table361191013555712141752[[#This Row],[Week Sales]]</f>
        <v>3368915</v>
      </c>
      <c r="G14" s="18" t="str">
        <f>(VLOOKUP(D:D,'Week 14 Mar 30 - Apr 5 2020'!D:G,4,FALSE))</f>
        <v>Nintendo</v>
      </c>
      <c r="H14" s="67">
        <f>(VLOOKUP(D:D,'Week 14 Mar 30 - Apr 5 2020'!D:H,5,FALSE))</f>
        <v>42937</v>
      </c>
      <c r="I14" s="12">
        <f>_xlfn.IFNA(SUMIFS('Week 14 Mar 30 - Apr 5 2020'!E:E,'Week 14 Mar 30 - Apr 5 2020'!D:D,'Week 15 Apr 6 - Apr 12 2020'!D:D,'Week 14 Mar 30 - Apr 5 2020'!C:C,'Week 15 Apr 6 - Apr 12 2020'!C:C),"New")</f>
        <v>6552</v>
      </c>
      <c r="J14" s="28">
        <f t="shared" si="0"/>
        <v>-9.1269841269841265E-2</v>
      </c>
    </row>
    <row r="15" spans="1:10" x14ac:dyDescent="0.2">
      <c r="A15" s="25">
        <v>14</v>
      </c>
      <c r="B15" s="18">
        <v>15</v>
      </c>
      <c r="C15" s="18" t="s">
        <v>7</v>
      </c>
      <c r="D15" s="47" t="s">
        <v>39</v>
      </c>
      <c r="E15" s="12">
        <v>5647</v>
      </c>
      <c r="F15" s="12">
        <f>SUMIFS('Week 14 Mar 30 - Apr 5 2020'!F:F,'Week 14 Mar 30 - Apr 5 2020'!D:D,'Week 15 Apr 6 - Apr 12 2020'!D:D,'Week 14 Mar 30 - Apr 5 2020'!C:C,'Week 15 Apr 6 - Apr 12 2020'!C:C)+Table361191013555712141752[[#This Row],[Week Sales]]</f>
        <v>1561430</v>
      </c>
      <c r="G15" s="18" t="str">
        <f>(VLOOKUP(D:D,'Week 14 Mar 30 - Apr 5 2020'!D:G,4,FALSE))</f>
        <v>Nintendo</v>
      </c>
      <c r="H15" s="67">
        <f>(VLOOKUP(D:D,'Week 14 Mar 30 - Apr 5 2020'!D:H,5,FALSE))</f>
        <v>42797</v>
      </c>
      <c r="I15" s="12">
        <f>_xlfn.IFNA(SUMIFS('Week 14 Mar 30 - Apr 5 2020'!E:E,'Week 14 Mar 30 - Apr 5 2020'!D:D,'Week 15 Apr 6 - Apr 12 2020'!D:D,'Week 14 Mar 30 - Apr 5 2020'!C:C,'Week 15 Apr 6 - Apr 12 2020'!C:C),"New")</f>
        <v>5056</v>
      </c>
      <c r="J15" s="28">
        <f t="shared" si="0"/>
        <v>0.11689082278481013</v>
      </c>
    </row>
    <row r="16" spans="1:10" x14ac:dyDescent="0.2">
      <c r="A16" s="25">
        <v>15</v>
      </c>
      <c r="B16" s="18">
        <v>16</v>
      </c>
      <c r="C16" s="18" t="s">
        <v>7</v>
      </c>
      <c r="D16" s="47" t="s">
        <v>17</v>
      </c>
      <c r="E16" s="12">
        <v>5552</v>
      </c>
      <c r="F16" s="12">
        <f>SUMIFS('Week 14 Mar 30 - Apr 5 2020'!F:F,'Week 14 Mar 30 - Apr 5 2020'!D:D,'Week 15 Apr 6 - Apr 12 2020'!D:D,'Week 14 Mar 30 - Apr 5 2020'!C:C,'Week 15 Apr 6 - Apr 12 2020'!C:C)+Table361191013555712141752[[#This Row],[Week Sales]]</f>
        <v>817067</v>
      </c>
      <c r="G16" s="18" t="str">
        <f>(VLOOKUP(D:D,'Week 14 Mar 30 - Apr 5 2020'!D:G,4,FALSE))</f>
        <v>Nintendo</v>
      </c>
      <c r="H16" s="67">
        <f>(VLOOKUP(D:D,'Week 14 Mar 30 - Apr 5 2020'!D:H,5,FALSE))</f>
        <v>43476</v>
      </c>
      <c r="I16" s="12">
        <f>_xlfn.IFNA(SUMIFS('Week 14 Mar 30 - Apr 5 2020'!E:E,'Week 14 Mar 30 - Apr 5 2020'!D:D,'Week 15 Apr 6 - Apr 12 2020'!D:D,'Week 14 Mar 30 - Apr 5 2020'!C:C,'Week 15 Apr 6 - Apr 12 2020'!C:C),"New")</f>
        <v>5027</v>
      </c>
      <c r="J16" s="28">
        <f t="shared" si="0"/>
        <v>0.10443604535508255</v>
      </c>
    </row>
    <row r="17" spans="1:10" x14ac:dyDescent="0.2">
      <c r="A17" s="25">
        <v>16</v>
      </c>
      <c r="B17" s="18">
        <v>13</v>
      </c>
      <c r="C17" s="18" t="s">
        <v>8</v>
      </c>
      <c r="D17" s="47" t="s">
        <v>214</v>
      </c>
      <c r="E17" s="12">
        <v>5306</v>
      </c>
      <c r="F17" s="12">
        <f>SUMIFS('Week 14 Mar 30 - Apr 5 2020'!F:F,'Week 14 Mar 30 - Apr 5 2020'!D:D,'Week 15 Apr 6 - Apr 12 2020'!D:D,'Week 14 Mar 30 - Apr 5 2020'!C:C,'Week 15 Apr 6 - Apr 12 2020'!C:C)+Table361191013555712141752[[#This Row],[Week Sales]]</f>
        <v>141973</v>
      </c>
      <c r="G17" s="18" t="str">
        <f>(VLOOKUP(D:D,'Week 14 Mar 30 - Apr 5 2020'!D:G,4,FALSE))</f>
        <v>Koei Tecmo</v>
      </c>
      <c r="H17" s="67">
        <f>(VLOOKUP(D:D,'Week 14 Mar 30 - Apr 5 2020'!D:H,5,FALSE))</f>
        <v>43902</v>
      </c>
      <c r="I17" s="12">
        <f>_xlfn.IFNA(SUMIFS('Week 14 Mar 30 - Apr 5 2020'!E:E,'Week 14 Mar 30 - Apr 5 2020'!D:D,'Week 15 Apr 6 - Apr 12 2020'!D:D,'Week 14 Mar 30 - Apr 5 2020'!C:C,'Week 15 Apr 6 - Apr 12 2020'!C:C),"New")</f>
        <v>7365</v>
      </c>
      <c r="J17" s="28">
        <f t="shared" si="0"/>
        <v>-0.2795655125594026</v>
      </c>
    </row>
    <row r="18" spans="1:10" x14ac:dyDescent="0.2">
      <c r="A18" s="25">
        <v>17</v>
      </c>
      <c r="B18" s="18">
        <v>18</v>
      </c>
      <c r="C18" s="18" t="s">
        <v>7</v>
      </c>
      <c r="D18" s="47" t="s">
        <v>16</v>
      </c>
      <c r="E18" s="12">
        <v>4046</v>
      </c>
      <c r="F18" s="12">
        <f>SUMIFS('Week 14 Mar 30 - Apr 5 2020'!F:F,'Week 14 Mar 30 - Apr 5 2020'!D:D,'Week 15 Apr 6 - Apr 12 2020'!D:D,'Week 14 Mar 30 - Apr 5 2020'!C:C,'Week 15 Apr 6 - Apr 12 2020'!C:C)+Table361191013555712141752[[#This Row],[Week Sales]]</f>
        <v>194342</v>
      </c>
      <c r="G18" s="18" t="str">
        <f>(VLOOKUP(D:D,'Week 14 Mar 30 - Apr 5 2020'!D:G,4,FALSE))</f>
        <v>Nintendo</v>
      </c>
      <c r="H18" s="67">
        <f>(VLOOKUP(D:D,'Week 14 Mar 30 - Apr 5 2020'!D:H,5,FALSE))</f>
        <v>43826</v>
      </c>
      <c r="I18" s="12">
        <f>_xlfn.IFNA(SUMIFS('Week 14 Mar 30 - Apr 5 2020'!E:E,'Week 14 Mar 30 - Apr 5 2020'!D:D,'Week 15 Apr 6 - Apr 12 2020'!D:D,'Week 14 Mar 30 - Apr 5 2020'!C:C,'Week 15 Apr 6 - Apr 12 2020'!C:C),"New")</f>
        <v>4249</v>
      </c>
      <c r="J18" s="28">
        <f t="shared" si="0"/>
        <v>-4.7775947281713346E-2</v>
      </c>
    </row>
    <row r="19" spans="1:10" x14ac:dyDescent="0.2">
      <c r="A19" s="25">
        <v>18</v>
      </c>
      <c r="B19" s="18">
        <v>17</v>
      </c>
      <c r="C19" s="18" t="s">
        <v>7</v>
      </c>
      <c r="D19" s="47" t="s">
        <v>19</v>
      </c>
      <c r="E19" s="12">
        <v>3880</v>
      </c>
      <c r="F19" s="12">
        <f>SUMIFS('Week 14 Mar 30 - Apr 5 2020'!F:F,'Week 14 Mar 30 - Apr 5 2020'!D:D,'Week 15 Apr 6 - Apr 12 2020'!D:D,'Week 14 Mar 30 - Apr 5 2020'!C:C,'Week 15 Apr 6 - Apr 12 2020'!C:C)+Table361191013555712141752[[#This Row],[Week Sales]]</f>
        <v>891571</v>
      </c>
      <c r="G19" s="18" t="str">
        <f>(VLOOKUP(D:D,'Week 14 Mar 30 - Apr 5 2020'!D:G,4,FALSE))</f>
        <v>Nintendo</v>
      </c>
      <c r="H19" s="67">
        <f>(VLOOKUP(D:D,'Week 14 Mar 30 - Apr 5 2020'!D:H,5,FALSE))</f>
        <v>43644</v>
      </c>
      <c r="I19" s="12">
        <f>_xlfn.IFNA(SUMIFS('Week 14 Mar 30 - Apr 5 2020'!E:E,'Week 14 Mar 30 - Apr 5 2020'!D:D,'Week 15 Apr 6 - Apr 12 2020'!D:D,'Week 14 Mar 30 - Apr 5 2020'!C:C,'Week 15 Apr 6 - Apr 12 2020'!C:C),"New")</f>
        <v>4272</v>
      </c>
      <c r="J19" s="28">
        <f t="shared" si="0"/>
        <v>-9.1760299625468167E-2</v>
      </c>
    </row>
    <row r="20" spans="1:10" x14ac:dyDescent="0.2">
      <c r="A20" s="25">
        <v>19</v>
      </c>
      <c r="B20" s="18">
        <v>19</v>
      </c>
      <c r="C20" s="18" t="s">
        <v>222</v>
      </c>
      <c r="D20" s="47" t="s">
        <v>223</v>
      </c>
      <c r="E20" s="12">
        <v>3876</v>
      </c>
      <c r="F20" s="12">
        <f>SUMIFS('Week 14 Mar 30 - Apr 5 2020'!F:F,'Week 14 Mar 30 - Apr 5 2020'!D:D,'Week 15 Apr 6 - Apr 12 2020'!D:D,'Week 14 Mar 30 - Apr 5 2020'!C:C,'Week 15 Apr 6 - Apr 12 2020'!C:C)+Table361191013555712141752[[#This Row],[Week Sales]]</f>
        <v>492452</v>
      </c>
      <c r="G20" s="18" t="str">
        <f>(VLOOKUP(D:D,'Week 14 Mar 30 - Apr 5 2020'!D:G,4,FALSE))</f>
        <v>Nintendo</v>
      </c>
      <c r="H20" s="67">
        <f>(VLOOKUP(D:D,'Week 14 Mar 30 - Apr 5 2020'!D:H,5,FALSE))</f>
        <v>42697</v>
      </c>
      <c r="I20" s="12">
        <f>_xlfn.IFNA(SUMIFS('Week 14 Mar 30 - Apr 5 2020'!E:E,'Week 14 Mar 30 - Apr 5 2020'!D:D,'Week 15 Apr 6 - Apr 12 2020'!D:D,'Week 14 Mar 30 - Apr 5 2020'!C:C,'Week 15 Apr 6 - Apr 12 2020'!C:C),"New")</f>
        <v>3688</v>
      </c>
      <c r="J20" s="28">
        <f t="shared" si="0"/>
        <v>5.0976138828633402E-2</v>
      </c>
    </row>
    <row r="21" spans="1:10" x14ac:dyDescent="0.2">
      <c r="A21" s="25">
        <v>20</v>
      </c>
      <c r="B21" s="18">
        <v>20</v>
      </c>
      <c r="C21" s="18" t="s">
        <v>7</v>
      </c>
      <c r="D21" s="47" t="s">
        <v>20</v>
      </c>
      <c r="E21" s="12">
        <v>3418</v>
      </c>
      <c r="F21" s="12">
        <f>SUMIFS('Week 14 Mar 30 - Apr 5 2020'!F:F,'Week 14 Mar 30 - Apr 5 2020'!D:D,'Week 15 Apr 6 - Apr 12 2020'!D:D,'Week 14 Mar 30 - Apr 5 2020'!C:C,'Week 15 Apr 6 - Apr 12 2020'!C:C)+Table361191013555712141752[[#This Row],[Week Sales]]</f>
        <v>420917</v>
      </c>
      <c r="G21" s="18" t="str">
        <f>(VLOOKUP(D:D,'Week 14 Mar 30 - Apr 5 2020'!D:G,4,FALSE))</f>
        <v>Bandai Namco</v>
      </c>
      <c r="H21" s="67">
        <f>(VLOOKUP(D:D,'Week 14 Mar 30 - Apr 5 2020'!D:H,5,FALSE))</f>
        <v>43671</v>
      </c>
      <c r="I21" s="12">
        <f>_xlfn.IFNA(SUMIFS('Week 14 Mar 30 - Apr 5 2020'!E:E,'Week 14 Mar 30 - Apr 5 2020'!D:D,'Week 15 Apr 6 - Apr 12 2020'!D:D,'Week 14 Mar 30 - Apr 5 2020'!C:C,'Week 15 Apr 6 - Apr 12 2020'!C:C),"New")</f>
        <v>3583</v>
      </c>
      <c r="J21" s="28">
        <f t="shared" si="0"/>
        <v>-4.6050795422830033E-2</v>
      </c>
    </row>
    <row r="22" spans="1:10" x14ac:dyDescent="0.2">
      <c r="A22" s="25">
        <v>21</v>
      </c>
      <c r="B22" s="18">
        <v>25</v>
      </c>
      <c r="C22" s="18" t="s">
        <v>8</v>
      </c>
      <c r="D22" s="47" t="s">
        <v>99</v>
      </c>
      <c r="E22" s="12">
        <v>3363</v>
      </c>
      <c r="F22" s="12">
        <f>SUMIFS('Week 14 Mar 30 - Apr 5 2020'!F:F,'Week 14 Mar 30 - Apr 5 2020'!D:D,'Week 15 Apr 6 - Apr 12 2020'!D:D,'Week 14 Mar 30 - Apr 5 2020'!C:C,'Week 15 Apr 6 - Apr 12 2020'!C:C)+Table361191013555712141752[[#This Row],[Week Sales]]</f>
        <v>450950</v>
      </c>
      <c r="G22" s="18" t="str">
        <f>(VLOOKUP(D:D,'Week 14 Mar 30 - Apr 5 2020'!D:G,4,FALSE))</f>
        <v>Capcom</v>
      </c>
      <c r="H22" s="67">
        <f>(VLOOKUP(D:D,'Week 14 Mar 30 - Apr 5 2020'!D:H,5,FALSE))</f>
        <v>43714</v>
      </c>
      <c r="I22" s="12">
        <f>_xlfn.IFNA(SUMIFS('Week 14 Mar 30 - Apr 5 2020'!E:E,'Week 14 Mar 30 - Apr 5 2020'!D:D,'Week 15 Apr 6 - Apr 12 2020'!D:D,'Week 14 Mar 30 - Apr 5 2020'!C:C,'Week 15 Apr 6 - Apr 12 2020'!C:C),"New")</f>
        <v>2277</v>
      </c>
      <c r="J22" s="28">
        <f t="shared" si="0"/>
        <v>0.4769433465085639</v>
      </c>
    </row>
    <row r="23" spans="1:10" x14ac:dyDescent="0.2">
      <c r="A23" s="25">
        <v>22</v>
      </c>
      <c r="B23" s="18">
        <v>12</v>
      </c>
      <c r="C23" s="18" t="s">
        <v>7</v>
      </c>
      <c r="D23" s="47" t="s">
        <v>233</v>
      </c>
      <c r="E23" s="12">
        <v>3055</v>
      </c>
      <c r="F23" s="12">
        <f>SUMIFS('Week 14 Mar 30 - Apr 5 2020'!F:F,'Week 14 Mar 30 - Apr 5 2020'!D:D,'Week 15 Apr 6 - Apr 12 2020'!D:D,'Week 14 Mar 30 - Apr 5 2020'!C:C,'Week 15 Apr 6 - Apr 12 2020'!C:C)+Table361191013555712141752[[#This Row],[Week Sales]]</f>
        <v>10640</v>
      </c>
      <c r="G23" s="18" t="str">
        <f>(VLOOKUP(D:D,'Week 14 Mar 30 - Apr 5 2020'!D:G,4,FALSE))</f>
        <v>Bandai Namco</v>
      </c>
      <c r="H23" s="67">
        <f>(VLOOKUP(D:D,'Week 14 Mar 30 - Apr 5 2020'!D:H,5,FALSE))</f>
        <v>43923</v>
      </c>
      <c r="I23" s="12">
        <f>_xlfn.IFNA(SUMIFS('Week 14 Mar 30 - Apr 5 2020'!E:E,'Week 14 Mar 30 - Apr 5 2020'!D:D,'Week 15 Apr 6 - Apr 12 2020'!D:D,'Week 14 Mar 30 - Apr 5 2020'!C:C,'Week 15 Apr 6 - Apr 12 2020'!C:C),"New")</f>
        <v>7585</v>
      </c>
      <c r="J23" s="28">
        <f t="shared" si="0"/>
        <v>-0.59723137771918255</v>
      </c>
    </row>
    <row r="24" spans="1:10" x14ac:dyDescent="0.2">
      <c r="A24" s="25">
        <v>23</v>
      </c>
      <c r="B24" s="18">
        <v>21</v>
      </c>
      <c r="C24" s="18" t="s">
        <v>7</v>
      </c>
      <c r="D24" s="47" t="s">
        <v>79</v>
      </c>
      <c r="E24" s="12">
        <v>3004</v>
      </c>
      <c r="F24" s="12">
        <f>SUMIFS('Week 14 Mar 30 - Apr 5 2020'!F:F,'Week 14 Mar 30 - Apr 5 2020'!D:D,'Week 15 Apr 6 - Apr 12 2020'!D:D,'Week 14 Mar 30 - Apr 5 2020'!C:C,'Week 15 Apr 6 - Apr 12 2020'!C:C)+Table361191013555712141752[[#This Row],[Week Sales]]</f>
        <v>629801</v>
      </c>
      <c r="G24" s="18" t="str">
        <f>(VLOOKUP(D:D,'Week 14 Mar 30 - Apr 5 2020'!D:G,4,FALSE))</f>
        <v>Nintendo</v>
      </c>
      <c r="H24" s="67">
        <f>(VLOOKUP(D:D,'Week 14 Mar 30 - Apr 5 2020'!D:H,5,FALSE))</f>
        <v>43769</v>
      </c>
      <c r="I24" s="12">
        <f>_xlfn.IFNA(SUMIFS('Week 14 Mar 30 - Apr 5 2020'!E:E,'Week 14 Mar 30 - Apr 5 2020'!D:D,'Week 15 Apr 6 - Apr 12 2020'!D:D,'Week 14 Mar 30 - Apr 5 2020'!C:C,'Week 15 Apr 6 - Apr 12 2020'!C:C),"New")</f>
        <v>3317</v>
      </c>
      <c r="J24" s="28">
        <f t="shared" si="0"/>
        <v>-9.4362375640639137E-2</v>
      </c>
    </row>
    <row r="25" spans="1:10" x14ac:dyDescent="0.2">
      <c r="A25" s="25">
        <v>24</v>
      </c>
      <c r="B25" s="18">
        <v>22</v>
      </c>
      <c r="C25" s="18" t="s">
        <v>7</v>
      </c>
      <c r="D25" s="47" t="s">
        <v>80</v>
      </c>
      <c r="E25" s="12">
        <v>2764</v>
      </c>
      <c r="F25" s="12">
        <f>SUMIFS('Week 14 Mar 30 - Apr 5 2020'!F:F,'Week 14 Mar 30 - Apr 5 2020'!D:D,'Week 15 Apr 6 - Apr 12 2020'!D:D,'Week 14 Mar 30 - Apr 5 2020'!C:C,'Week 15 Apr 6 - Apr 12 2020'!C:C)+Table361191013555712141752[[#This Row],[Week Sales]]</f>
        <v>298528</v>
      </c>
      <c r="G25" s="18" t="str">
        <f>(VLOOKUP(D:D,'Week 14 Mar 30 - Apr 5 2020'!D:G,4,FALSE))</f>
        <v>Sega</v>
      </c>
      <c r="H25" s="67">
        <f>(VLOOKUP(D:D,'Week 14 Mar 30 - Apr 5 2020'!D:H,5,FALSE))</f>
        <v>43770</v>
      </c>
      <c r="I25" s="12">
        <f>_xlfn.IFNA(SUMIFS('Week 14 Mar 30 - Apr 5 2020'!E:E,'Week 14 Mar 30 - Apr 5 2020'!D:D,'Week 15 Apr 6 - Apr 12 2020'!D:D,'Week 14 Mar 30 - Apr 5 2020'!C:C,'Week 15 Apr 6 - Apr 12 2020'!C:C),"New")</f>
        <v>2864</v>
      </c>
      <c r="J25" s="28">
        <f t="shared" si="0"/>
        <v>-3.4916201117318434E-2</v>
      </c>
    </row>
    <row r="26" spans="1:10" x14ac:dyDescent="0.2">
      <c r="A26" s="25">
        <v>25</v>
      </c>
      <c r="B26" s="18">
        <v>23</v>
      </c>
      <c r="C26" s="18" t="s">
        <v>7</v>
      </c>
      <c r="D26" s="47" t="s">
        <v>25</v>
      </c>
      <c r="E26" s="12">
        <v>2494</v>
      </c>
      <c r="F26" s="12">
        <f>SUMIFS('Week 14 Mar 30 - Apr 5 2020'!F:F,'Week 14 Mar 30 - Apr 5 2020'!D:D,'Week 15 Apr 6 - Apr 12 2020'!D:D,'Week 14 Mar 30 - Apr 5 2020'!C:C,'Week 15 Apr 6 - Apr 12 2020'!C:C)+Table361191013555712141752[[#This Row],[Week Sales]]</f>
        <v>465408</v>
      </c>
      <c r="G26" s="18" t="str">
        <f>(VLOOKUP(D:D,'Week 14 Mar 30 - Apr 5 2020'!D:G,4,FALSE))</f>
        <v>Bandai Namco</v>
      </c>
      <c r="H26" s="67">
        <f>(VLOOKUP(D:D,'Week 14 Mar 30 - Apr 5 2020'!D:H,5,FALSE))</f>
        <v>43300</v>
      </c>
      <c r="I26" s="12">
        <f>_xlfn.IFNA(SUMIFS('Week 14 Mar 30 - Apr 5 2020'!E:E,'Week 14 Mar 30 - Apr 5 2020'!D:D,'Week 15 Apr 6 - Apr 12 2020'!D:D,'Week 14 Mar 30 - Apr 5 2020'!C:C,'Week 15 Apr 6 - Apr 12 2020'!C:C),"New")</f>
        <v>2528</v>
      </c>
      <c r="J26" s="28"/>
    </row>
    <row r="27" spans="1:10" x14ac:dyDescent="0.2">
      <c r="A27" s="25">
        <v>26</v>
      </c>
      <c r="B27" s="18">
        <v>24</v>
      </c>
      <c r="C27" s="18" t="s">
        <v>7</v>
      </c>
      <c r="D27" s="86" t="s">
        <v>83</v>
      </c>
      <c r="E27" s="12">
        <v>2446</v>
      </c>
      <c r="F27" s="12">
        <f>SUMIFS('Week 14 Mar 30 - Apr 5 2020'!F:F,'Week 14 Mar 30 - Apr 5 2020'!D:D,'Week 15 Apr 6 - Apr 12 2020'!D:D,'Week 14 Mar 30 - Apr 5 2020'!C:C,'Week 15 Apr 6 - Apr 12 2020'!C:C)+Table361191013555712141752[[#This Row],[Week Sales]]</f>
        <v>507628</v>
      </c>
      <c r="G27" s="18" t="str">
        <f>(VLOOKUP(D:D,'Week 14 Mar 30 - Apr 5 2020'!D:G,4,FALSE))</f>
        <v>Square Enix</v>
      </c>
      <c r="H27" s="67">
        <f>(VLOOKUP(D:D,'Week 14 Mar 30 - Apr 5 2020'!D:H,5,FALSE))</f>
        <v>43735</v>
      </c>
      <c r="I27" s="12">
        <f>_xlfn.IFNA(SUMIFS('Week 14 Mar 30 - Apr 5 2020'!E:E,'Week 14 Mar 30 - Apr 5 2020'!D:D,'Week 15 Apr 6 - Apr 12 2020'!D:D,'Week 14 Mar 30 - Apr 5 2020'!C:C,'Week 15 Apr 6 - Apr 12 2020'!C:C),"New")</f>
        <v>2302</v>
      </c>
      <c r="J27" s="28">
        <f t="shared" si="0"/>
        <v>6.2554300608166816E-2</v>
      </c>
    </row>
    <row r="28" spans="1:10" x14ac:dyDescent="0.2">
      <c r="A28" s="35">
        <v>27</v>
      </c>
      <c r="B28" s="31" t="s">
        <v>53</v>
      </c>
      <c r="C28" s="31" t="s">
        <v>8</v>
      </c>
      <c r="D28" s="91" t="s">
        <v>187</v>
      </c>
      <c r="E28" s="33">
        <v>2428</v>
      </c>
      <c r="F28" s="33">
        <v>33310</v>
      </c>
      <c r="G28" s="31" t="str">
        <f>(VLOOKUP(D:D,'Week 3 Jan 13 - Jan 19 2020'!D:G,4,FALSE))</f>
        <v>Rockstar Games</v>
      </c>
      <c r="H28" s="93">
        <f>(VLOOKUP(D:D,'Week 3 Jan 13 - Jan 19 2020'!D:H,5,FALSE))</f>
        <v>43440</v>
      </c>
      <c r="I28" s="33"/>
      <c r="J28" s="97"/>
    </row>
    <row r="29" spans="1:10" x14ac:dyDescent="0.2">
      <c r="A29" s="25">
        <v>28</v>
      </c>
      <c r="B29" s="18">
        <v>27</v>
      </c>
      <c r="C29" s="18" t="s">
        <v>7</v>
      </c>
      <c r="D29" s="47" t="s">
        <v>228</v>
      </c>
      <c r="E29" s="12">
        <v>2399</v>
      </c>
      <c r="F29" s="12">
        <f>SUMIFS('Week 14 Mar 30 - Apr 5 2020'!F:F,'Week 14 Mar 30 - Apr 5 2020'!D:D,'Week 15 Apr 6 - Apr 12 2020'!D:D,'Week 14 Mar 30 - Apr 5 2020'!C:C,'Week 15 Apr 6 - Apr 12 2020'!C:C)+Table361191013555712141752[[#This Row],[Week Sales]]</f>
        <v>89843</v>
      </c>
      <c r="G29" s="18" t="str">
        <f>(VLOOKUP(D:D,'Week 14 Mar 30 - Apr 5 2020'!D:G,4,FALSE))</f>
        <v>Imagineer</v>
      </c>
      <c r="H29" s="67">
        <f>(VLOOKUP(D:D,'Week 14 Mar 30 - Apr 5 2020'!D:H,5,FALSE))</f>
        <v>43454</v>
      </c>
      <c r="I29" s="12">
        <f>_xlfn.IFNA(SUMIFS('Week 14 Mar 30 - Apr 5 2020'!E:E,'Week 14 Mar 30 - Apr 5 2020'!D:D,'Week 15 Apr 6 - Apr 12 2020'!D:D,'Week 14 Mar 30 - Apr 5 2020'!C:C,'Week 15 Apr 6 - Apr 12 2020'!C:C),"New")</f>
        <v>2037</v>
      </c>
      <c r="J29" s="28">
        <f t="shared" si="0"/>
        <v>0.17771232204221896</v>
      </c>
    </row>
    <row r="30" spans="1:10" x14ac:dyDescent="0.2">
      <c r="A30" s="35">
        <v>29</v>
      </c>
      <c r="B30" s="31" t="s">
        <v>53</v>
      </c>
      <c r="C30" s="31" t="s">
        <v>8</v>
      </c>
      <c r="D30" s="52" t="s">
        <v>235</v>
      </c>
      <c r="E30" s="33">
        <v>1872</v>
      </c>
      <c r="F30" s="33">
        <v>14403</v>
      </c>
      <c r="G30" s="31" t="s">
        <v>121</v>
      </c>
      <c r="H30" s="93">
        <v>43812</v>
      </c>
      <c r="I30" s="33"/>
      <c r="J30" s="97"/>
    </row>
    <row r="31" spans="1:10" x14ac:dyDescent="0.2">
      <c r="A31" s="35">
        <v>30</v>
      </c>
      <c r="B31" s="31" t="s">
        <v>53</v>
      </c>
      <c r="C31" s="31" t="s">
        <v>8</v>
      </c>
      <c r="D31" s="52" t="s">
        <v>88</v>
      </c>
      <c r="E31" s="33">
        <v>1840</v>
      </c>
      <c r="F31" s="33">
        <v>234525</v>
      </c>
      <c r="G31" s="31" t="str">
        <f>(VLOOKUP(D:D,'Week 3 Jan 13 - Jan 19 2020'!D:G,4,FALSE))</f>
        <v>Sony</v>
      </c>
      <c r="H31" s="93">
        <f>(VLOOKUP(D:D,'Week 3 Jan 13 - Jan 19 2020'!D:H,5,FALSE))</f>
        <v>43763</v>
      </c>
      <c r="I31" s="33"/>
      <c r="J31" s="97"/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1185988</v>
      </c>
      <c r="F33" s="2"/>
      <c r="I33" s="2"/>
      <c r="J33" s="19"/>
    </row>
    <row r="34" spans="1:10" x14ac:dyDescent="0.2">
      <c r="A34" s="3"/>
      <c r="B34" s="3"/>
      <c r="D34" s="100" t="s">
        <v>178</v>
      </c>
      <c r="E34" s="101">
        <f>SUM('Week 14 Mar 30 - Apr 5 2020'!E34,'Week 15 Apr 6 - Apr 12 2020'!E33)</f>
        <v>8673667</v>
      </c>
      <c r="F34" s="2"/>
      <c r="I34" s="2"/>
      <c r="J34" s="19"/>
    </row>
    <row r="35" spans="1:10" x14ac:dyDescent="0.2">
      <c r="A35" s="3"/>
      <c r="B35" s="3"/>
      <c r="D35" s="2" t="s">
        <v>60</v>
      </c>
      <c r="E35" s="2">
        <f>AVERAGE(E2:E31)</f>
        <v>39532.933333333334</v>
      </c>
      <c r="F35" s="2"/>
      <c r="I35" s="2"/>
      <c r="J35" s="19"/>
    </row>
    <row r="36" spans="1:10" x14ac:dyDescent="0.2">
      <c r="A36" s="3"/>
      <c r="B36" s="3"/>
      <c r="D36" s="9" t="s">
        <v>78</v>
      </c>
      <c r="E36" s="10">
        <f>COUNTIF(B:B,"New")</f>
        <v>1</v>
      </c>
      <c r="F36" s="2"/>
      <c r="I36" s="2"/>
      <c r="J36" s="19"/>
    </row>
    <row r="37" spans="1:10" x14ac:dyDescent="0.2">
      <c r="A37" s="3"/>
      <c r="B37" s="3"/>
      <c r="E37" s="2"/>
      <c r="F37" s="2"/>
      <c r="I37" s="2"/>
      <c r="J37" s="19"/>
    </row>
    <row r="38" spans="1:10" x14ac:dyDescent="0.2">
      <c r="A38" s="3"/>
      <c r="B38" s="3"/>
      <c r="D38" t="s">
        <v>66</v>
      </c>
      <c r="E38" s="2"/>
      <c r="F38" s="2"/>
      <c r="I38" s="2"/>
      <c r="J38" s="19"/>
    </row>
    <row r="39" spans="1:10" x14ac:dyDescent="0.2">
      <c r="A39" s="3"/>
      <c r="B39" s="3"/>
      <c r="D39" s="8" t="s">
        <v>67</v>
      </c>
      <c r="E39" s="2"/>
      <c r="F39" s="2"/>
      <c r="I39" s="2"/>
      <c r="J39" s="19"/>
    </row>
    <row r="40" spans="1:10" x14ac:dyDescent="0.2">
      <c r="A40" s="3"/>
      <c r="B40" s="3"/>
      <c r="D40" s="8" t="s">
        <v>65</v>
      </c>
      <c r="E40" s="2"/>
      <c r="F40" s="2"/>
      <c r="I40" s="2"/>
      <c r="J40" s="19"/>
    </row>
    <row r="41" spans="1:10" x14ac:dyDescent="0.2">
      <c r="D41" s="8" t="s">
        <v>71</v>
      </c>
    </row>
  </sheetData>
  <hyperlinks>
    <hyperlink ref="D41" r:id="rId1" xr:uid="{7AEB8630-0AF9-9B46-8933-26BA9162495C}"/>
    <hyperlink ref="D40" r:id="rId2" xr:uid="{B9E895DD-C90C-3A47-99C0-6B477CE8F404}"/>
    <hyperlink ref="D39" r:id="rId3" xr:uid="{B239D5A7-80F1-FD44-A502-CCAC18441355}"/>
  </hyperlinks>
  <pageMargins left="0.7" right="0.7" top="0.75" bottom="0.75" header="0.3" footer="0.3"/>
  <pageSetup paperSize="9" orientation="portrait" horizontalDpi="0" verticalDpi="0"/>
  <ignoredErrors>
    <ignoredError sqref="F28:H29 F31:H31 F30 G30:H30 G2:I2" calculatedColumn="1"/>
  </ignoredErrors>
  <tableParts count="1">
    <tablePart r:id="rId4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60A79-D0C6-1145-81F5-A18BE0084F56}">
  <dimension ref="A1:J41"/>
  <sheetViews>
    <sheetView workbookViewId="0">
      <selection activeCell="D11" sqref="D2:E11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9.8320312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0" x14ac:dyDescent="0.2">
      <c r="A2" s="25">
        <v>1</v>
      </c>
      <c r="B2" s="18">
        <v>2</v>
      </c>
      <c r="C2" s="18" t="s">
        <v>7</v>
      </c>
      <c r="D2" s="86" t="s">
        <v>46</v>
      </c>
      <c r="E2" s="12">
        <v>286586</v>
      </c>
      <c r="F2" s="12">
        <f>SUMIFS('Week 15 Apr 6 - Apr 12 2020'!F:F,'Week 15 Apr 6 - Apr 12 2020'!D:D,'Week 16 Apr 13 - Apr 19 2020'!D:D,'Week 15 Apr 6 - Apr 12 2020'!C:C,'Week 16 Apr 13 - Apr 19 2020'!C:C)+Table36119101355571214175259[[#This Row],[Week Sales]]</f>
        <v>3611246</v>
      </c>
      <c r="G2" s="18" t="str">
        <f>(VLOOKUP(D:D,'Week 15 Apr 6 - Apr 12 2020'!D:G,4,FALSE))</f>
        <v>Nintendo</v>
      </c>
      <c r="H2" s="67">
        <f>(VLOOKUP(D:D,'Week 15 Apr 6 - Apr 12 2020'!D:H,5,FALSE))</f>
        <v>43910</v>
      </c>
      <c r="I2" s="12">
        <f>_xlfn.IFNA(SUMIFS('Week 15 Apr 6 - Apr 12 2020'!E:E,'Week 15 Apr 6 - Apr 12 2020'!D:D,'Week 16 Apr 13 - Apr 19 2020'!D:D,'Week 15 Apr 6 - Apr 12 2020'!C:C,'Week 16 Apr 13 - Apr 19 2020'!C:C),"New")</f>
        <v>292876</v>
      </c>
      <c r="J2" s="28">
        <f>IFERROR((E2-I2)/I2,"New")</f>
        <v>-2.1476665892732762E-2</v>
      </c>
    </row>
    <row r="3" spans="1:10" x14ac:dyDescent="0.2">
      <c r="A3" s="25">
        <v>2</v>
      </c>
      <c r="B3" s="18">
        <v>1</v>
      </c>
      <c r="C3" s="18" t="s">
        <v>8</v>
      </c>
      <c r="D3" s="18" t="s">
        <v>234</v>
      </c>
      <c r="E3" s="12">
        <v>70652</v>
      </c>
      <c r="F3" s="12">
        <f>SUMIFS('Week 15 Apr 6 - Apr 12 2020'!F:F,'Week 15 Apr 6 - Apr 12 2020'!D:D,'Week 16 Apr 13 - Apr 19 2020'!D:D,'Week 15 Apr 6 - Apr 12 2020'!C:C,'Week 16 Apr 13 - Apr 19 2020'!C:C)+Table36119101355571214175259[[#This Row],[Week Sales]]</f>
        <v>773505</v>
      </c>
      <c r="G3" s="18" t="str">
        <f>(VLOOKUP(D:D,'Week 15 Apr 6 - Apr 12 2020'!D:G,4,FALSE))</f>
        <v>Square Enix</v>
      </c>
      <c r="H3" s="67">
        <f>(VLOOKUP(D:D,'Week 15 Apr 6 - Apr 12 2020'!D:H,5,FALSE))</f>
        <v>43931</v>
      </c>
      <c r="I3" s="12">
        <f>_xlfn.IFNA(SUMIFS('Week 15 Apr 6 - Apr 12 2020'!E:E,'Week 15 Apr 6 - Apr 12 2020'!D:D,'Week 16 Apr 13 - Apr 19 2020'!D:D,'Week 15 Apr 6 - Apr 12 2020'!C:C,'Week 16 Apr 13 - Apr 19 2020'!C:C),"New")</f>
        <v>702853</v>
      </c>
      <c r="J3" s="28">
        <f t="shared" ref="J3:J31" si="0">IFERROR((E3-I3)/I3,"New")</f>
        <v>-0.89947826928248154</v>
      </c>
    </row>
    <row r="4" spans="1:10" x14ac:dyDescent="0.2">
      <c r="A4" s="25">
        <v>3</v>
      </c>
      <c r="B4" s="18">
        <v>4</v>
      </c>
      <c r="C4" s="18" t="s">
        <v>7</v>
      </c>
      <c r="D4" s="47" t="s">
        <v>49</v>
      </c>
      <c r="E4" s="12">
        <v>13313</v>
      </c>
      <c r="F4" s="12">
        <f>SUMIFS('Week 15 Apr 6 - Apr 12 2020'!F:F,'Week 15 Apr 6 - Apr 12 2020'!D:D,'Week 16 Apr 13 - Apr 19 2020'!D:D,'Week 15 Apr 6 - Apr 12 2020'!C:C,'Week 16 Apr 13 - Apr 19 2020'!C:C)+Table36119101355571214175259[[#This Row],[Week Sales]]</f>
        <v>2882585</v>
      </c>
      <c r="G4" s="18" t="str">
        <f>(VLOOKUP(D:D,'Week 15 Apr 6 - Apr 12 2020'!D:G,4,FALSE))</f>
        <v>Nintendo</v>
      </c>
      <c r="H4" s="67">
        <f>(VLOOKUP(D:D,'Week 15 Apr 6 - Apr 12 2020'!D:H,5,FALSE))</f>
        <v>42853</v>
      </c>
      <c r="I4" s="12">
        <f>_xlfn.IFNA(SUMIFS('Week 15 Apr 6 - Apr 12 2020'!E:E,'Week 15 Apr 6 - Apr 12 2020'!D:D,'Week 16 Apr 13 - Apr 19 2020'!D:D,'Week 15 Apr 6 - Apr 12 2020'!C:C,'Week 16 Apr 13 - Apr 19 2020'!C:C),"New")</f>
        <v>14171</v>
      </c>
      <c r="J4" s="28">
        <f t="shared" si="0"/>
        <v>-6.0546185872556627E-2</v>
      </c>
    </row>
    <row r="5" spans="1:10" x14ac:dyDescent="0.2">
      <c r="A5" s="25">
        <v>4</v>
      </c>
      <c r="B5" s="18">
        <v>3</v>
      </c>
      <c r="C5" s="18" t="s">
        <v>8</v>
      </c>
      <c r="D5" s="47" t="s">
        <v>232</v>
      </c>
      <c r="E5" s="12">
        <v>12247</v>
      </c>
      <c r="F5" s="12">
        <f>SUMIFS('Week 15 Apr 6 - Apr 12 2020'!F:F,'Week 15 Apr 6 - Apr 12 2020'!D:D,'Week 16 Apr 13 - Apr 19 2020'!D:D,'Week 15 Apr 6 - Apr 12 2020'!C:C,'Week 16 Apr 13 - Apr 19 2020'!C:C)+Table36119101355571214175259[[#This Row],[Week Sales]]</f>
        <v>236435</v>
      </c>
      <c r="G5" s="18" t="str">
        <f>(VLOOKUP(D:D,'Week 15 Apr 6 - Apr 12 2020'!D:G,4,FALSE))</f>
        <v>Capcom</v>
      </c>
      <c r="H5" s="67">
        <f>(VLOOKUP(D:D,'Week 15 Apr 6 - Apr 12 2020'!D:H,5,FALSE))</f>
        <v>43924</v>
      </c>
      <c r="I5" s="12">
        <f>_xlfn.IFNA(SUMIFS('Week 15 Apr 6 - Apr 12 2020'!E:E,'Week 15 Apr 6 - Apr 12 2020'!D:D,'Week 16 Apr 13 - Apr 19 2020'!D:D,'Week 15 Apr 6 - Apr 12 2020'!C:C,'Week 16 Apr 13 - Apr 19 2020'!C:C),"New")</f>
        <v>34698</v>
      </c>
      <c r="J5" s="28">
        <f t="shared" si="0"/>
        <v>-0.6470401752262378</v>
      </c>
    </row>
    <row r="6" spans="1:10" x14ac:dyDescent="0.2">
      <c r="A6" s="25">
        <v>5</v>
      </c>
      <c r="B6" s="18">
        <v>7</v>
      </c>
      <c r="C6" s="18" t="s">
        <v>7</v>
      </c>
      <c r="D6" s="47" t="s">
        <v>52</v>
      </c>
      <c r="E6" s="12">
        <v>9034</v>
      </c>
      <c r="F6" s="12">
        <f>SUMIFS('Week 15 Apr 6 - Apr 12 2020'!F:F,'Week 15 Apr 6 - Apr 12 2020'!D:D,'Week 16 Apr 13 - Apr 19 2020'!D:D,'Week 15 Apr 6 - Apr 12 2020'!C:C,'Week 16 Apr 13 - Apr 19 2020'!C:C)+Table36119101355571214175259[[#This Row],[Week Sales]]</f>
        <v>3655868</v>
      </c>
      <c r="G6" s="18" t="str">
        <f>(VLOOKUP(D:D,'Week 15 Apr 6 - Apr 12 2020'!D:G,4,FALSE))</f>
        <v>Nintendo</v>
      </c>
      <c r="H6" s="67">
        <f>(VLOOKUP(D:D,'Week 15 Apr 6 - Apr 12 2020'!D:H,5,FALSE))</f>
        <v>43441</v>
      </c>
      <c r="I6" s="12">
        <f>_xlfn.IFNA(SUMIFS('Week 15 Apr 6 - Apr 12 2020'!E:E,'Week 15 Apr 6 - Apr 12 2020'!D:D,'Week 16 Apr 13 - Apr 19 2020'!D:D,'Week 15 Apr 6 - Apr 12 2020'!C:C,'Week 16 Apr 13 - Apr 19 2020'!C:C),"New")</f>
        <v>11303</v>
      </c>
      <c r="J6" s="28">
        <f t="shared" si="0"/>
        <v>-0.20074316553127489</v>
      </c>
    </row>
    <row r="7" spans="1:10" x14ac:dyDescent="0.2">
      <c r="A7" s="25">
        <v>6</v>
      </c>
      <c r="B7" s="18">
        <v>5</v>
      </c>
      <c r="C7" s="18" t="s">
        <v>8</v>
      </c>
      <c r="D7" s="47" t="s">
        <v>221</v>
      </c>
      <c r="E7" s="12">
        <v>8682</v>
      </c>
      <c r="F7" s="12">
        <f>SUMIFS('Week 15 Apr 6 - Apr 12 2020'!F:F,'Week 15 Apr 6 - Apr 12 2020'!D:D,'Week 16 Apr 13 - Apr 19 2020'!D:D,'Week 15 Apr 6 - Apr 12 2020'!C:C,'Week 16 Apr 13 - Apr 19 2020'!C:C)+Table36119101355571214175259[[#This Row],[Week Sales]]</f>
        <v>116217</v>
      </c>
      <c r="G7" s="18" t="str">
        <f>(VLOOKUP(D:D,'Week 15 Apr 6 - Apr 12 2020'!D:G,4,FALSE))</f>
        <v>Bandai Namco</v>
      </c>
      <c r="H7" s="67">
        <f>(VLOOKUP(D:D,'Week 15 Apr 6 - Apr 12 2020'!D:H,5,FALSE))</f>
        <v>43916</v>
      </c>
      <c r="I7" s="12">
        <f>_xlfn.IFNA(SUMIFS('Week 15 Apr 6 - Apr 12 2020'!E:E,'Week 15 Apr 6 - Apr 12 2020'!D:D,'Week 16 Apr 13 - Apr 19 2020'!D:D,'Week 15 Apr 6 - Apr 12 2020'!C:C,'Week 16 Apr 13 - Apr 19 2020'!C:C),"New")</f>
        <v>13204</v>
      </c>
      <c r="J7" s="28">
        <f t="shared" si="0"/>
        <v>-0.34247197818842773</v>
      </c>
    </row>
    <row r="8" spans="1:10" x14ac:dyDescent="0.2">
      <c r="A8" s="25">
        <v>7</v>
      </c>
      <c r="B8" s="18">
        <v>6</v>
      </c>
      <c r="C8" s="18" t="s">
        <v>7</v>
      </c>
      <c r="D8" s="47" t="s">
        <v>221</v>
      </c>
      <c r="E8" s="12">
        <v>8080</v>
      </c>
      <c r="F8" s="12">
        <f>SUMIFS('Week 15 Apr 6 - Apr 12 2020'!F:F,'Week 15 Apr 6 - Apr 12 2020'!D:D,'Week 16 Apr 13 - Apr 19 2020'!D:D,'Week 15 Apr 6 - Apr 12 2020'!C:C,'Week 16 Apr 13 - Apr 19 2020'!C:C)+Table36119101355571214175259[[#This Row],[Week Sales]]</f>
        <v>98912</v>
      </c>
      <c r="G8" s="18" t="str">
        <f>(VLOOKUP(D:D,'Week 15 Apr 6 - Apr 12 2020'!D:G,4,FALSE))</f>
        <v>Bandai Namco</v>
      </c>
      <c r="H8" s="67">
        <f>(VLOOKUP(D:D,'Week 15 Apr 6 - Apr 12 2020'!D:H,5,FALSE))</f>
        <v>43916</v>
      </c>
      <c r="I8" s="12">
        <f>_xlfn.IFNA(SUMIFS('Week 15 Apr 6 - Apr 12 2020'!E:E,'Week 15 Apr 6 - Apr 12 2020'!D:D,'Week 16 Apr 13 - Apr 19 2020'!D:D,'Week 15 Apr 6 - Apr 12 2020'!C:C,'Week 16 Apr 13 - Apr 19 2020'!C:C),"New")</f>
        <v>11921</v>
      </c>
      <c r="J8" s="28">
        <f t="shared" si="0"/>
        <v>-0.32220451304420772</v>
      </c>
    </row>
    <row r="9" spans="1:10" x14ac:dyDescent="0.2">
      <c r="A9" s="25">
        <v>8</v>
      </c>
      <c r="B9" s="18">
        <v>10</v>
      </c>
      <c r="C9" s="18" t="s">
        <v>7</v>
      </c>
      <c r="D9" s="47" t="s">
        <v>13</v>
      </c>
      <c r="E9" s="12">
        <v>8005</v>
      </c>
      <c r="F9" s="12">
        <f>SUMIFS('Week 15 Apr 6 - Apr 12 2020'!F:F,'Week 15 Apr 6 - Apr 12 2020'!D:D,'Week 16 Apr 13 - Apr 19 2020'!D:D,'Week 15 Apr 6 - Apr 12 2020'!C:C,'Week 16 Apr 13 - Apr 19 2020'!C:C)+Table36119101355571214175259[[#This Row],[Week Sales]]</f>
        <v>1406903</v>
      </c>
      <c r="G9" s="18" t="str">
        <f>(VLOOKUP(D:D,'Week 15 Apr 6 - Apr 12 2020'!D:G,4,FALSE))</f>
        <v>Nintendo</v>
      </c>
      <c r="H9" s="67">
        <f>(VLOOKUP(D:D,'Week 15 Apr 6 - Apr 12 2020'!D:H,5,FALSE))</f>
        <v>43378</v>
      </c>
      <c r="I9" s="12">
        <f>_xlfn.IFNA(SUMIFS('Week 15 Apr 6 - Apr 12 2020'!E:E,'Week 15 Apr 6 - Apr 12 2020'!D:D,'Week 16 Apr 13 - Apr 19 2020'!D:D,'Week 15 Apr 6 - Apr 12 2020'!C:C,'Week 16 Apr 13 - Apr 19 2020'!C:C),"New")</f>
        <v>8755</v>
      </c>
      <c r="J9" s="28">
        <f t="shared" si="0"/>
        <v>-8.5665334094802967E-2</v>
      </c>
    </row>
    <row r="10" spans="1:10" x14ac:dyDescent="0.2">
      <c r="A10" s="25">
        <v>9</v>
      </c>
      <c r="B10" s="18">
        <v>9</v>
      </c>
      <c r="C10" s="18" t="s">
        <v>7</v>
      </c>
      <c r="D10" s="47" t="s">
        <v>62</v>
      </c>
      <c r="E10" s="12">
        <v>7915</v>
      </c>
      <c r="F10" s="12">
        <f>SUMIFS('Week 15 Apr 6 - Apr 12 2020'!F:F,'Week 15 Apr 6 - Apr 12 2020'!D:D,'Week 16 Apr 13 - Apr 19 2020'!D:D,'Week 15 Apr 6 - Apr 12 2020'!C:C,'Week 16 Apr 13 - Apr 19 2020'!C:C)+Table36119101355571214175259[[#This Row],[Week Sales]]</f>
        <v>3570493</v>
      </c>
      <c r="G10" s="18" t="str">
        <f>(VLOOKUP(D:D,'Week 15 Apr 6 - Apr 12 2020'!D:G,4,FALSE))</f>
        <v>The Pokemon Company</v>
      </c>
      <c r="H10" s="67">
        <f>(VLOOKUP(D:D,'Week 15 Apr 6 - Apr 12 2020'!D:H,5,FALSE))</f>
        <v>43784</v>
      </c>
      <c r="I10" s="12">
        <f>_xlfn.IFNA(SUMIFS('Week 15 Apr 6 - Apr 12 2020'!E:E,'Week 15 Apr 6 - Apr 12 2020'!D:D,'Week 16 Apr 13 - Apr 19 2020'!D:D,'Week 15 Apr 6 - Apr 12 2020'!C:C,'Week 16 Apr 13 - Apr 19 2020'!C:C),"New")</f>
        <v>9037</v>
      </c>
      <c r="J10" s="28">
        <f t="shared" si="0"/>
        <v>-0.12415624654199403</v>
      </c>
    </row>
    <row r="11" spans="1:10" x14ac:dyDescent="0.2">
      <c r="A11" s="25">
        <v>10</v>
      </c>
      <c r="B11" s="18">
        <v>11</v>
      </c>
      <c r="C11" s="18" t="s">
        <v>7</v>
      </c>
      <c r="D11" s="47" t="s">
        <v>12</v>
      </c>
      <c r="E11" s="12">
        <v>7154</v>
      </c>
      <c r="F11" s="12">
        <f>SUMIFS('Week 15 Apr 6 - Apr 12 2020'!F:F,'Week 15 Apr 6 - Apr 12 2020'!D:D,'Week 16 Apr 13 - Apr 19 2020'!D:D,'Week 15 Apr 6 - Apr 12 2020'!C:C,'Week 16 Apr 13 - Apr 19 2020'!C:C)+Table36119101355571214175259[[#This Row],[Week Sales]]</f>
        <v>1356230</v>
      </c>
      <c r="G11" s="18" t="str">
        <f>(VLOOKUP(D:D,'Week 15 Apr 6 - Apr 12 2020'!D:G,4,FALSE))</f>
        <v>Microsoft</v>
      </c>
      <c r="H11" s="67">
        <f>(VLOOKUP(D:D,'Week 15 Apr 6 - Apr 12 2020'!D:H,5,FALSE))</f>
        <v>43272</v>
      </c>
      <c r="I11" s="12">
        <f>_xlfn.IFNA(SUMIFS('Week 15 Apr 6 - Apr 12 2020'!E:E,'Week 15 Apr 6 - Apr 12 2020'!D:D,'Week 16 Apr 13 - Apr 19 2020'!D:D,'Week 15 Apr 6 - Apr 12 2020'!C:C,'Week 16 Apr 13 - Apr 19 2020'!C:C),"New")</f>
        <v>8192</v>
      </c>
      <c r="J11" s="28">
        <f t="shared" si="0"/>
        <v>-0.126708984375</v>
      </c>
    </row>
    <row r="12" spans="1:10" x14ac:dyDescent="0.2">
      <c r="A12" s="25">
        <v>11</v>
      </c>
      <c r="B12" s="18">
        <v>13</v>
      </c>
      <c r="C12" s="18" t="s">
        <v>7</v>
      </c>
      <c r="D12" s="47" t="s">
        <v>10</v>
      </c>
      <c r="E12" s="12">
        <v>5998</v>
      </c>
      <c r="F12" s="12">
        <f>SUMIFS('Week 15 Apr 6 - Apr 12 2020'!F:F,'Week 15 Apr 6 - Apr 12 2020'!D:D,'Week 16 Apr 13 - Apr 19 2020'!D:D,'Week 15 Apr 6 - Apr 12 2020'!C:C,'Week 16 Apr 13 - Apr 19 2020'!C:C)+Table36119101355571214175259[[#This Row],[Week Sales]]</f>
        <v>3374913</v>
      </c>
      <c r="G12" s="18" t="str">
        <f>(VLOOKUP(D:D,'Week 15 Apr 6 - Apr 12 2020'!D:G,4,FALSE))</f>
        <v>Nintendo</v>
      </c>
      <c r="H12" s="67">
        <f>(VLOOKUP(D:D,'Week 15 Apr 6 - Apr 12 2020'!D:H,5,FALSE))</f>
        <v>42937</v>
      </c>
      <c r="I12" s="12">
        <f>_xlfn.IFNA(SUMIFS('Week 15 Apr 6 - Apr 12 2020'!E:E,'Week 15 Apr 6 - Apr 12 2020'!D:D,'Week 16 Apr 13 - Apr 19 2020'!D:D,'Week 15 Apr 6 - Apr 12 2020'!C:C,'Week 16 Apr 13 - Apr 19 2020'!C:C),"New")</f>
        <v>5954</v>
      </c>
      <c r="J12" s="28">
        <f t="shared" si="0"/>
        <v>7.3899899227410143E-3</v>
      </c>
    </row>
    <row r="13" spans="1:10" x14ac:dyDescent="0.2">
      <c r="A13" s="25">
        <v>12</v>
      </c>
      <c r="B13" s="18">
        <v>15</v>
      </c>
      <c r="C13" s="18" t="s">
        <v>7</v>
      </c>
      <c r="D13" s="47" t="s">
        <v>17</v>
      </c>
      <c r="E13" s="12">
        <v>4705</v>
      </c>
      <c r="F13" s="12">
        <f>SUMIFS('Week 15 Apr 6 - Apr 12 2020'!F:F,'Week 15 Apr 6 - Apr 12 2020'!D:D,'Week 16 Apr 13 - Apr 19 2020'!D:D,'Week 15 Apr 6 - Apr 12 2020'!C:C,'Week 16 Apr 13 - Apr 19 2020'!C:C)+Table36119101355571214175259[[#This Row],[Week Sales]]</f>
        <v>821772</v>
      </c>
      <c r="G13" s="18" t="str">
        <f>(VLOOKUP(D:D,'Week 15 Apr 6 - Apr 12 2020'!D:G,4,FALSE))</f>
        <v>Nintendo</v>
      </c>
      <c r="H13" s="67">
        <f>(VLOOKUP(D:D,'Week 15 Apr 6 - Apr 12 2020'!D:H,5,FALSE))</f>
        <v>43476</v>
      </c>
      <c r="I13" s="12">
        <f>_xlfn.IFNA(SUMIFS('Week 15 Apr 6 - Apr 12 2020'!E:E,'Week 15 Apr 6 - Apr 12 2020'!D:D,'Week 16 Apr 13 - Apr 19 2020'!D:D,'Week 15 Apr 6 - Apr 12 2020'!C:C,'Week 16 Apr 13 - Apr 19 2020'!C:C),"New")</f>
        <v>5552</v>
      </c>
      <c r="J13" s="28">
        <f t="shared" si="0"/>
        <v>-0.15255763688760807</v>
      </c>
    </row>
    <row r="14" spans="1:10" x14ac:dyDescent="0.2">
      <c r="A14" s="25">
        <v>13</v>
      </c>
      <c r="B14" s="18">
        <v>12</v>
      </c>
      <c r="C14" s="18" t="s">
        <v>7</v>
      </c>
      <c r="D14" s="47" t="s">
        <v>209</v>
      </c>
      <c r="E14" s="12">
        <v>4621</v>
      </c>
      <c r="F14" s="12">
        <f>SUMIFS('Week 15 Apr 6 - Apr 12 2020'!F:F,'Week 15 Apr 6 - Apr 12 2020'!D:D,'Week 16 Apr 13 - Apr 19 2020'!D:D,'Week 15 Apr 6 - Apr 12 2020'!C:C,'Week 16 Apr 13 - Apr 19 2020'!C:C)+Table36119101355571214175259[[#This Row],[Week Sales]]</f>
        <v>237956</v>
      </c>
      <c r="G14" s="18" t="str">
        <f>(VLOOKUP(D:D,'Week 15 Apr 6 - Apr 12 2020'!D:G,4,FALSE))</f>
        <v>The Pokemon Company</v>
      </c>
      <c r="H14" s="67">
        <f>(VLOOKUP(D:D,'Week 15 Apr 6 - Apr 12 2020'!D:H,5,FALSE))</f>
        <v>43896</v>
      </c>
      <c r="I14" s="12">
        <f>_xlfn.IFNA(SUMIFS('Week 15 Apr 6 - Apr 12 2020'!E:E,'Week 15 Apr 6 - Apr 12 2020'!D:D,'Week 16 Apr 13 - Apr 19 2020'!D:D,'Week 15 Apr 6 - Apr 12 2020'!C:C,'Week 16 Apr 13 - Apr 19 2020'!C:C),"New")</f>
        <v>6385</v>
      </c>
      <c r="J14" s="28">
        <f t="shared" si="0"/>
        <v>-0.27627251370399375</v>
      </c>
    </row>
    <row r="15" spans="1:10" x14ac:dyDescent="0.2">
      <c r="A15" s="25">
        <v>14</v>
      </c>
      <c r="B15" s="18">
        <v>16</v>
      </c>
      <c r="C15" s="18" t="s">
        <v>8</v>
      </c>
      <c r="D15" s="47" t="s">
        <v>214</v>
      </c>
      <c r="E15" s="12">
        <v>4410</v>
      </c>
      <c r="F15" s="12">
        <f>SUMIFS('Week 15 Apr 6 - Apr 12 2020'!F:F,'Week 15 Apr 6 - Apr 12 2020'!D:D,'Week 16 Apr 13 - Apr 19 2020'!D:D,'Week 15 Apr 6 - Apr 12 2020'!C:C,'Week 16 Apr 13 - Apr 19 2020'!C:C)+Table36119101355571214175259[[#This Row],[Week Sales]]</f>
        <v>146383</v>
      </c>
      <c r="G15" s="18" t="str">
        <f>(VLOOKUP(D:D,'Week 15 Apr 6 - Apr 12 2020'!D:G,4,FALSE))</f>
        <v>Koei Tecmo</v>
      </c>
      <c r="H15" s="67">
        <f>(VLOOKUP(D:D,'Week 15 Apr 6 - Apr 12 2020'!D:H,5,FALSE))</f>
        <v>43902</v>
      </c>
      <c r="I15" s="12">
        <f>_xlfn.IFNA(SUMIFS('Week 15 Apr 6 - Apr 12 2020'!E:E,'Week 15 Apr 6 - Apr 12 2020'!D:D,'Week 16 Apr 13 - Apr 19 2020'!D:D,'Week 15 Apr 6 - Apr 12 2020'!C:C,'Week 16 Apr 13 - Apr 19 2020'!C:C),"New")</f>
        <v>5306</v>
      </c>
      <c r="J15" s="28">
        <f t="shared" si="0"/>
        <v>-0.16886543535620052</v>
      </c>
    </row>
    <row r="16" spans="1:10" x14ac:dyDescent="0.2">
      <c r="A16" s="25">
        <v>15</v>
      </c>
      <c r="B16" s="18">
        <v>14</v>
      </c>
      <c r="C16" s="18" t="s">
        <v>7</v>
      </c>
      <c r="D16" s="47" t="s">
        <v>39</v>
      </c>
      <c r="E16" s="12">
        <v>4332</v>
      </c>
      <c r="F16" s="12">
        <f>SUMIFS('Week 15 Apr 6 - Apr 12 2020'!F:F,'Week 15 Apr 6 - Apr 12 2020'!D:D,'Week 16 Apr 13 - Apr 19 2020'!D:D,'Week 15 Apr 6 - Apr 12 2020'!C:C,'Week 16 Apr 13 - Apr 19 2020'!C:C)+Table36119101355571214175259[[#This Row],[Week Sales]]</f>
        <v>1565762</v>
      </c>
      <c r="G16" s="18" t="str">
        <f>(VLOOKUP(D:D,'Week 15 Apr 6 - Apr 12 2020'!D:G,4,FALSE))</f>
        <v>Nintendo</v>
      </c>
      <c r="H16" s="67">
        <f>(VLOOKUP(D:D,'Week 15 Apr 6 - Apr 12 2020'!D:H,5,FALSE))</f>
        <v>42797</v>
      </c>
      <c r="I16" s="12">
        <f>_xlfn.IFNA(SUMIFS('Week 15 Apr 6 - Apr 12 2020'!E:E,'Week 15 Apr 6 - Apr 12 2020'!D:D,'Week 16 Apr 13 - Apr 19 2020'!D:D,'Week 15 Apr 6 - Apr 12 2020'!C:C,'Week 16 Apr 13 - Apr 19 2020'!C:C),"New")</f>
        <v>5647</v>
      </c>
      <c r="J16" s="28">
        <f t="shared" si="0"/>
        <v>-0.23286700903134408</v>
      </c>
    </row>
    <row r="17" spans="1:10" x14ac:dyDescent="0.2">
      <c r="A17" s="13">
        <v>16</v>
      </c>
      <c r="B17" s="9" t="s">
        <v>36</v>
      </c>
      <c r="C17" s="9" t="s">
        <v>7</v>
      </c>
      <c r="D17" s="46" t="s">
        <v>236</v>
      </c>
      <c r="E17" s="10">
        <v>4302</v>
      </c>
      <c r="F17" s="10">
        <f>SUMIFS('Week 15 Apr 6 - Apr 12 2020'!F:F,'Week 15 Apr 6 - Apr 12 2020'!D:D,'Week 16 Apr 13 - Apr 19 2020'!D:D,'Week 15 Apr 6 - Apr 12 2020'!C:C,'Week 16 Apr 13 - Apr 19 2020'!C:C)+Table36119101355571214175259[[#This Row],[Week Sales]]</f>
        <v>4302</v>
      </c>
      <c r="G17" s="9" t="s">
        <v>43</v>
      </c>
      <c r="H17" s="14">
        <v>43937</v>
      </c>
      <c r="I17" s="10" t="s">
        <v>36</v>
      </c>
      <c r="J17" s="92" t="str">
        <f t="shared" si="0"/>
        <v>New</v>
      </c>
    </row>
    <row r="18" spans="1:10" x14ac:dyDescent="0.2">
      <c r="A18" s="25">
        <v>17</v>
      </c>
      <c r="B18" s="18">
        <v>21</v>
      </c>
      <c r="C18" s="18" t="s">
        <v>8</v>
      </c>
      <c r="D18" s="47" t="s">
        <v>99</v>
      </c>
      <c r="E18" s="12">
        <v>3774</v>
      </c>
      <c r="F18" s="12">
        <f>SUMIFS('Week 15 Apr 6 - Apr 12 2020'!F:F,'Week 15 Apr 6 - Apr 12 2020'!D:D,'Week 16 Apr 13 - Apr 19 2020'!D:D,'Week 15 Apr 6 - Apr 12 2020'!C:C,'Week 16 Apr 13 - Apr 19 2020'!C:C)+Table36119101355571214175259[[#This Row],[Week Sales]]</f>
        <v>454724</v>
      </c>
      <c r="G18" s="18" t="str">
        <f>(VLOOKUP(D:D,'Week 15 Apr 6 - Apr 12 2020'!D:G,4,FALSE))</f>
        <v>Capcom</v>
      </c>
      <c r="H18" s="67">
        <f>(VLOOKUP(D:D,'Week 15 Apr 6 - Apr 12 2020'!D:H,5,FALSE))</f>
        <v>43714</v>
      </c>
      <c r="I18" s="12">
        <f>_xlfn.IFNA(SUMIFS('Week 15 Apr 6 - Apr 12 2020'!E:E,'Week 15 Apr 6 - Apr 12 2020'!D:D,'Week 16 Apr 13 - Apr 19 2020'!D:D,'Week 15 Apr 6 - Apr 12 2020'!C:C,'Week 16 Apr 13 - Apr 19 2020'!C:C),"New")</f>
        <v>3363</v>
      </c>
      <c r="J18" s="28">
        <f t="shared" si="0"/>
        <v>0.12221231043710973</v>
      </c>
    </row>
    <row r="19" spans="1:10" x14ac:dyDescent="0.2">
      <c r="A19" s="25">
        <v>18</v>
      </c>
      <c r="B19" s="18">
        <v>24</v>
      </c>
      <c r="C19" s="18" t="s">
        <v>7</v>
      </c>
      <c r="D19" s="47" t="s">
        <v>80</v>
      </c>
      <c r="E19" s="12">
        <v>3757</v>
      </c>
      <c r="F19" s="12">
        <f>SUMIFS('Week 15 Apr 6 - Apr 12 2020'!F:F,'Week 15 Apr 6 - Apr 12 2020'!D:D,'Week 16 Apr 13 - Apr 19 2020'!D:D,'Week 15 Apr 6 - Apr 12 2020'!C:C,'Week 16 Apr 13 - Apr 19 2020'!C:C)+Table36119101355571214175259[[#This Row],[Week Sales]]</f>
        <v>302285</v>
      </c>
      <c r="G19" s="18" t="str">
        <f>(VLOOKUP(D:D,'Week 15 Apr 6 - Apr 12 2020'!D:G,4,FALSE))</f>
        <v>Sega</v>
      </c>
      <c r="H19" s="67">
        <f>(VLOOKUP(D:D,'Week 15 Apr 6 - Apr 12 2020'!D:H,5,FALSE))</f>
        <v>43770</v>
      </c>
      <c r="I19" s="12">
        <f>_xlfn.IFNA(SUMIFS('Week 15 Apr 6 - Apr 12 2020'!E:E,'Week 15 Apr 6 - Apr 12 2020'!D:D,'Week 16 Apr 13 - Apr 19 2020'!D:D,'Week 15 Apr 6 - Apr 12 2020'!C:C,'Week 16 Apr 13 - Apr 19 2020'!C:C),"New")</f>
        <v>2764</v>
      </c>
      <c r="J19" s="28">
        <f t="shared" si="0"/>
        <v>0.3592619392185239</v>
      </c>
    </row>
    <row r="20" spans="1:10" x14ac:dyDescent="0.2">
      <c r="A20" s="25">
        <v>19</v>
      </c>
      <c r="B20" s="18">
        <v>8</v>
      </c>
      <c r="C20" s="18" t="s">
        <v>7</v>
      </c>
      <c r="D20" s="47" t="s">
        <v>45</v>
      </c>
      <c r="E20" s="12">
        <v>3720</v>
      </c>
      <c r="F20" s="12">
        <f>SUMIFS('Week 15 Apr 6 - Apr 12 2020'!F:F,'Week 15 Apr 6 - Apr 12 2020'!D:D,'Week 16 Apr 13 - Apr 19 2020'!D:D,'Week 15 Apr 6 - Apr 12 2020'!C:C,'Week 16 Apr 13 - Apr 19 2020'!C:C)+Table36119101355571214175259[[#This Row],[Week Sales]]</f>
        <v>766592</v>
      </c>
      <c r="G20" s="18" t="str">
        <f>(VLOOKUP(D:D,'Week 15 Apr 6 - Apr 12 2020'!D:G,4,FALSE))</f>
        <v>Nintendo</v>
      </c>
      <c r="H20" s="67">
        <f>(VLOOKUP(D:D,'Week 15 Apr 6 - Apr 12 2020'!D:H,5,FALSE))</f>
        <v>43756</v>
      </c>
      <c r="I20" s="12">
        <f>_xlfn.IFNA(SUMIFS('Week 15 Apr 6 - Apr 12 2020'!E:E,'Week 15 Apr 6 - Apr 12 2020'!D:D,'Week 16 Apr 13 - Apr 19 2020'!D:D,'Week 15 Apr 6 - Apr 12 2020'!C:C,'Week 16 Apr 13 - Apr 19 2020'!C:C),"New")</f>
        <v>9249</v>
      </c>
      <c r="J20" s="28">
        <f t="shared" si="0"/>
        <v>-0.59779435614661047</v>
      </c>
    </row>
    <row r="21" spans="1:10" x14ac:dyDescent="0.2">
      <c r="A21" s="25">
        <v>20</v>
      </c>
      <c r="B21" s="18">
        <v>17</v>
      </c>
      <c r="C21" s="18" t="s">
        <v>7</v>
      </c>
      <c r="D21" s="47" t="s">
        <v>16</v>
      </c>
      <c r="E21" s="12">
        <v>3343</v>
      </c>
      <c r="F21" s="12">
        <f>SUMIFS('Week 15 Apr 6 - Apr 12 2020'!F:F,'Week 15 Apr 6 - Apr 12 2020'!D:D,'Week 16 Apr 13 - Apr 19 2020'!D:D,'Week 15 Apr 6 - Apr 12 2020'!C:C,'Week 16 Apr 13 - Apr 19 2020'!C:C)+Table36119101355571214175259[[#This Row],[Week Sales]]</f>
        <v>197685</v>
      </c>
      <c r="G21" s="18" t="str">
        <f>(VLOOKUP(D:D,'Week 15 Apr 6 - Apr 12 2020'!D:G,4,FALSE))</f>
        <v>Nintendo</v>
      </c>
      <c r="H21" s="67">
        <f>(VLOOKUP(D:D,'Week 15 Apr 6 - Apr 12 2020'!D:H,5,FALSE))</f>
        <v>43826</v>
      </c>
      <c r="I21" s="12">
        <f>_xlfn.IFNA(SUMIFS('Week 15 Apr 6 - Apr 12 2020'!E:E,'Week 15 Apr 6 - Apr 12 2020'!D:D,'Week 16 Apr 13 - Apr 19 2020'!D:D,'Week 15 Apr 6 - Apr 12 2020'!C:C,'Week 16 Apr 13 - Apr 19 2020'!C:C),"New")</f>
        <v>4046</v>
      </c>
      <c r="J21" s="28">
        <f t="shared" si="0"/>
        <v>-0.17375185368264953</v>
      </c>
    </row>
    <row r="22" spans="1:10" x14ac:dyDescent="0.2">
      <c r="A22" s="25">
        <v>21</v>
      </c>
      <c r="B22" s="18">
        <v>18</v>
      </c>
      <c r="C22" s="18" t="s">
        <v>7</v>
      </c>
      <c r="D22" s="47" t="s">
        <v>19</v>
      </c>
      <c r="E22" s="12">
        <v>3247</v>
      </c>
      <c r="F22" s="12">
        <f>SUMIFS('Week 15 Apr 6 - Apr 12 2020'!F:F,'Week 15 Apr 6 - Apr 12 2020'!D:D,'Week 16 Apr 13 - Apr 19 2020'!D:D,'Week 15 Apr 6 - Apr 12 2020'!C:C,'Week 16 Apr 13 - Apr 19 2020'!C:C)+Table36119101355571214175259[[#This Row],[Week Sales]]</f>
        <v>894818</v>
      </c>
      <c r="G22" s="18" t="str">
        <f>(VLOOKUP(D:D,'Week 15 Apr 6 - Apr 12 2020'!D:G,4,FALSE))</f>
        <v>Nintendo</v>
      </c>
      <c r="H22" s="67">
        <f>(VLOOKUP(D:D,'Week 15 Apr 6 - Apr 12 2020'!D:H,5,FALSE))</f>
        <v>43644</v>
      </c>
      <c r="I22" s="12">
        <f>_xlfn.IFNA(SUMIFS('Week 15 Apr 6 - Apr 12 2020'!E:E,'Week 15 Apr 6 - Apr 12 2020'!D:D,'Week 16 Apr 13 - Apr 19 2020'!D:D,'Week 15 Apr 6 - Apr 12 2020'!C:C,'Week 16 Apr 13 - Apr 19 2020'!C:C),"New")</f>
        <v>3880</v>
      </c>
      <c r="J22" s="28">
        <f t="shared" si="0"/>
        <v>-0.16314432989690722</v>
      </c>
    </row>
    <row r="23" spans="1:10" x14ac:dyDescent="0.2">
      <c r="A23" s="25">
        <v>22</v>
      </c>
      <c r="B23" s="18">
        <v>20</v>
      </c>
      <c r="C23" s="18" t="s">
        <v>7</v>
      </c>
      <c r="D23" s="47" t="s">
        <v>20</v>
      </c>
      <c r="E23" s="12">
        <v>3050</v>
      </c>
      <c r="F23" s="12">
        <f>SUMIFS('Week 15 Apr 6 - Apr 12 2020'!F:F,'Week 15 Apr 6 - Apr 12 2020'!D:D,'Week 16 Apr 13 - Apr 19 2020'!D:D,'Week 15 Apr 6 - Apr 12 2020'!C:C,'Week 16 Apr 13 - Apr 19 2020'!C:C)+Table36119101355571214175259[[#This Row],[Week Sales]]</f>
        <v>423967</v>
      </c>
      <c r="G23" s="18" t="str">
        <f>(VLOOKUP(D:D,'Week 15 Apr 6 - Apr 12 2020'!D:G,4,FALSE))</f>
        <v>Bandai Namco</v>
      </c>
      <c r="H23" s="67">
        <f>(VLOOKUP(D:D,'Week 15 Apr 6 - Apr 12 2020'!D:H,5,FALSE))</f>
        <v>43671</v>
      </c>
      <c r="I23" s="12">
        <f>_xlfn.IFNA(SUMIFS('Week 15 Apr 6 - Apr 12 2020'!E:E,'Week 15 Apr 6 - Apr 12 2020'!D:D,'Week 16 Apr 13 - Apr 19 2020'!D:D,'Week 15 Apr 6 - Apr 12 2020'!C:C,'Week 16 Apr 13 - Apr 19 2020'!C:C),"New")</f>
        <v>3418</v>
      </c>
      <c r="J23" s="28">
        <f t="shared" si="0"/>
        <v>-0.10766530134581627</v>
      </c>
    </row>
    <row r="24" spans="1:10" x14ac:dyDescent="0.2">
      <c r="A24" s="25">
        <v>23</v>
      </c>
      <c r="B24" s="18">
        <v>27</v>
      </c>
      <c r="C24" s="18" t="s">
        <v>8</v>
      </c>
      <c r="D24" s="86" t="s">
        <v>187</v>
      </c>
      <c r="E24" s="12">
        <v>2932</v>
      </c>
      <c r="F24" s="12">
        <f>SUMIFS('Week 15 Apr 6 - Apr 12 2020'!F:F,'Week 15 Apr 6 - Apr 12 2020'!D:D,'Week 16 Apr 13 - Apr 19 2020'!D:D,'Week 15 Apr 6 - Apr 12 2020'!C:C,'Week 16 Apr 13 - Apr 19 2020'!C:C)+Table36119101355571214175259[[#This Row],[Week Sales]]</f>
        <v>36242</v>
      </c>
      <c r="G24" s="18" t="str">
        <f>(VLOOKUP(D:D,'Week 15 Apr 6 - Apr 12 2020'!D:G,4,FALSE))</f>
        <v>Rockstar Games</v>
      </c>
      <c r="H24" s="67">
        <f>(VLOOKUP(D:D,'Week 15 Apr 6 - Apr 12 2020'!D:H,5,FALSE))</f>
        <v>43440</v>
      </c>
      <c r="I24" s="12">
        <f>_xlfn.IFNA(SUMIFS('Week 15 Apr 6 - Apr 12 2020'!E:E,'Week 15 Apr 6 - Apr 12 2020'!D:D,'Week 16 Apr 13 - Apr 19 2020'!D:D,'Week 15 Apr 6 - Apr 12 2020'!C:C,'Week 16 Apr 13 - Apr 19 2020'!C:C),"New")</f>
        <v>2428</v>
      </c>
      <c r="J24" s="28">
        <f t="shared" si="0"/>
        <v>0.20757825370675453</v>
      </c>
    </row>
    <row r="25" spans="1:10" x14ac:dyDescent="0.2">
      <c r="A25" s="25">
        <v>24</v>
      </c>
      <c r="B25" s="18">
        <v>28</v>
      </c>
      <c r="C25" s="18" t="s">
        <v>7</v>
      </c>
      <c r="D25" s="47" t="s">
        <v>228</v>
      </c>
      <c r="E25" s="12">
        <v>2756</v>
      </c>
      <c r="F25" s="12">
        <f>SUMIFS('Week 15 Apr 6 - Apr 12 2020'!F:F,'Week 15 Apr 6 - Apr 12 2020'!D:D,'Week 16 Apr 13 - Apr 19 2020'!D:D,'Week 15 Apr 6 - Apr 12 2020'!C:C,'Week 16 Apr 13 - Apr 19 2020'!C:C)+Table36119101355571214175259[[#This Row],[Week Sales]]</f>
        <v>92599</v>
      </c>
      <c r="G25" s="18" t="str">
        <f>(VLOOKUP(D:D,'Week 15 Apr 6 - Apr 12 2020'!D:G,4,FALSE))</f>
        <v>Imagineer</v>
      </c>
      <c r="H25" s="67">
        <f>(VLOOKUP(D:D,'Week 15 Apr 6 - Apr 12 2020'!D:H,5,FALSE))</f>
        <v>43454</v>
      </c>
      <c r="I25" s="12">
        <f>_xlfn.IFNA(SUMIFS('Week 15 Apr 6 - Apr 12 2020'!E:E,'Week 15 Apr 6 - Apr 12 2020'!D:D,'Week 16 Apr 13 - Apr 19 2020'!D:D,'Week 15 Apr 6 - Apr 12 2020'!C:C,'Week 16 Apr 13 - Apr 19 2020'!C:C),"New")</f>
        <v>2399</v>
      </c>
      <c r="J25" s="28">
        <f t="shared" si="0"/>
        <v>0.14881200500208419</v>
      </c>
    </row>
    <row r="26" spans="1:10" x14ac:dyDescent="0.2">
      <c r="A26" s="25">
        <v>25</v>
      </c>
      <c r="B26" s="18">
        <v>19</v>
      </c>
      <c r="C26" s="18" t="s">
        <v>222</v>
      </c>
      <c r="D26" s="47" t="s">
        <v>223</v>
      </c>
      <c r="E26" s="12">
        <v>2598</v>
      </c>
      <c r="F26" s="12">
        <f>SUMIFS('Week 15 Apr 6 - Apr 12 2020'!F:F,'Week 15 Apr 6 - Apr 12 2020'!D:D,'Week 16 Apr 13 - Apr 19 2020'!D:D,'Week 15 Apr 6 - Apr 12 2020'!C:C,'Week 16 Apr 13 - Apr 19 2020'!C:C)+Table36119101355571214175259[[#This Row],[Week Sales]]</f>
        <v>495050</v>
      </c>
      <c r="G26" s="18" t="str">
        <f>(VLOOKUP(D:D,'Week 15 Apr 6 - Apr 12 2020'!D:G,4,FALSE))</f>
        <v>Nintendo</v>
      </c>
      <c r="H26" s="67">
        <f>(VLOOKUP(D:D,'Week 15 Apr 6 - Apr 12 2020'!D:H,5,FALSE))</f>
        <v>42697</v>
      </c>
      <c r="I26" s="12">
        <f>_xlfn.IFNA(SUMIFS('Week 15 Apr 6 - Apr 12 2020'!E:E,'Week 15 Apr 6 - Apr 12 2020'!D:D,'Week 16 Apr 13 - Apr 19 2020'!D:D,'Week 15 Apr 6 - Apr 12 2020'!C:C,'Week 16 Apr 13 - Apr 19 2020'!C:C),"New")</f>
        <v>3876</v>
      </c>
      <c r="J26" s="28">
        <f t="shared" si="0"/>
        <v>-0.32972136222910214</v>
      </c>
    </row>
    <row r="27" spans="1:10" x14ac:dyDescent="0.2">
      <c r="A27" s="25">
        <v>26</v>
      </c>
      <c r="B27" s="18">
        <v>26</v>
      </c>
      <c r="C27" s="18" t="s">
        <v>7</v>
      </c>
      <c r="D27" s="86" t="s">
        <v>83</v>
      </c>
      <c r="E27" s="12">
        <v>2452</v>
      </c>
      <c r="F27" s="12">
        <f>SUMIFS('Week 15 Apr 6 - Apr 12 2020'!F:F,'Week 15 Apr 6 - Apr 12 2020'!D:D,'Week 16 Apr 13 - Apr 19 2020'!D:D,'Week 15 Apr 6 - Apr 12 2020'!C:C,'Week 16 Apr 13 - Apr 19 2020'!C:C)+Table36119101355571214175259[[#This Row],[Week Sales]]</f>
        <v>510080</v>
      </c>
      <c r="G27" s="18" t="str">
        <f>(VLOOKUP(D:D,'Week 15 Apr 6 - Apr 12 2020'!D:G,4,FALSE))</f>
        <v>Square Enix</v>
      </c>
      <c r="H27" s="67">
        <f>(VLOOKUP(D:D,'Week 15 Apr 6 - Apr 12 2020'!D:H,5,FALSE))</f>
        <v>43735</v>
      </c>
      <c r="I27" s="12">
        <f>_xlfn.IFNA(SUMIFS('Week 15 Apr 6 - Apr 12 2020'!E:E,'Week 15 Apr 6 - Apr 12 2020'!D:D,'Week 16 Apr 13 - Apr 19 2020'!D:D,'Week 15 Apr 6 - Apr 12 2020'!C:C,'Week 16 Apr 13 - Apr 19 2020'!C:C),"New")</f>
        <v>2446</v>
      </c>
      <c r="J27" s="28">
        <f t="shared" si="0"/>
        <v>2.4529844644317253E-3</v>
      </c>
    </row>
    <row r="28" spans="1:10" x14ac:dyDescent="0.2">
      <c r="A28" s="25">
        <v>27</v>
      </c>
      <c r="B28" s="18">
        <v>23</v>
      </c>
      <c r="C28" s="18" t="s">
        <v>7</v>
      </c>
      <c r="D28" s="47" t="s">
        <v>79</v>
      </c>
      <c r="E28" s="12">
        <v>2417</v>
      </c>
      <c r="F28" s="12">
        <f>SUMIFS('Week 15 Apr 6 - Apr 12 2020'!F:F,'Week 15 Apr 6 - Apr 12 2020'!D:D,'Week 16 Apr 13 - Apr 19 2020'!D:D,'Week 15 Apr 6 - Apr 12 2020'!C:C,'Week 16 Apr 13 - Apr 19 2020'!C:C)+Table36119101355571214175259[[#This Row],[Week Sales]]</f>
        <v>632218</v>
      </c>
      <c r="G28" s="18" t="str">
        <f>(VLOOKUP(D:D,'Week 15 Apr 6 - Apr 12 2020'!D:G,4,FALSE))</f>
        <v>Nintendo</v>
      </c>
      <c r="H28" s="67">
        <f>(VLOOKUP(D:D,'Week 15 Apr 6 - Apr 12 2020'!D:H,5,FALSE))</f>
        <v>43769</v>
      </c>
      <c r="I28" s="12">
        <f>_xlfn.IFNA(SUMIFS('Week 15 Apr 6 - Apr 12 2020'!E:E,'Week 15 Apr 6 - Apr 12 2020'!D:D,'Week 16 Apr 13 - Apr 19 2020'!D:D,'Week 15 Apr 6 - Apr 12 2020'!C:C,'Week 16 Apr 13 - Apr 19 2020'!C:C),"New")</f>
        <v>3004</v>
      </c>
      <c r="J28" s="28">
        <f t="shared" si="0"/>
        <v>-0.19540612516644473</v>
      </c>
    </row>
    <row r="29" spans="1:10" x14ac:dyDescent="0.2">
      <c r="A29" s="25">
        <v>28</v>
      </c>
      <c r="B29" s="18">
        <v>25</v>
      </c>
      <c r="C29" s="18" t="s">
        <v>7</v>
      </c>
      <c r="D29" s="47" t="s">
        <v>25</v>
      </c>
      <c r="E29" s="12">
        <v>2248</v>
      </c>
      <c r="F29" s="12">
        <f>SUMIFS('Week 15 Apr 6 - Apr 12 2020'!F:F,'Week 15 Apr 6 - Apr 12 2020'!D:D,'Week 16 Apr 13 - Apr 19 2020'!D:D,'Week 15 Apr 6 - Apr 12 2020'!C:C,'Week 16 Apr 13 - Apr 19 2020'!C:C)+Table36119101355571214175259[[#This Row],[Week Sales]]</f>
        <v>467656</v>
      </c>
      <c r="G29" s="18" t="str">
        <f>(VLOOKUP(D:D,'Week 15 Apr 6 - Apr 12 2020'!D:G,4,FALSE))</f>
        <v>Bandai Namco</v>
      </c>
      <c r="H29" s="67">
        <f>(VLOOKUP(D:D,'Week 15 Apr 6 - Apr 12 2020'!D:H,5,FALSE))</f>
        <v>43300</v>
      </c>
      <c r="I29" s="12">
        <f>_xlfn.IFNA(SUMIFS('Week 15 Apr 6 - Apr 12 2020'!E:E,'Week 15 Apr 6 - Apr 12 2020'!D:D,'Week 16 Apr 13 - Apr 19 2020'!D:D,'Week 15 Apr 6 - Apr 12 2020'!C:C,'Week 16 Apr 13 - Apr 19 2020'!C:C),"New")</f>
        <v>2494</v>
      </c>
      <c r="J29" s="28">
        <f t="shared" si="0"/>
        <v>-9.8636728147554129E-2</v>
      </c>
    </row>
    <row r="30" spans="1:10" x14ac:dyDescent="0.2">
      <c r="A30" s="25">
        <v>29</v>
      </c>
      <c r="B30" s="18">
        <v>22</v>
      </c>
      <c r="C30" s="18" t="s">
        <v>7</v>
      </c>
      <c r="D30" s="47" t="s">
        <v>233</v>
      </c>
      <c r="E30" s="12">
        <v>2114</v>
      </c>
      <c r="F30" s="12">
        <f>SUMIFS('Week 15 Apr 6 - Apr 12 2020'!F:F,'Week 15 Apr 6 - Apr 12 2020'!D:D,'Week 16 Apr 13 - Apr 19 2020'!D:D,'Week 15 Apr 6 - Apr 12 2020'!C:C,'Week 16 Apr 13 - Apr 19 2020'!C:C)+Table36119101355571214175259[[#This Row],[Week Sales]]</f>
        <v>12754</v>
      </c>
      <c r="G30" s="18" t="str">
        <f>(VLOOKUP(D:D,'Week 15 Apr 6 - Apr 12 2020'!D:G,4,FALSE))</f>
        <v>Bandai Namco</v>
      </c>
      <c r="H30" s="67">
        <f>(VLOOKUP(D:D,'Week 15 Apr 6 - Apr 12 2020'!D:H,5,FALSE))</f>
        <v>43923</v>
      </c>
      <c r="I30" s="12">
        <f>_xlfn.IFNA(SUMIFS('Week 15 Apr 6 - Apr 12 2020'!E:E,'Week 15 Apr 6 - Apr 12 2020'!D:D,'Week 16 Apr 13 - Apr 19 2020'!D:D,'Week 15 Apr 6 - Apr 12 2020'!C:C,'Week 16 Apr 13 - Apr 19 2020'!C:C),"New")</f>
        <v>3055</v>
      </c>
      <c r="J30" s="28">
        <f t="shared" si="0"/>
        <v>-0.30801963993453357</v>
      </c>
    </row>
    <row r="31" spans="1:10" x14ac:dyDescent="0.2">
      <c r="A31" s="25">
        <v>30</v>
      </c>
      <c r="B31" s="18">
        <v>30</v>
      </c>
      <c r="C31" s="18" t="s">
        <v>8</v>
      </c>
      <c r="D31" s="69" t="s">
        <v>88</v>
      </c>
      <c r="E31" s="12">
        <v>1864</v>
      </c>
      <c r="F31" s="12">
        <f>SUMIFS('Week 15 Apr 6 - Apr 12 2020'!F:F,'Week 15 Apr 6 - Apr 12 2020'!D:D,'Week 16 Apr 13 - Apr 19 2020'!D:D,'Week 15 Apr 6 - Apr 12 2020'!C:C,'Week 16 Apr 13 - Apr 19 2020'!C:C)+Table36119101355571214175259[[#This Row],[Week Sales]]</f>
        <v>236389</v>
      </c>
      <c r="G31" s="18" t="str">
        <f>(VLOOKUP(D:D,'Week 15 Apr 6 - Apr 12 2020'!D:G,4,FALSE))</f>
        <v>Sony</v>
      </c>
      <c r="H31" s="67">
        <f>(VLOOKUP(D:D,'Week 15 Apr 6 - Apr 12 2020'!D:H,5,FALSE))</f>
        <v>43763</v>
      </c>
      <c r="I31" s="12">
        <f>_xlfn.IFNA(SUMIFS('Week 15 Apr 6 - Apr 12 2020'!E:E,'Week 15 Apr 6 - Apr 12 2020'!D:D,'Week 16 Apr 13 - Apr 19 2020'!D:D,'Week 15 Apr 6 - Apr 12 2020'!C:C,'Week 16 Apr 13 - Apr 19 2020'!C:C),"New")</f>
        <v>1840</v>
      </c>
      <c r="J31" s="28">
        <f t="shared" si="0"/>
        <v>1.3043478260869565E-2</v>
      </c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500308</v>
      </c>
      <c r="F33" s="2"/>
      <c r="I33" s="2"/>
      <c r="J33" s="19"/>
    </row>
    <row r="34" spans="1:10" x14ac:dyDescent="0.2">
      <c r="A34" s="3"/>
      <c r="B34" s="3"/>
      <c r="D34" s="100" t="s">
        <v>178</v>
      </c>
      <c r="E34" s="101">
        <f>SUM('Week 15 Apr 6 - Apr 12 2020'!E34,'Week 16 Apr 13 - Apr 19 2020'!E33)</f>
        <v>9173975</v>
      </c>
      <c r="F34" s="2"/>
      <c r="I34" s="2"/>
      <c r="J34" s="19"/>
    </row>
    <row r="35" spans="1:10" x14ac:dyDescent="0.2">
      <c r="A35" s="3"/>
      <c r="B35" s="3"/>
      <c r="D35" s="2" t="s">
        <v>60</v>
      </c>
      <c r="E35" s="2">
        <f>AVERAGE(E2:E31)</f>
        <v>16676.933333333334</v>
      </c>
      <c r="F35" s="2"/>
      <c r="I35" s="2"/>
      <c r="J35" s="19"/>
    </row>
    <row r="36" spans="1:10" x14ac:dyDescent="0.2">
      <c r="A36" s="3"/>
      <c r="B36" s="3"/>
      <c r="D36" s="9" t="s">
        <v>78</v>
      </c>
      <c r="E36" s="10">
        <f>COUNTIF(B:B,"New")</f>
        <v>1</v>
      </c>
      <c r="F36" s="2"/>
      <c r="I36" s="2"/>
      <c r="J36" s="19"/>
    </row>
    <row r="37" spans="1:10" x14ac:dyDescent="0.2">
      <c r="A37" s="3"/>
      <c r="B37" s="3"/>
      <c r="E37" s="2"/>
      <c r="F37" s="2"/>
      <c r="I37" s="2"/>
      <c r="J37" s="19"/>
    </row>
    <row r="38" spans="1:10" x14ac:dyDescent="0.2">
      <c r="A38" s="3"/>
      <c r="B38" s="3"/>
      <c r="D38" t="s">
        <v>66</v>
      </c>
      <c r="E38" s="2"/>
      <c r="F38" s="2"/>
      <c r="I38" s="2"/>
      <c r="J38" s="19"/>
    </row>
    <row r="39" spans="1:10" x14ac:dyDescent="0.2">
      <c r="A39" s="3"/>
      <c r="B39" s="3"/>
      <c r="D39" s="8" t="s">
        <v>67</v>
      </c>
      <c r="E39" s="2"/>
      <c r="F39" s="2"/>
      <c r="I39" s="2"/>
      <c r="J39" s="19"/>
    </row>
    <row r="40" spans="1:10" x14ac:dyDescent="0.2">
      <c r="A40" s="3"/>
      <c r="B40" s="3"/>
      <c r="D40" s="8" t="s">
        <v>65</v>
      </c>
      <c r="E40" s="2"/>
      <c r="F40" s="2"/>
      <c r="I40" s="2"/>
      <c r="J40" s="19"/>
    </row>
    <row r="41" spans="1:10" x14ac:dyDescent="0.2">
      <c r="D41" s="8" t="s">
        <v>71</v>
      </c>
    </row>
  </sheetData>
  <hyperlinks>
    <hyperlink ref="D41" r:id="rId1" xr:uid="{D6730CBD-8BB1-754E-B28F-4078AED883E2}"/>
    <hyperlink ref="D40" r:id="rId2" xr:uid="{752332FA-929D-5446-ADD8-A34EE83A9FEE}"/>
    <hyperlink ref="D39" r:id="rId3" xr:uid="{5F23C620-96CC-5543-8DD8-3B008A2B04D8}"/>
  </hyperlinks>
  <pageMargins left="0.7" right="0.7" top="0.75" bottom="0.75" header="0.3" footer="0.3"/>
  <pageSetup paperSize="9" orientation="portrait" horizontalDpi="0" verticalDpi="0"/>
  <ignoredErrors>
    <ignoredError sqref="G17:I17" calculatedColumn="1"/>
  </ignoredErrors>
  <tableParts count="1">
    <tablePart r:id="rId4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FF5AA-DC7F-8944-9D80-819947291C31}">
  <dimension ref="A1:J41"/>
  <sheetViews>
    <sheetView workbookViewId="0">
      <selection activeCell="D11" sqref="D2:E11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9.8320312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0" x14ac:dyDescent="0.2">
      <c r="A2" s="25">
        <v>1</v>
      </c>
      <c r="B2" s="18">
        <v>1</v>
      </c>
      <c r="C2" s="18" t="s">
        <v>7</v>
      </c>
      <c r="D2" s="86" t="s">
        <v>46</v>
      </c>
      <c r="E2" s="12">
        <v>283913</v>
      </c>
      <c r="F2" s="12">
        <f>SUMIFS('Week 16 Apr 13 - Apr 19 2020'!F:F,'Week 16 Apr 13 - Apr 19 2020'!D:D,'Week 17 Apr 20 - Apr 26 2020'!D:D,'Week 16 Apr 13 - Apr 19 2020'!C:C,'Week 17 Apr 20 - Apr 26 2020'!C:C)+Table3611910135557121417525961[[#This Row],[Week Sales]]</f>
        <v>3895159</v>
      </c>
      <c r="G2" s="18" t="str">
        <f>(VLOOKUP(D:D,'Week 16 Apr 13 - Apr 19 2020'!D:G,4,FALSE))</f>
        <v>Nintendo</v>
      </c>
      <c r="H2" s="67">
        <f>(VLOOKUP(D:D,'Week 16 Apr 13 - Apr 19 2020'!D:H,5,FALSE))</f>
        <v>43910</v>
      </c>
      <c r="I2" s="12">
        <f>_xlfn.IFNA(SUMIFS('Week 16 Apr 13 - Apr 19 2020'!E:E,'Week 16 Apr 13 - Apr 19 2020'!D:D,'Week 17 Apr 20 - Apr 26 2020'!D:D,'Week 16 Apr 13 - Apr 19 2020'!C:C,'Week 17 Apr 20 - Apr 26 2020'!C:C),"New")</f>
        <v>286586</v>
      </c>
      <c r="J2" s="28">
        <f>IFERROR((E2-I2)/I2,"New")</f>
        <v>-9.327043191223577E-3</v>
      </c>
    </row>
    <row r="3" spans="1:10" x14ac:dyDescent="0.2">
      <c r="A3" s="13">
        <v>2</v>
      </c>
      <c r="B3" s="9" t="s">
        <v>36</v>
      </c>
      <c r="C3" s="9" t="s">
        <v>8</v>
      </c>
      <c r="D3" s="9" t="s">
        <v>237</v>
      </c>
      <c r="E3" s="10">
        <v>80383</v>
      </c>
      <c r="F3" s="10">
        <f>SUMIFS('Week 16 Apr 13 - Apr 19 2020'!F:F,'Week 16 Apr 13 - Apr 19 2020'!D:D,'Week 17 Apr 20 - Apr 26 2020'!D:D,'Week 16 Apr 13 - Apr 19 2020'!C:C,'Week 17 Apr 20 - Apr 26 2020'!C:C)+Table3611910135557121417525961[[#This Row],[Week Sales]]</f>
        <v>80383</v>
      </c>
      <c r="G3" s="9" t="s">
        <v>27</v>
      </c>
      <c r="H3" s="14">
        <v>43945</v>
      </c>
      <c r="I3" s="10" t="s">
        <v>36</v>
      </c>
      <c r="J3" s="92" t="str">
        <f t="shared" ref="J3:J30" si="0">IFERROR((E3-I3)/I3,"New")</f>
        <v>New</v>
      </c>
    </row>
    <row r="4" spans="1:10" x14ac:dyDescent="0.2">
      <c r="A4" s="13">
        <v>3</v>
      </c>
      <c r="B4" s="9" t="s">
        <v>36</v>
      </c>
      <c r="C4" s="9" t="s">
        <v>7</v>
      </c>
      <c r="D4" s="46" t="s">
        <v>237</v>
      </c>
      <c r="E4" s="10">
        <v>70114</v>
      </c>
      <c r="F4" s="10">
        <f>SUMIFS('Week 16 Apr 13 - Apr 19 2020'!F:F,'Week 16 Apr 13 - Apr 19 2020'!D:D,'Week 17 Apr 20 - Apr 26 2020'!D:D,'Week 16 Apr 13 - Apr 19 2020'!C:C,'Week 17 Apr 20 - Apr 26 2020'!C:C)+Table3611910135557121417525961[[#This Row],[Week Sales]]</f>
        <v>70114</v>
      </c>
      <c r="G4" s="9" t="s">
        <v>27</v>
      </c>
      <c r="H4" s="14">
        <v>43945</v>
      </c>
      <c r="I4" s="10" t="s">
        <v>36</v>
      </c>
      <c r="J4" s="92" t="str">
        <f t="shared" si="0"/>
        <v>New</v>
      </c>
    </row>
    <row r="5" spans="1:10" x14ac:dyDescent="0.2">
      <c r="A5" s="25">
        <v>4</v>
      </c>
      <c r="B5" s="18">
        <v>2</v>
      </c>
      <c r="C5" s="18" t="s">
        <v>8</v>
      </c>
      <c r="D5" s="18" t="s">
        <v>234</v>
      </c>
      <c r="E5" s="12">
        <v>65569</v>
      </c>
      <c r="F5" s="12">
        <f>SUMIFS('Week 16 Apr 13 - Apr 19 2020'!F:F,'Week 16 Apr 13 - Apr 19 2020'!D:D,'Week 17 Apr 20 - Apr 26 2020'!D:D,'Week 16 Apr 13 - Apr 19 2020'!C:C,'Week 17 Apr 20 - Apr 26 2020'!C:C)+Table3611910135557121417525961[[#This Row],[Week Sales]]</f>
        <v>839074</v>
      </c>
      <c r="G5" s="18" t="str">
        <f>(VLOOKUP(D:D,'Week 16 Apr 13 - Apr 19 2020'!D:G,4,FALSE))</f>
        <v>Square Enix</v>
      </c>
      <c r="H5" s="67">
        <f>(VLOOKUP(D:D,'Week 16 Apr 13 - Apr 19 2020'!D:H,5,FALSE))</f>
        <v>43931</v>
      </c>
      <c r="I5" s="12">
        <f>_xlfn.IFNA(SUMIFS('Week 16 Apr 13 - Apr 19 2020'!E:E,'Week 16 Apr 13 - Apr 19 2020'!D:D,'Week 17 Apr 20 - Apr 26 2020'!D:D,'Week 16 Apr 13 - Apr 19 2020'!C:C,'Week 17 Apr 20 - Apr 26 2020'!C:C),"New")</f>
        <v>70652</v>
      </c>
      <c r="J5" s="28">
        <f t="shared" si="0"/>
        <v>-7.1944177093358999E-2</v>
      </c>
    </row>
    <row r="6" spans="1:10" x14ac:dyDescent="0.2">
      <c r="A6" s="25">
        <v>5</v>
      </c>
      <c r="B6" s="18">
        <v>3</v>
      </c>
      <c r="C6" s="18" t="s">
        <v>7</v>
      </c>
      <c r="D6" s="47" t="s">
        <v>49</v>
      </c>
      <c r="E6" s="12">
        <v>15264</v>
      </c>
      <c r="F6" s="12">
        <f>SUMIFS('Week 16 Apr 13 - Apr 19 2020'!F:F,'Week 16 Apr 13 - Apr 19 2020'!D:D,'Week 17 Apr 20 - Apr 26 2020'!D:D,'Week 16 Apr 13 - Apr 19 2020'!C:C,'Week 17 Apr 20 - Apr 26 2020'!C:C)+Table3611910135557121417525961[[#This Row],[Week Sales]]</f>
        <v>2897849</v>
      </c>
      <c r="G6" s="18" t="str">
        <f>(VLOOKUP(D:D,'Week 16 Apr 13 - Apr 19 2020'!D:G,4,FALSE))</f>
        <v>Nintendo</v>
      </c>
      <c r="H6" s="67">
        <f>(VLOOKUP(D:D,'Week 16 Apr 13 - Apr 19 2020'!D:H,5,FALSE))</f>
        <v>42853</v>
      </c>
      <c r="I6" s="12">
        <f>_xlfn.IFNA(SUMIFS('Week 16 Apr 13 - Apr 19 2020'!E:E,'Week 16 Apr 13 - Apr 19 2020'!D:D,'Week 17 Apr 20 - Apr 26 2020'!D:D,'Week 16 Apr 13 - Apr 19 2020'!C:C,'Week 17 Apr 20 - Apr 26 2020'!C:C),"New")</f>
        <v>13313</v>
      </c>
      <c r="J6" s="28">
        <f t="shared" si="0"/>
        <v>0.14654848644182378</v>
      </c>
    </row>
    <row r="7" spans="1:10" x14ac:dyDescent="0.2">
      <c r="A7" s="25">
        <v>6</v>
      </c>
      <c r="B7" s="18">
        <v>19</v>
      </c>
      <c r="C7" s="18" t="s">
        <v>7</v>
      </c>
      <c r="D7" s="47" t="s">
        <v>45</v>
      </c>
      <c r="E7" s="12">
        <v>12351</v>
      </c>
      <c r="F7" s="12">
        <f>SUMIFS('Week 16 Apr 13 - Apr 19 2020'!F:F,'Week 16 Apr 13 - Apr 19 2020'!D:D,'Week 17 Apr 20 - Apr 26 2020'!D:D,'Week 16 Apr 13 - Apr 19 2020'!C:C,'Week 17 Apr 20 - Apr 26 2020'!C:C)+Table3611910135557121417525961[[#This Row],[Week Sales]]</f>
        <v>778943</v>
      </c>
      <c r="G7" s="18" t="str">
        <f>(VLOOKUP(D:D,'Week 16 Apr 13 - Apr 19 2020'!D:G,4,FALSE))</f>
        <v>Nintendo</v>
      </c>
      <c r="H7" s="67">
        <f>(VLOOKUP(D:D,'Week 16 Apr 13 - Apr 19 2020'!D:H,5,FALSE))</f>
        <v>43756</v>
      </c>
      <c r="I7" s="12">
        <f>_xlfn.IFNA(SUMIFS('Week 16 Apr 13 - Apr 19 2020'!E:E,'Week 16 Apr 13 - Apr 19 2020'!D:D,'Week 17 Apr 20 - Apr 26 2020'!D:D,'Week 16 Apr 13 - Apr 19 2020'!C:C,'Week 17 Apr 20 - Apr 26 2020'!C:C),"New")</f>
        <v>3720</v>
      </c>
      <c r="J7" s="28">
        <f t="shared" si="0"/>
        <v>2.3201612903225808</v>
      </c>
    </row>
    <row r="8" spans="1:10" x14ac:dyDescent="0.2">
      <c r="A8" s="13">
        <v>7</v>
      </c>
      <c r="B8" s="9" t="s">
        <v>36</v>
      </c>
      <c r="C8" s="9" t="s">
        <v>8</v>
      </c>
      <c r="D8" s="46" t="s">
        <v>238</v>
      </c>
      <c r="E8" s="10">
        <v>10979</v>
      </c>
      <c r="F8" s="10">
        <f>SUMIFS('Week 16 Apr 13 - Apr 19 2020'!F:F,'Week 16 Apr 13 - Apr 19 2020'!D:D,'Week 17 Apr 20 - Apr 26 2020'!D:D,'Week 16 Apr 13 - Apr 19 2020'!C:C,'Week 17 Apr 20 - Apr 26 2020'!C:C)+Table3611910135557121417525961[[#This Row],[Week Sales]]</f>
        <v>10979</v>
      </c>
      <c r="G8" s="9" t="s">
        <v>44</v>
      </c>
      <c r="H8" s="14">
        <v>43944</v>
      </c>
      <c r="I8" s="10" t="s">
        <v>36</v>
      </c>
      <c r="J8" s="92" t="str">
        <f t="shared" si="0"/>
        <v>New</v>
      </c>
    </row>
    <row r="9" spans="1:10" x14ac:dyDescent="0.2">
      <c r="A9" s="25">
        <v>8</v>
      </c>
      <c r="B9" s="18">
        <v>5</v>
      </c>
      <c r="C9" s="18" t="s">
        <v>7</v>
      </c>
      <c r="D9" s="47" t="s">
        <v>52</v>
      </c>
      <c r="E9" s="12">
        <v>9636</v>
      </c>
      <c r="F9" s="12">
        <f>SUMIFS('Week 16 Apr 13 - Apr 19 2020'!F:F,'Week 16 Apr 13 - Apr 19 2020'!D:D,'Week 17 Apr 20 - Apr 26 2020'!D:D,'Week 16 Apr 13 - Apr 19 2020'!C:C,'Week 17 Apr 20 - Apr 26 2020'!C:C)+Table3611910135557121417525961[[#This Row],[Week Sales]]</f>
        <v>3665504</v>
      </c>
      <c r="G9" s="18" t="str">
        <f>(VLOOKUP(D:D,'Week 16 Apr 13 - Apr 19 2020'!D:G,4,FALSE))</f>
        <v>Nintendo</v>
      </c>
      <c r="H9" s="67">
        <f>(VLOOKUP(D:D,'Week 16 Apr 13 - Apr 19 2020'!D:H,5,FALSE))</f>
        <v>43441</v>
      </c>
      <c r="I9" s="12">
        <f>_xlfn.IFNA(SUMIFS('Week 16 Apr 13 - Apr 19 2020'!E:E,'Week 16 Apr 13 - Apr 19 2020'!D:D,'Week 17 Apr 20 - Apr 26 2020'!D:D,'Week 16 Apr 13 - Apr 19 2020'!C:C,'Week 17 Apr 20 - Apr 26 2020'!C:C),"New")</f>
        <v>9034</v>
      </c>
      <c r="J9" s="28">
        <f t="shared" si="0"/>
        <v>6.6637148549922517E-2</v>
      </c>
    </row>
    <row r="10" spans="1:10" x14ac:dyDescent="0.2">
      <c r="A10" s="25">
        <v>9</v>
      </c>
      <c r="B10" s="18">
        <v>8</v>
      </c>
      <c r="C10" s="18" t="s">
        <v>7</v>
      </c>
      <c r="D10" s="47" t="s">
        <v>13</v>
      </c>
      <c r="E10" s="12">
        <v>9377</v>
      </c>
      <c r="F10" s="12">
        <f>SUMIFS('Week 16 Apr 13 - Apr 19 2020'!F:F,'Week 16 Apr 13 - Apr 19 2020'!D:D,'Week 17 Apr 20 - Apr 26 2020'!D:D,'Week 16 Apr 13 - Apr 19 2020'!C:C,'Week 17 Apr 20 - Apr 26 2020'!C:C)+Table3611910135557121417525961[[#This Row],[Week Sales]]</f>
        <v>1416280</v>
      </c>
      <c r="G10" s="18" t="str">
        <f>(VLOOKUP(D:D,'Week 16 Apr 13 - Apr 19 2020'!D:G,4,FALSE))</f>
        <v>Nintendo</v>
      </c>
      <c r="H10" s="67">
        <f>(VLOOKUP(D:D,'Week 16 Apr 13 - Apr 19 2020'!D:H,5,FALSE))</f>
        <v>43378</v>
      </c>
      <c r="I10" s="12">
        <f>_xlfn.IFNA(SUMIFS('Week 16 Apr 13 - Apr 19 2020'!E:E,'Week 16 Apr 13 - Apr 19 2020'!D:D,'Week 17 Apr 20 - Apr 26 2020'!D:D,'Week 16 Apr 13 - Apr 19 2020'!C:C,'Week 17 Apr 20 - Apr 26 2020'!C:C),"New")</f>
        <v>8005</v>
      </c>
      <c r="J10" s="28">
        <f t="shared" si="0"/>
        <v>0.17139287945034354</v>
      </c>
    </row>
    <row r="11" spans="1:10" x14ac:dyDescent="0.2">
      <c r="A11" s="13">
        <v>10</v>
      </c>
      <c r="B11" s="9" t="s">
        <v>36</v>
      </c>
      <c r="C11" s="9" t="s">
        <v>8</v>
      </c>
      <c r="D11" s="46" t="s">
        <v>239</v>
      </c>
      <c r="E11" s="10">
        <v>9172</v>
      </c>
      <c r="F11" s="10">
        <f>SUMIFS('Week 16 Apr 13 - Apr 19 2020'!F:F,'Week 16 Apr 13 - Apr 19 2020'!D:D,'Week 17 Apr 20 - Apr 26 2020'!D:D,'Week 16 Apr 13 - Apr 19 2020'!C:C,'Week 17 Apr 20 - Apr 26 2020'!C:C)+Table3611910135557121417525961[[#This Row],[Week Sales]]</f>
        <v>9172</v>
      </c>
      <c r="G11" s="9" t="s">
        <v>30</v>
      </c>
      <c r="H11" s="102">
        <v>43945</v>
      </c>
      <c r="I11" s="10" t="s">
        <v>36</v>
      </c>
      <c r="J11" s="92" t="str">
        <f t="shared" si="0"/>
        <v>New</v>
      </c>
    </row>
    <row r="12" spans="1:10" x14ac:dyDescent="0.2">
      <c r="A12" s="25">
        <v>11</v>
      </c>
      <c r="B12" s="18">
        <v>11</v>
      </c>
      <c r="C12" s="18" t="s">
        <v>7</v>
      </c>
      <c r="D12" s="47" t="s">
        <v>10</v>
      </c>
      <c r="E12" s="12">
        <v>8389</v>
      </c>
      <c r="F12" s="12">
        <f>SUMIFS('Week 16 Apr 13 - Apr 19 2020'!F:F,'Week 16 Apr 13 - Apr 19 2020'!D:D,'Week 17 Apr 20 - Apr 26 2020'!D:D,'Week 16 Apr 13 - Apr 19 2020'!C:C,'Week 17 Apr 20 - Apr 26 2020'!C:C)+Table3611910135557121417525961[[#This Row],[Week Sales]]</f>
        <v>3383302</v>
      </c>
      <c r="G12" s="18" t="str">
        <f>(VLOOKUP(D:D,'Week 16 Apr 13 - Apr 19 2020'!D:G,4,FALSE))</f>
        <v>Nintendo</v>
      </c>
      <c r="H12" s="67">
        <f>(VLOOKUP(D:D,'Week 16 Apr 13 - Apr 19 2020'!D:H,5,FALSE))</f>
        <v>42937</v>
      </c>
      <c r="I12" s="12">
        <f>_xlfn.IFNA(SUMIFS('Week 16 Apr 13 - Apr 19 2020'!E:E,'Week 16 Apr 13 - Apr 19 2020'!D:D,'Week 17 Apr 20 - Apr 26 2020'!D:D,'Week 16 Apr 13 - Apr 19 2020'!C:C,'Week 17 Apr 20 - Apr 26 2020'!C:C),"New")</f>
        <v>5998</v>
      </c>
      <c r="J12" s="28">
        <f t="shared" si="0"/>
        <v>0.39863287762587529</v>
      </c>
    </row>
    <row r="13" spans="1:10" x14ac:dyDescent="0.2">
      <c r="A13" s="25">
        <v>12</v>
      </c>
      <c r="B13" s="18">
        <v>4</v>
      </c>
      <c r="C13" s="18" t="s">
        <v>8</v>
      </c>
      <c r="D13" s="47" t="s">
        <v>232</v>
      </c>
      <c r="E13" s="12">
        <v>8205</v>
      </c>
      <c r="F13" s="12">
        <f>SUMIFS('Week 16 Apr 13 - Apr 19 2020'!F:F,'Week 16 Apr 13 - Apr 19 2020'!D:D,'Week 17 Apr 20 - Apr 26 2020'!D:D,'Week 16 Apr 13 - Apr 19 2020'!C:C,'Week 17 Apr 20 - Apr 26 2020'!C:C)+Table3611910135557121417525961[[#This Row],[Week Sales]]</f>
        <v>244640</v>
      </c>
      <c r="G13" s="18" t="str">
        <f>(VLOOKUP(D:D,'Week 16 Apr 13 - Apr 19 2020'!D:G,4,FALSE))</f>
        <v>Capcom</v>
      </c>
      <c r="H13" s="67">
        <f>(VLOOKUP(D:D,'Week 16 Apr 13 - Apr 19 2020'!D:H,5,FALSE))</f>
        <v>43924</v>
      </c>
      <c r="I13" s="12">
        <f>_xlfn.IFNA(SUMIFS('Week 16 Apr 13 - Apr 19 2020'!E:E,'Week 16 Apr 13 - Apr 19 2020'!D:D,'Week 17 Apr 20 - Apr 26 2020'!D:D,'Week 16 Apr 13 - Apr 19 2020'!C:C,'Week 17 Apr 20 - Apr 26 2020'!C:C),"New")</f>
        <v>12247</v>
      </c>
      <c r="J13" s="28">
        <f t="shared" si="0"/>
        <v>-0.33004000979831793</v>
      </c>
    </row>
    <row r="14" spans="1:10" x14ac:dyDescent="0.2">
      <c r="A14" s="25">
        <v>13</v>
      </c>
      <c r="B14" s="18">
        <v>9</v>
      </c>
      <c r="C14" s="18" t="s">
        <v>7</v>
      </c>
      <c r="D14" s="47" t="s">
        <v>62</v>
      </c>
      <c r="E14" s="12">
        <v>7979</v>
      </c>
      <c r="F14" s="12">
        <f>SUMIFS('Week 16 Apr 13 - Apr 19 2020'!F:F,'Week 16 Apr 13 - Apr 19 2020'!D:D,'Week 17 Apr 20 - Apr 26 2020'!D:D,'Week 16 Apr 13 - Apr 19 2020'!C:C,'Week 17 Apr 20 - Apr 26 2020'!C:C)+Table3611910135557121417525961[[#This Row],[Week Sales]]</f>
        <v>3578472</v>
      </c>
      <c r="G14" s="18" t="str">
        <f>(VLOOKUP(D:D,'Week 16 Apr 13 - Apr 19 2020'!D:G,4,FALSE))</f>
        <v>The Pokemon Company</v>
      </c>
      <c r="H14" s="67">
        <f>(VLOOKUP(D:D,'Week 16 Apr 13 - Apr 19 2020'!D:H,5,FALSE))</f>
        <v>43784</v>
      </c>
      <c r="I14" s="12">
        <f>_xlfn.IFNA(SUMIFS('Week 16 Apr 13 - Apr 19 2020'!E:E,'Week 16 Apr 13 - Apr 19 2020'!D:D,'Week 17 Apr 20 - Apr 26 2020'!D:D,'Week 16 Apr 13 - Apr 19 2020'!C:C,'Week 17 Apr 20 - Apr 26 2020'!C:C),"New")</f>
        <v>7915</v>
      </c>
      <c r="J14" s="28">
        <f t="shared" si="0"/>
        <v>8.0859128237523691E-3</v>
      </c>
    </row>
    <row r="15" spans="1:10" x14ac:dyDescent="0.2">
      <c r="A15" s="25">
        <v>14</v>
      </c>
      <c r="B15" s="18">
        <v>10</v>
      </c>
      <c r="C15" s="18" t="s">
        <v>7</v>
      </c>
      <c r="D15" s="47" t="s">
        <v>12</v>
      </c>
      <c r="E15" s="12">
        <v>6980</v>
      </c>
      <c r="F15" s="12">
        <f>SUMIFS('Week 16 Apr 13 - Apr 19 2020'!F:F,'Week 16 Apr 13 - Apr 19 2020'!D:D,'Week 17 Apr 20 - Apr 26 2020'!D:D,'Week 16 Apr 13 - Apr 19 2020'!C:C,'Week 17 Apr 20 - Apr 26 2020'!C:C)+Table3611910135557121417525961[[#This Row],[Week Sales]]</f>
        <v>1363210</v>
      </c>
      <c r="G15" s="18" t="str">
        <f>(VLOOKUP(D:D,'Week 16 Apr 13 - Apr 19 2020'!D:G,4,FALSE))</f>
        <v>Microsoft</v>
      </c>
      <c r="H15" s="67">
        <f>(VLOOKUP(D:D,'Week 16 Apr 13 - Apr 19 2020'!D:H,5,FALSE))</f>
        <v>43272</v>
      </c>
      <c r="I15" s="12">
        <f>_xlfn.IFNA(SUMIFS('Week 16 Apr 13 - Apr 19 2020'!E:E,'Week 16 Apr 13 - Apr 19 2020'!D:D,'Week 17 Apr 20 - Apr 26 2020'!D:D,'Week 16 Apr 13 - Apr 19 2020'!C:C,'Week 17 Apr 20 - Apr 26 2020'!C:C),"New")</f>
        <v>7154</v>
      </c>
      <c r="J15" s="28">
        <f t="shared" si="0"/>
        <v>-2.4322057590159353E-2</v>
      </c>
    </row>
    <row r="16" spans="1:10" x14ac:dyDescent="0.2">
      <c r="A16" s="25">
        <v>15</v>
      </c>
      <c r="B16" s="18">
        <v>6</v>
      </c>
      <c r="C16" s="18" t="s">
        <v>8</v>
      </c>
      <c r="D16" s="47" t="s">
        <v>221</v>
      </c>
      <c r="E16" s="12">
        <v>6625</v>
      </c>
      <c r="F16" s="12">
        <f>SUMIFS('Week 16 Apr 13 - Apr 19 2020'!F:F,'Week 16 Apr 13 - Apr 19 2020'!D:D,'Week 17 Apr 20 - Apr 26 2020'!D:D,'Week 16 Apr 13 - Apr 19 2020'!C:C,'Week 17 Apr 20 - Apr 26 2020'!C:C)+Table3611910135557121417525961[[#This Row],[Week Sales]]</f>
        <v>122842</v>
      </c>
      <c r="G16" s="18" t="str">
        <f>(VLOOKUP(D:D,'Week 16 Apr 13 - Apr 19 2020'!D:G,4,FALSE))</f>
        <v>Bandai Namco</v>
      </c>
      <c r="H16" s="67">
        <f>(VLOOKUP(D:D,'Week 16 Apr 13 - Apr 19 2020'!D:H,5,FALSE))</f>
        <v>43916</v>
      </c>
      <c r="I16" s="12">
        <f>_xlfn.IFNA(SUMIFS('Week 16 Apr 13 - Apr 19 2020'!E:E,'Week 16 Apr 13 - Apr 19 2020'!D:D,'Week 17 Apr 20 - Apr 26 2020'!D:D,'Week 16 Apr 13 - Apr 19 2020'!C:C,'Week 17 Apr 20 - Apr 26 2020'!C:C),"New")</f>
        <v>8682</v>
      </c>
      <c r="J16" s="28">
        <f t="shared" si="0"/>
        <v>-0.23692697535130156</v>
      </c>
    </row>
    <row r="17" spans="1:10" x14ac:dyDescent="0.2">
      <c r="A17" s="13">
        <v>16</v>
      </c>
      <c r="B17" s="9" t="s">
        <v>36</v>
      </c>
      <c r="C17" s="9" t="s">
        <v>7</v>
      </c>
      <c r="D17" s="46" t="s">
        <v>240</v>
      </c>
      <c r="E17" s="10">
        <v>6173</v>
      </c>
      <c r="F17" s="10">
        <f>SUMIFS('Week 16 Apr 13 - Apr 19 2020'!F:F,'Week 16 Apr 13 - Apr 19 2020'!D:D,'Week 17 Apr 20 - Apr 26 2020'!D:D,'Week 16 Apr 13 - Apr 19 2020'!C:C,'Week 17 Apr 20 - Apr 26 2020'!C:C)+Table3611910135557121417525961[[#This Row],[Week Sales]]</f>
        <v>6173</v>
      </c>
      <c r="G17" s="9" t="s">
        <v>243</v>
      </c>
      <c r="H17" s="102">
        <v>43944</v>
      </c>
      <c r="I17" s="10" t="s">
        <v>36</v>
      </c>
      <c r="J17" s="92" t="str">
        <f t="shared" si="0"/>
        <v>New</v>
      </c>
    </row>
    <row r="18" spans="1:10" x14ac:dyDescent="0.2">
      <c r="A18" s="25">
        <v>17</v>
      </c>
      <c r="B18" s="18">
        <v>7</v>
      </c>
      <c r="C18" s="18" t="s">
        <v>7</v>
      </c>
      <c r="D18" s="47" t="s">
        <v>221</v>
      </c>
      <c r="E18" s="12">
        <v>5924</v>
      </c>
      <c r="F18" s="12">
        <f>SUMIFS('Week 16 Apr 13 - Apr 19 2020'!F:F,'Week 16 Apr 13 - Apr 19 2020'!D:D,'Week 17 Apr 20 - Apr 26 2020'!D:D,'Week 16 Apr 13 - Apr 19 2020'!C:C,'Week 17 Apr 20 - Apr 26 2020'!C:C)+Table3611910135557121417525961[[#This Row],[Week Sales]]</f>
        <v>104836</v>
      </c>
      <c r="G18" s="18" t="str">
        <f>(VLOOKUP(D:D,'Week 16 Apr 13 - Apr 19 2020'!D:G,4,FALSE))</f>
        <v>Bandai Namco</v>
      </c>
      <c r="H18" s="67">
        <f>(VLOOKUP(D:D,'Week 16 Apr 13 - Apr 19 2020'!D:H,5,FALSE))</f>
        <v>43916</v>
      </c>
      <c r="I18" s="12">
        <f>_xlfn.IFNA(SUMIFS('Week 16 Apr 13 - Apr 19 2020'!E:E,'Week 16 Apr 13 - Apr 19 2020'!D:D,'Week 17 Apr 20 - Apr 26 2020'!D:D,'Week 16 Apr 13 - Apr 19 2020'!C:C,'Week 17 Apr 20 - Apr 26 2020'!C:C),"New")</f>
        <v>8080</v>
      </c>
      <c r="J18" s="28">
        <f t="shared" si="0"/>
        <v>-0.26683168316831685</v>
      </c>
    </row>
    <row r="19" spans="1:10" x14ac:dyDescent="0.2">
      <c r="A19" s="13">
        <v>18</v>
      </c>
      <c r="B19" s="9" t="s">
        <v>36</v>
      </c>
      <c r="C19" s="9" t="s">
        <v>7</v>
      </c>
      <c r="D19" s="46" t="s">
        <v>241</v>
      </c>
      <c r="E19" s="10">
        <v>5874</v>
      </c>
      <c r="F19" s="10">
        <f>SUMIFS('Week 16 Apr 13 - Apr 19 2020'!F:F,'Week 16 Apr 13 - Apr 19 2020'!D:D,'Week 17 Apr 20 - Apr 26 2020'!D:D,'Week 16 Apr 13 - Apr 19 2020'!C:C,'Week 17 Apr 20 - Apr 26 2020'!C:C)+Table3611910135557121417525961[[#This Row],[Week Sales]]</f>
        <v>5874</v>
      </c>
      <c r="G19" s="9" t="s">
        <v>34</v>
      </c>
      <c r="H19" s="102">
        <v>43944</v>
      </c>
      <c r="I19" s="10" t="s">
        <v>36</v>
      </c>
      <c r="J19" s="92" t="str">
        <f t="shared" si="0"/>
        <v>New</v>
      </c>
    </row>
    <row r="20" spans="1:10" x14ac:dyDescent="0.2">
      <c r="A20" s="25">
        <v>19</v>
      </c>
      <c r="B20" s="18">
        <v>15</v>
      </c>
      <c r="C20" s="18" t="s">
        <v>7</v>
      </c>
      <c r="D20" s="47" t="s">
        <v>39</v>
      </c>
      <c r="E20" s="12">
        <v>5281</v>
      </c>
      <c r="F20" s="12">
        <f>SUMIFS('Week 16 Apr 13 - Apr 19 2020'!F:F,'Week 16 Apr 13 - Apr 19 2020'!D:D,'Week 17 Apr 20 - Apr 26 2020'!D:D,'Week 16 Apr 13 - Apr 19 2020'!C:C,'Week 17 Apr 20 - Apr 26 2020'!C:C)+Table3611910135557121417525961[[#This Row],[Week Sales]]</f>
        <v>1571043</v>
      </c>
      <c r="G20" s="18" t="str">
        <f>(VLOOKUP(D:D,'Week 16 Apr 13 - Apr 19 2020'!D:G,4,FALSE))</f>
        <v>Nintendo</v>
      </c>
      <c r="H20" s="67">
        <f>(VLOOKUP(D:D,'Week 16 Apr 13 - Apr 19 2020'!D:H,5,FALSE))</f>
        <v>42797</v>
      </c>
      <c r="I20" s="12">
        <f>_xlfn.IFNA(SUMIFS('Week 16 Apr 13 - Apr 19 2020'!E:E,'Week 16 Apr 13 - Apr 19 2020'!D:D,'Week 17 Apr 20 - Apr 26 2020'!D:D,'Week 16 Apr 13 - Apr 19 2020'!C:C,'Week 17 Apr 20 - Apr 26 2020'!C:C),"New")</f>
        <v>4332</v>
      </c>
      <c r="J20" s="28">
        <f t="shared" si="0"/>
        <v>0.21906740535549399</v>
      </c>
    </row>
    <row r="21" spans="1:10" x14ac:dyDescent="0.2">
      <c r="A21" s="25">
        <v>20</v>
      </c>
      <c r="B21" s="18">
        <v>12</v>
      </c>
      <c r="C21" s="18" t="s">
        <v>7</v>
      </c>
      <c r="D21" s="47" t="s">
        <v>17</v>
      </c>
      <c r="E21" s="12">
        <v>4889</v>
      </c>
      <c r="F21" s="12">
        <f>SUMIFS('Week 16 Apr 13 - Apr 19 2020'!F:F,'Week 16 Apr 13 - Apr 19 2020'!D:D,'Week 17 Apr 20 - Apr 26 2020'!D:D,'Week 16 Apr 13 - Apr 19 2020'!C:C,'Week 17 Apr 20 - Apr 26 2020'!C:C)+Table3611910135557121417525961[[#This Row],[Week Sales]]</f>
        <v>826661</v>
      </c>
      <c r="G21" s="18" t="str">
        <f>(VLOOKUP(D:D,'Week 16 Apr 13 - Apr 19 2020'!D:G,4,FALSE))</f>
        <v>Nintendo</v>
      </c>
      <c r="H21" s="67">
        <f>(VLOOKUP(D:D,'Week 16 Apr 13 - Apr 19 2020'!D:H,5,FALSE))</f>
        <v>43476</v>
      </c>
      <c r="I21" s="12">
        <f>_xlfn.IFNA(SUMIFS('Week 16 Apr 13 - Apr 19 2020'!E:E,'Week 16 Apr 13 - Apr 19 2020'!D:D,'Week 17 Apr 20 - Apr 26 2020'!D:D,'Week 16 Apr 13 - Apr 19 2020'!C:C,'Week 17 Apr 20 - Apr 26 2020'!C:C),"New")</f>
        <v>4705</v>
      </c>
      <c r="J21" s="28">
        <f t="shared" si="0"/>
        <v>3.910733262486716E-2</v>
      </c>
    </row>
    <row r="22" spans="1:10" x14ac:dyDescent="0.2">
      <c r="A22" s="25">
        <v>21</v>
      </c>
      <c r="B22" s="18">
        <v>17</v>
      </c>
      <c r="C22" s="18" t="s">
        <v>8</v>
      </c>
      <c r="D22" s="47" t="s">
        <v>99</v>
      </c>
      <c r="E22" s="12">
        <v>4753</v>
      </c>
      <c r="F22" s="12">
        <f>SUMIFS('Week 16 Apr 13 - Apr 19 2020'!F:F,'Week 16 Apr 13 - Apr 19 2020'!D:D,'Week 17 Apr 20 - Apr 26 2020'!D:D,'Week 16 Apr 13 - Apr 19 2020'!C:C,'Week 17 Apr 20 - Apr 26 2020'!C:C)+Table3611910135557121417525961[[#This Row],[Week Sales]]</f>
        <v>459477</v>
      </c>
      <c r="G22" s="18" t="str">
        <f>(VLOOKUP(D:D,'Week 16 Apr 13 - Apr 19 2020'!D:G,4,FALSE))</f>
        <v>Capcom</v>
      </c>
      <c r="H22" s="67">
        <f>(VLOOKUP(D:D,'Week 16 Apr 13 - Apr 19 2020'!D:H,5,FALSE))</f>
        <v>43714</v>
      </c>
      <c r="I22" s="12">
        <f>_xlfn.IFNA(SUMIFS('Week 16 Apr 13 - Apr 19 2020'!E:E,'Week 16 Apr 13 - Apr 19 2020'!D:D,'Week 17 Apr 20 - Apr 26 2020'!D:D,'Week 16 Apr 13 - Apr 19 2020'!C:C,'Week 17 Apr 20 - Apr 26 2020'!C:C),"New")</f>
        <v>3774</v>
      </c>
      <c r="J22" s="28">
        <f t="shared" si="0"/>
        <v>0.25940646528881822</v>
      </c>
    </row>
    <row r="23" spans="1:10" x14ac:dyDescent="0.2">
      <c r="A23" s="25">
        <v>22</v>
      </c>
      <c r="B23" s="18">
        <v>20</v>
      </c>
      <c r="C23" s="18" t="s">
        <v>7</v>
      </c>
      <c r="D23" s="47" t="s">
        <v>16</v>
      </c>
      <c r="E23" s="12">
        <v>4698</v>
      </c>
      <c r="F23" s="12">
        <f>SUMIFS('Week 16 Apr 13 - Apr 19 2020'!F:F,'Week 16 Apr 13 - Apr 19 2020'!D:D,'Week 17 Apr 20 - Apr 26 2020'!D:D,'Week 16 Apr 13 - Apr 19 2020'!C:C,'Week 17 Apr 20 - Apr 26 2020'!C:C)+Table3611910135557121417525961[[#This Row],[Week Sales]]</f>
        <v>202383</v>
      </c>
      <c r="G23" s="18" t="str">
        <f>(VLOOKUP(D:D,'Week 16 Apr 13 - Apr 19 2020'!D:G,4,FALSE))</f>
        <v>Nintendo</v>
      </c>
      <c r="H23" s="67">
        <f>(VLOOKUP(D:D,'Week 16 Apr 13 - Apr 19 2020'!D:H,5,FALSE))</f>
        <v>43826</v>
      </c>
      <c r="I23" s="12">
        <f>_xlfn.IFNA(SUMIFS('Week 16 Apr 13 - Apr 19 2020'!E:E,'Week 16 Apr 13 - Apr 19 2020'!D:D,'Week 17 Apr 20 - Apr 26 2020'!D:D,'Week 16 Apr 13 - Apr 19 2020'!C:C,'Week 17 Apr 20 - Apr 26 2020'!C:C),"New")</f>
        <v>3343</v>
      </c>
      <c r="J23" s="28">
        <f t="shared" si="0"/>
        <v>0.40532455877953932</v>
      </c>
    </row>
    <row r="24" spans="1:10" x14ac:dyDescent="0.2">
      <c r="A24" s="25">
        <v>23</v>
      </c>
      <c r="B24" s="18">
        <v>21</v>
      </c>
      <c r="C24" s="18" t="s">
        <v>7</v>
      </c>
      <c r="D24" s="47" t="s">
        <v>19</v>
      </c>
      <c r="E24" s="12">
        <v>4229</v>
      </c>
      <c r="F24" s="12">
        <f>SUMIFS('Week 16 Apr 13 - Apr 19 2020'!F:F,'Week 16 Apr 13 - Apr 19 2020'!D:D,'Week 17 Apr 20 - Apr 26 2020'!D:D,'Week 16 Apr 13 - Apr 19 2020'!C:C,'Week 17 Apr 20 - Apr 26 2020'!C:C)+Table3611910135557121417525961[[#This Row],[Week Sales]]</f>
        <v>899047</v>
      </c>
      <c r="G24" s="18" t="str">
        <f>(VLOOKUP(D:D,'Week 16 Apr 13 - Apr 19 2020'!D:G,4,FALSE))</f>
        <v>Nintendo</v>
      </c>
      <c r="H24" s="67">
        <f>(VLOOKUP(D:D,'Week 16 Apr 13 - Apr 19 2020'!D:H,5,FALSE))</f>
        <v>43644</v>
      </c>
      <c r="I24" s="12">
        <f>_xlfn.IFNA(SUMIFS('Week 16 Apr 13 - Apr 19 2020'!E:E,'Week 16 Apr 13 - Apr 19 2020'!D:D,'Week 17 Apr 20 - Apr 26 2020'!D:D,'Week 16 Apr 13 - Apr 19 2020'!C:C,'Week 17 Apr 20 - Apr 26 2020'!C:C),"New")</f>
        <v>3247</v>
      </c>
      <c r="J24" s="28">
        <f t="shared" si="0"/>
        <v>0.30243301509085307</v>
      </c>
    </row>
    <row r="25" spans="1:10" x14ac:dyDescent="0.2">
      <c r="A25" s="25">
        <v>24</v>
      </c>
      <c r="B25" s="18">
        <v>23</v>
      </c>
      <c r="C25" s="18" t="s">
        <v>8</v>
      </c>
      <c r="D25" s="86" t="s">
        <v>187</v>
      </c>
      <c r="E25" s="12">
        <v>3939</v>
      </c>
      <c r="F25" s="12">
        <f>SUMIFS('Week 16 Apr 13 - Apr 19 2020'!F:F,'Week 16 Apr 13 - Apr 19 2020'!D:D,'Week 17 Apr 20 - Apr 26 2020'!D:D,'Week 16 Apr 13 - Apr 19 2020'!C:C,'Week 17 Apr 20 - Apr 26 2020'!C:C)+Table3611910135557121417525961[[#This Row],[Week Sales]]</f>
        <v>40181</v>
      </c>
      <c r="G25" s="18" t="str">
        <f>(VLOOKUP(D:D,'Week 16 Apr 13 - Apr 19 2020'!D:G,4,FALSE))</f>
        <v>Rockstar Games</v>
      </c>
      <c r="H25" s="67">
        <f>(VLOOKUP(D:D,'Week 16 Apr 13 - Apr 19 2020'!D:H,5,FALSE))</f>
        <v>43440</v>
      </c>
      <c r="I25" s="12">
        <f>_xlfn.IFNA(SUMIFS('Week 16 Apr 13 - Apr 19 2020'!E:E,'Week 16 Apr 13 - Apr 19 2020'!D:D,'Week 17 Apr 20 - Apr 26 2020'!D:D,'Week 16 Apr 13 - Apr 19 2020'!C:C,'Week 17 Apr 20 - Apr 26 2020'!C:C),"New")</f>
        <v>2932</v>
      </c>
      <c r="J25" s="28">
        <f t="shared" si="0"/>
        <v>0.34345156889495226</v>
      </c>
    </row>
    <row r="26" spans="1:10" x14ac:dyDescent="0.2">
      <c r="A26" s="25">
        <v>25</v>
      </c>
      <c r="B26" s="18">
        <v>16</v>
      </c>
      <c r="C26" s="18" t="s">
        <v>8</v>
      </c>
      <c r="D26" s="47" t="s">
        <v>214</v>
      </c>
      <c r="E26" s="12">
        <v>3903</v>
      </c>
      <c r="F26" s="12">
        <f>SUMIFS('Week 16 Apr 13 - Apr 19 2020'!F:F,'Week 16 Apr 13 - Apr 19 2020'!D:D,'Week 17 Apr 20 - Apr 26 2020'!D:D,'Week 16 Apr 13 - Apr 19 2020'!C:C,'Week 17 Apr 20 - Apr 26 2020'!C:C)+Table3611910135557121417525961[[#This Row],[Week Sales]]</f>
        <v>150286</v>
      </c>
      <c r="G26" s="18" t="str">
        <f>(VLOOKUP(D:D,'Week 16 Apr 13 - Apr 19 2020'!D:G,4,FALSE))</f>
        <v>Koei Tecmo</v>
      </c>
      <c r="H26" s="67">
        <f>(VLOOKUP(D:D,'Week 16 Apr 13 - Apr 19 2020'!D:H,5,FALSE))</f>
        <v>43902</v>
      </c>
      <c r="I26" s="12">
        <f>_xlfn.IFNA(SUMIFS('Week 16 Apr 13 - Apr 19 2020'!E:E,'Week 16 Apr 13 - Apr 19 2020'!D:D,'Week 17 Apr 20 - Apr 26 2020'!D:D,'Week 16 Apr 13 - Apr 19 2020'!C:C,'Week 17 Apr 20 - Apr 26 2020'!C:C),"New")</f>
        <v>4410</v>
      </c>
      <c r="J26" s="28">
        <f t="shared" si="0"/>
        <v>-0.11496598639455782</v>
      </c>
    </row>
    <row r="27" spans="1:10" x14ac:dyDescent="0.2">
      <c r="A27" s="13">
        <v>26</v>
      </c>
      <c r="B27" s="9" t="s">
        <v>36</v>
      </c>
      <c r="C27" s="9" t="s">
        <v>8</v>
      </c>
      <c r="D27" s="95" t="s">
        <v>242</v>
      </c>
      <c r="E27" s="10">
        <v>3868</v>
      </c>
      <c r="F27" s="10">
        <f>SUMIFS('Week 16 Apr 13 - Apr 19 2020'!F:F,'Week 16 Apr 13 - Apr 19 2020'!D:D,'Week 17 Apr 20 - Apr 26 2020'!D:D,'Week 16 Apr 13 - Apr 19 2020'!C:C,'Week 17 Apr 20 - Apr 26 2020'!C:C)+Table3611910135557121417525961[[#This Row],[Week Sales]]</f>
        <v>3868</v>
      </c>
      <c r="G27" s="9" t="s">
        <v>100</v>
      </c>
      <c r="H27" s="102">
        <v>43944</v>
      </c>
      <c r="I27" s="10" t="s">
        <v>36</v>
      </c>
      <c r="J27" s="92" t="str">
        <f t="shared" si="0"/>
        <v>New</v>
      </c>
    </row>
    <row r="28" spans="1:10" x14ac:dyDescent="0.2">
      <c r="A28" s="25">
        <v>27</v>
      </c>
      <c r="B28" s="18">
        <v>13</v>
      </c>
      <c r="C28" s="18" t="s">
        <v>7</v>
      </c>
      <c r="D28" s="47" t="s">
        <v>209</v>
      </c>
      <c r="E28" s="12">
        <v>3655</v>
      </c>
      <c r="F28" s="12">
        <f>SUMIFS('Week 16 Apr 13 - Apr 19 2020'!F:F,'Week 16 Apr 13 - Apr 19 2020'!D:D,'Week 17 Apr 20 - Apr 26 2020'!D:D,'Week 16 Apr 13 - Apr 19 2020'!C:C,'Week 17 Apr 20 - Apr 26 2020'!C:C)+Table3611910135557121417525961[[#This Row],[Week Sales]]</f>
        <v>241611</v>
      </c>
      <c r="G28" s="18" t="str">
        <f>(VLOOKUP(D:D,'Week 16 Apr 13 - Apr 19 2020'!D:G,4,FALSE))</f>
        <v>The Pokemon Company</v>
      </c>
      <c r="H28" s="67">
        <f>(VLOOKUP(D:D,'Week 16 Apr 13 - Apr 19 2020'!D:H,5,FALSE))</f>
        <v>43896</v>
      </c>
      <c r="I28" s="12">
        <f>_xlfn.IFNA(SUMIFS('Week 16 Apr 13 - Apr 19 2020'!E:E,'Week 16 Apr 13 - Apr 19 2020'!D:D,'Week 17 Apr 20 - Apr 26 2020'!D:D,'Week 16 Apr 13 - Apr 19 2020'!C:C,'Week 17 Apr 20 - Apr 26 2020'!C:C),"New")</f>
        <v>4621</v>
      </c>
      <c r="J28" s="28">
        <f t="shared" si="0"/>
        <v>-0.20904566111231335</v>
      </c>
    </row>
    <row r="29" spans="1:10" x14ac:dyDescent="0.2">
      <c r="A29" s="25">
        <v>28</v>
      </c>
      <c r="B29" s="18">
        <v>22</v>
      </c>
      <c r="C29" s="18" t="s">
        <v>7</v>
      </c>
      <c r="D29" s="47" t="s">
        <v>20</v>
      </c>
      <c r="E29" s="12">
        <v>3493</v>
      </c>
      <c r="F29" s="12">
        <f>SUMIFS('Week 16 Apr 13 - Apr 19 2020'!F:F,'Week 16 Apr 13 - Apr 19 2020'!D:D,'Week 17 Apr 20 - Apr 26 2020'!D:D,'Week 16 Apr 13 - Apr 19 2020'!C:C,'Week 17 Apr 20 - Apr 26 2020'!C:C)+Table3611910135557121417525961[[#This Row],[Week Sales]]</f>
        <v>427460</v>
      </c>
      <c r="G29" s="18" t="str">
        <f>(VLOOKUP(D:D,'Week 16 Apr 13 - Apr 19 2020'!D:G,4,FALSE))</f>
        <v>Bandai Namco</v>
      </c>
      <c r="H29" s="67">
        <f>(VLOOKUP(D:D,'Week 16 Apr 13 - Apr 19 2020'!D:H,5,FALSE))</f>
        <v>43671</v>
      </c>
      <c r="I29" s="12">
        <f>_xlfn.IFNA(SUMIFS('Week 16 Apr 13 - Apr 19 2020'!E:E,'Week 16 Apr 13 - Apr 19 2020'!D:D,'Week 17 Apr 20 - Apr 26 2020'!D:D,'Week 16 Apr 13 - Apr 19 2020'!C:C,'Week 17 Apr 20 - Apr 26 2020'!C:C),"New")</f>
        <v>3050</v>
      </c>
      <c r="J29" s="28">
        <f t="shared" si="0"/>
        <v>0.14524590163934425</v>
      </c>
    </row>
    <row r="30" spans="1:10" x14ac:dyDescent="0.2">
      <c r="A30" s="25">
        <v>29</v>
      </c>
      <c r="B30" s="18">
        <v>18</v>
      </c>
      <c r="C30" s="18" t="s">
        <v>7</v>
      </c>
      <c r="D30" s="47" t="s">
        <v>80</v>
      </c>
      <c r="E30" s="12">
        <v>2961</v>
      </c>
      <c r="F30" s="12">
        <f>SUMIFS('Week 16 Apr 13 - Apr 19 2020'!F:F,'Week 16 Apr 13 - Apr 19 2020'!D:D,'Week 17 Apr 20 - Apr 26 2020'!D:D,'Week 16 Apr 13 - Apr 19 2020'!C:C,'Week 17 Apr 20 - Apr 26 2020'!C:C)+Table3611910135557121417525961[[#This Row],[Week Sales]]</f>
        <v>305246</v>
      </c>
      <c r="G30" s="18" t="str">
        <f>(VLOOKUP(D:D,'Week 16 Apr 13 - Apr 19 2020'!D:G,4,FALSE))</f>
        <v>Sega</v>
      </c>
      <c r="H30" s="67">
        <f>(VLOOKUP(D:D,'Week 16 Apr 13 - Apr 19 2020'!D:H,5,FALSE))</f>
        <v>43770</v>
      </c>
      <c r="I30" s="12">
        <f>_xlfn.IFNA(SUMIFS('Week 16 Apr 13 - Apr 19 2020'!E:E,'Week 16 Apr 13 - Apr 19 2020'!D:D,'Week 17 Apr 20 - Apr 26 2020'!D:D,'Week 16 Apr 13 - Apr 19 2020'!C:C,'Week 17 Apr 20 - Apr 26 2020'!C:C),"New")</f>
        <v>3757</v>
      </c>
      <c r="J30" s="28">
        <f t="shared" si="0"/>
        <v>-0.21187117380889006</v>
      </c>
    </row>
    <row r="31" spans="1:10" x14ac:dyDescent="0.2">
      <c r="A31" s="35">
        <v>30</v>
      </c>
      <c r="B31" s="31" t="s">
        <v>53</v>
      </c>
      <c r="C31" s="31" t="s">
        <v>7</v>
      </c>
      <c r="D31" s="58" t="s">
        <v>218</v>
      </c>
      <c r="E31" s="33">
        <v>2714</v>
      </c>
      <c r="F31" s="33">
        <v>11813</v>
      </c>
      <c r="G31" s="31" t="s">
        <v>140</v>
      </c>
      <c r="H31" s="93">
        <v>43902</v>
      </c>
      <c r="I31" s="33"/>
      <c r="J31" s="97"/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671290</v>
      </c>
      <c r="F33" s="2"/>
      <c r="I33" s="2"/>
      <c r="J33" s="19"/>
    </row>
    <row r="34" spans="1:10" x14ac:dyDescent="0.2">
      <c r="A34" s="3"/>
      <c r="B34" s="3"/>
      <c r="D34" s="100" t="s">
        <v>178</v>
      </c>
      <c r="E34" s="101">
        <f>SUM('Week 16 Apr 13 - Apr 19 2020'!E34,'Week 17 Apr 20 - Apr 26 2020'!E33)</f>
        <v>9845265</v>
      </c>
      <c r="F34" s="2"/>
      <c r="I34" s="2"/>
      <c r="J34" s="19"/>
    </row>
    <row r="35" spans="1:10" x14ac:dyDescent="0.2">
      <c r="A35" s="3"/>
      <c r="B35" s="3"/>
      <c r="D35" s="2" t="s">
        <v>60</v>
      </c>
      <c r="E35" s="2">
        <f>AVERAGE(E2:E31)</f>
        <v>22376.333333333332</v>
      </c>
      <c r="F35" s="2"/>
      <c r="I35" s="2"/>
      <c r="J35" s="19"/>
    </row>
    <row r="36" spans="1:10" x14ac:dyDescent="0.2">
      <c r="A36" s="3"/>
      <c r="B36" s="3"/>
      <c r="D36" s="9" t="s">
        <v>78</v>
      </c>
      <c r="E36" s="10">
        <f>COUNTIF(B:B,"New")</f>
        <v>7</v>
      </c>
      <c r="F36" s="2"/>
      <c r="I36" s="2"/>
      <c r="J36" s="19"/>
    </row>
    <row r="37" spans="1:10" x14ac:dyDescent="0.2">
      <c r="A37" s="3"/>
      <c r="B37" s="3"/>
      <c r="E37" s="2"/>
      <c r="F37" s="2"/>
      <c r="I37" s="2"/>
      <c r="J37" s="19"/>
    </row>
    <row r="38" spans="1:10" x14ac:dyDescent="0.2">
      <c r="A38" s="3"/>
      <c r="B38" s="3"/>
      <c r="D38" t="s">
        <v>66</v>
      </c>
      <c r="E38" s="2"/>
      <c r="F38" s="2"/>
      <c r="I38" s="2"/>
      <c r="J38" s="19"/>
    </row>
    <row r="39" spans="1:10" x14ac:dyDescent="0.2">
      <c r="A39" s="3"/>
      <c r="B39" s="3"/>
      <c r="D39" s="8" t="s">
        <v>67</v>
      </c>
      <c r="E39" s="2"/>
      <c r="F39" s="2"/>
      <c r="I39" s="2"/>
      <c r="J39" s="19"/>
    </row>
    <row r="40" spans="1:10" x14ac:dyDescent="0.2">
      <c r="A40" s="3"/>
      <c r="B40" s="3"/>
      <c r="D40" s="8" t="s">
        <v>65</v>
      </c>
      <c r="E40" s="2"/>
      <c r="F40" s="2"/>
      <c r="I40" s="2"/>
      <c r="J40" s="19"/>
    </row>
    <row r="41" spans="1:10" x14ac:dyDescent="0.2">
      <c r="D41" s="8" t="s">
        <v>71</v>
      </c>
    </row>
  </sheetData>
  <hyperlinks>
    <hyperlink ref="D41" r:id="rId1" xr:uid="{1CFBCC86-5F40-E246-A84B-7337CADA7F9C}"/>
    <hyperlink ref="D40" r:id="rId2" xr:uid="{318C05D4-DD34-E043-88C8-F1B08A2D88B5}"/>
    <hyperlink ref="D39" r:id="rId3" xr:uid="{CFD207BD-F90D-FE41-B7A4-D68C8F82FFDA}"/>
  </hyperlinks>
  <pageMargins left="0.7" right="0.7" top="0.75" bottom="0.75" header="0.3" footer="0.3"/>
  <pageSetup paperSize="9" orientation="portrait" horizontalDpi="0" verticalDpi="0"/>
  <ignoredErrors>
    <ignoredError sqref="F2:H31" calculatedColumn="1"/>
  </ignoredErrors>
  <tableParts count="1">
    <tablePart r:id="rId4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F2B3B-1310-924B-8C94-275426A35064}">
  <dimension ref="A1:J42"/>
  <sheetViews>
    <sheetView workbookViewId="0">
      <selection activeCell="D12" sqref="D12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9.8320312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0" x14ac:dyDescent="0.2">
      <c r="A2" s="25">
        <v>1</v>
      </c>
      <c r="B2" s="18">
        <v>1</v>
      </c>
      <c r="C2" s="18" t="s">
        <v>7</v>
      </c>
      <c r="D2" s="86" t="s">
        <v>46</v>
      </c>
      <c r="E2" s="12">
        <v>260357</v>
      </c>
      <c r="F2" s="12">
        <f>SUMIFS('Week 17 Apr 20 - Apr 26 2020'!F:F,'Week 17 Apr 20 - Apr 26 2020'!D:D,'Week 18 Apr 27 - May 3 2020'!D:D,'Week 17 Apr 20 - Apr 26 2020'!C:C,'Week 18 Apr 27 - May 3 2020'!C:C)+Table361191013555712141752596163[[#This Row],[Week Sales]]</f>
        <v>4155516</v>
      </c>
      <c r="G2" s="18" t="str">
        <f>(VLOOKUP(D:D,'Week 17 Apr 20 - Apr 26 2020'!D:G,4,FALSE))</f>
        <v>Nintendo</v>
      </c>
      <c r="H2" s="67">
        <f>(VLOOKUP(D:D,'Week 17 Apr 20 - Apr 26 2020'!D:H,5,FALSE))</f>
        <v>43910</v>
      </c>
      <c r="I2" s="12">
        <f>_xlfn.IFNA(SUMIFS('Week 17 Apr 20 - Apr 26 2020'!E:E,'Week 17 Apr 20 - Apr 26 2020'!D:D,'Week 18 Apr 27 - May 3 2020'!D:D,'Week 17 Apr 20 - Apr 26 2020'!C:C,'Week 18 Apr 27 - May 3 2020'!C:C),"New")</f>
        <v>283913</v>
      </c>
      <c r="J2" s="28">
        <f>IFERROR((E2-I2)/I2,"New")</f>
        <v>-8.2969078555754749E-2</v>
      </c>
    </row>
    <row r="3" spans="1:10" x14ac:dyDescent="0.2">
      <c r="A3" s="106">
        <v>2</v>
      </c>
      <c r="B3" s="107">
        <v>6</v>
      </c>
      <c r="C3" s="107" t="s">
        <v>7</v>
      </c>
      <c r="D3" s="108" t="s">
        <v>45</v>
      </c>
      <c r="E3" s="109">
        <v>81649</v>
      </c>
      <c r="F3" s="109">
        <f>SUMIFS('Week 17 Apr 20 - Apr 26 2020'!F:F,'Week 17 Apr 20 - Apr 26 2020'!D:D,'Week 18 Apr 27 - May 3 2020'!D:D,'Week 17 Apr 20 - Apr 26 2020'!C:C,'Week 18 Apr 27 - May 3 2020'!C:C)+Table361191013555712141752596163[[#This Row],[Week Sales]]</f>
        <v>860592</v>
      </c>
      <c r="G3" s="107" t="str">
        <f>(VLOOKUP(D:D,'Week 17 Apr 20 - Apr 26 2020'!D:G,4,FALSE))</f>
        <v>Nintendo</v>
      </c>
      <c r="H3" s="110">
        <f>(VLOOKUP(D:D,'Week 17 Apr 20 - Apr 26 2020'!D:H,5,FALSE))</f>
        <v>43756</v>
      </c>
      <c r="I3" s="109">
        <f>_xlfn.IFNA(SUMIFS('Week 17 Apr 20 - Apr 26 2020'!E:E,'Week 17 Apr 20 - Apr 26 2020'!D:D,'Week 18 Apr 27 - May 3 2020'!D:D,'Week 17 Apr 20 - Apr 26 2020'!C:C,'Week 18 Apr 27 - May 3 2020'!C:C),"New")</f>
        <v>12351</v>
      </c>
      <c r="J3" s="111">
        <f>IFERROR((E3-I3)/I3,"New")</f>
        <v>5.6107197797749171</v>
      </c>
    </row>
    <row r="4" spans="1:10" x14ac:dyDescent="0.2">
      <c r="A4" s="25">
        <v>3</v>
      </c>
      <c r="B4" s="18">
        <v>4</v>
      </c>
      <c r="C4" s="18" t="s">
        <v>8</v>
      </c>
      <c r="D4" s="47" t="s">
        <v>234</v>
      </c>
      <c r="E4" s="12">
        <v>39485</v>
      </c>
      <c r="F4" s="12">
        <f>SUMIFS('Week 17 Apr 20 - Apr 26 2020'!F:F,'Week 17 Apr 20 - Apr 26 2020'!D:D,'Week 18 Apr 27 - May 3 2020'!D:D,'Week 17 Apr 20 - Apr 26 2020'!C:C,'Week 18 Apr 27 - May 3 2020'!C:C)+Table361191013555712141752596163[[#This Row],[Week Sales]]</f>
        <v>878559</v>
      </c>
      <c r="G4" s="18" t="str">
        <f>(VLOOKUP(D:D,'Week 17 Apr 20 - Apr 26 2020'!D:G,4,FALSE))</f>
        <v>Square Enix</v>
      </c>
      <c r="H4" s="67">
        <f>(VLOOKUP(D:D,'Week 17 Apr 20 - Apr 26 2020'!D:H,5,FALSE))</f>
        <v>43931</v>
      </c>
      <c r="I4" s="12">
        <f>_xlfn.IFNA(SUMIFS('Week 17 Apr 20 - Apr 26 2020'!E:E,'Week 17 Apr 20 - Apr 26 2020'!D:D,'Week 18 Apr 27 - May 3 2020'!D:D,'Week 17 Apr 20 - Apr 26 2020'!C:C,'Week 18 Apr 27 - May 3 2020'!C:C),"New")</f>
        <v>65569</v>
      </c>
      <c r="J4" s="28">
        <f t="shared" ref="J4:J31" si="0">IFERROR((E4-I4)/I4,"New")</f>
        <v>-0.39780994067318398</v>
      </c>
    </row>
    <row r="5" spans="1:10" x14ac:dyDescent="0.2">
      <c r="A5" s="25">
        <v>4</v>
      </c>
      <c r="B5" s="18">
        <v>2</v>
      </c>
      <c r="C5" s="18" t="s">
        <v>8</v>
      </c>
      <c r="D5" s="47" t="s">
        <v>237</v>
      </c>
      <c r="E5" s="12">
        <v>24067</v>
      </c>
      <c r="F5" s="12">
        <f>SUMIFS('Week 17 Apr 20 - Apr 26 2020'!F:F,'Week 17 Apr 20 - Apr 26 2020'!D:D,'Week 18 Apr 27 - May 3 2020'!D:D,'Week 17 Apr 20 - Apr 26 2020'!C:C,'Week 18 Apr 27 - May 3 2020'!C:C)+Table361191013555712141752596163[[#This Row],[Week Sales]]</f>
        <v>104450</v>
      </c>
      <c r="G5" s="18" t="str">
        <f>(VLOOKUP(D:D,'Week 17 Apr 20 - Apr 26 2020'!D:G,4,FALSE))</f>
        <v>Square Enix</v>
      </c>
      <c r="H5" s="67">
        <f>(VLOOKUP(D:D,'Week 17 Apr 20 - Apr 26 2020'!D:H,5,FALSE))</f>
        <v>43945</v>
      </c>
      <c r="I5" s="12">
        <f>_xlfn.IFNA(SUMIFS('Week 17 Apr 20 - Apr 26 2020'!E:E,'Week 17 Apr 20 - Apr 26 2020'!D:D,'Week 18 Apr 27 - May 3 2020'!D:D,'Week 17 Apr 20 - Apr 26 2020'!C:C,'Week 18 Apr 27 - May 3 2020'!C:C),"New")</f>
        <v>80383</v>
      </c>
      <c r="J5" s="28">
        <f t="shared" si="0"/>
        <v>-0.70059589714243065</v>
      </c>
    </row>
    <row r="6" spans="1:10" x14ac:dyDescent="0.2">
      <c r="A6" s="25">
        <v>5</v>
      </c>
      <c r="B6" s="18">
        <v>5</v>
      </c>
      <c r="C6" s="18" t="s">
        <v>7</v>
      </c>
      <c r="D6" s="47" t="s">
        <v>49</v>
      </c>
      <c r="E6" s="12">
        <v>20396</v>
      </c>
      <c r="F6" s="12">
        <f>SUMIFS('Week 17 Apr 20 - Apr 26 2020'!F:F,'Week 17 Apr 20 - Apr 26 2020'!D:D,'Week 18 Apr 27 - May 3 2020'!D:D,'Week 17 Apr 20 - Apr 26 2020'!C:C,'Week 18 Apr 27 - May 3 2020'!C:C)+Table361191013555712141752596163[[#This Row],[Week Sales]]</f>
        <v>2918245</v>
      </c>
      <c r="G6" s="18" t="str">
        <f>(VLOOKUP(D:D,'Week 17 Apr 20 - Apr 26 2020'!D:G,4,FALSE))</f>
        <v>Nintendo</v>
      </c>
      <c r="H6" s="67">
        <f>(VLOOKUP(D:D,'Week 17 Apr 20 - Apr 26 2020'!D:H,5,FALSE))</f>
        <v>42853</v>
      </c>
      <c r="I6" s="12">
        <f>_xlfn.IFNA(SUMIFS('Week 17 Apr 20 - Apr 26 2020'!E:E,'Week 17 Apr 20 - Apr 26 2020'!D:D,'Week 18 Apr 27 - May 3 2020'!D:D,'Week 17 Apr 20 - Apr 26 2020'!C:C,'Week 18 Apr 27 - May 3 2020'!C:C),"New")</f>
        <v>15264</v>
      </c>
      <c r="J6" s="28">
        <f t="shared" si="0"/>
        <v>0.33621593291404611</v>
      </c>
    </row>
    <row r="7" spans="1:10" x14ac:dyDescent="0.2">
      <c r="A7" s="25">
        <v>6</v>
      </c>
      <c r="B7" s="18">
        <v>9</v>
      </c>
      <c r="C7" s="18" t="s">
        <v>7</v>
      </c>
      <c r="D7" s="47" t="s">
        <v>13</v>
      </c>
      <c r="E7" s="12">
        <v>13920</v>
      </c>
      <c r="F7" s="12">
        <f>SUMIFS('Week 17 Apr 20 - Apr 26 2020'!F:F,'Week 17 Apr 20 - Apr 26 2020'!D:D,'Week 18 Apr 27 - May 3 2020'!D:D,'Week 17 Apr 20 - Apr 26 2020'!C:C,'Week 18 Apr 27 - May 3 2020'!C:C)+Table361191013555712141752596163[[#This Row],[Week Sales]]</f>
        <v>1430200</v>
      </c>
      <c r="G7" s="18" t="str">
        <f>(VLOOKUP(D:D,'Week 17 Apr 20 - Apr 26 2020'!D:G,4,FALSE))</f>
        <v>Nintendo</v>
      </c>
      <c r="H7" s="67">
        <f>(VLOOKUP(D:D,'Week 17 Apr 20 - Apr 26 2020'!D:H,5,FALSE))</f>
        <v>43378</v>
      </c>
      <c r="I7" s="12">
        <f>_xlfn.IFNA(SUMIFS('Week 17 Apr 20 - Apr 26 2020'!E:E,'Week 17 Apr 20 - Apr 26 2020'!D:D,'Week 18 Apr 27 - May 3 2020'!D:D,'Week 17 Apr 20 - Apr 26 2020'!C:C,'Week 18 Apr 27 - May 3 2020'!C:C),"New")</f>
        <v>9377</v>
      </c>
      <c r="J7" s="28">
        <f t="shared" si="0"/>
        <v>0.48448331022715152</v>
      </c>
    </row>
    <row r="8" spans="1:10" x14ac:dyDescent="0.2">
      <c r="A8" s="25">
        <v>7</v>
      </c>
      <c r="B8" s="18">
        <v>8</v>
      </c>
      <c r="C8" s="18" t="s">
        <v>7</v>
      </c>
      <c r="D8" s="47" t="s">
        <v>52</v>
      </c>
      <c r="E8" s="12">
        <v>13390</v>
      </c>
      <c r="F8" s="12">
        <f>SUMIFS('Week 17 Apr 20 - Apr 26 2020'!F:F,'Week 17 Apr 20 - Apr 26 2020'!D:D,'Week 18 Apr 27 - May 3 2020'!D:D,'Week 17 Apr 20 - Apr 26 2020'!C:C,'Week 18 Apr 27 - May 3 2020'!C:C)+Table361191013555712141752596163[[#This Row],[Week Sales]]</f>
        <v>3678894</v>
      </c>
      <c r="G8" s="18" t="str">
        <f>(VLOOKUP(D:D,'Week 17 Apr 20 - Apr 26 2020'!D:G,4,FALSE))</f>
        <v>Nintendo</v>
      </c>
      <c r="H8" s="67">
        <f>(VLOOKUP(D:D,'Week 17 Apr 20 - Apr 26 2020'!D:H,5,FALSE))</f>
        <v>43441</v>
      </c>
      <c r="I8" s="12">
        <f>_xlfn.IFNA(SUMIFS('Week 17 Apr 20 - Apr 26 2020'!E:E,'Week 17 Apr 20 - Apr 26 2020'!D:D,'Week 18 Apr 27 - May 3 2020'!D:D,'Week 17 Apr 20 - Apr 26 2020'!C:C,'Week 18 Apr 27 - May 3 2020'!C:C),"New")</f>
        <v>9636</v>
      </c>
      <c r="J8" s="28">
        <f t="shared" si="0"/>
        <v>0.38958073889580741</v>
      </c>
    </row>
    <row r="9" spans="1:10" x14ac:dyDescent="0.2">
      <c r="A9" s="25">
        <v>8</v>
      </c>
      <c r="B9" s="18">
        <v>3</v>
      </c>
      <c r="C9" s="18" t="s">
        <v>7</v>
      </c>
      <c r="D9" s="47" t="s">
        <v>237</v>
      </c>
      <c r="E9" s="12">
        <v>12831</v>
      </c>
      <c r="F9" s="12">
        <f>SUMIFS('Week 17 Apr 20 - Apr 26 2020'!F:F,'Week 17 Apr 20 - Apr 26 2020'!D:D,'Week 18 Apr 27 - May 3 2020'!D:D,'Week 17 Apr 20 - Apr 26 2020'!C:C,'Week 18 Apr 27 - May 3 2020'!C:C)+Table361191013555712141752596163[[#This Row],[Week Sales]]</f>
        <v>82945</v>
      </c>
      <c r="G9" s="18" t="str">
        <f>(VLOOKUP(D:D,'Week 17 Apr 20 - Apr 26 2020'!D:G,4,FALSE))</f>
        <v>Square Enix</v>
      </c>
      <c r="H9" s="67">
        <f>(VLOOKUP(D:D,'Week 17 Apr 20 - Apr 26 2020'!D:H,5,FALSE))</f>
        <v>43945</v>
      </c>
      <c r="I9" s="12">
        <f>_xlfn.IFNA(SUMIFS('Week 17 Apr 20 - Apr 26 2020'!E:E,'Week 17 Apr 20 - Apr 26 2020'!D:D,'Week 18 Apr 27 - May 3 2020'!D:D,'Week 17 Apr 20 - Apr 26 2020'!C:C,'Week 18 Apr 27 - May 3 2020'!C:C),"New")</f>
        <v>70114</v>
      </c>
      <c r="J9" s="28">
        <f t="shared" si="0"/>
        <v>-0.81699803177682062</v>
      </c>
    </row>
    <row r="10" spans="1:10" x14ac:dyDescent="0.2">
      <c r="A10" s="25">
        <v>9</v>
      </c>
      <c r="B10" s="18">
        <v>11</v>
      </c>
      <c r="C10" s="18" t="s">
        <v>7</v>
      </c>
      <c r="D10" s="47" t="s">
        <v>10</v>
      </c>
      <c r="E10" s="12">
        <v>12391</v>
      </c>
      <c r="F10" s="12">
        <f>SUMIFS('Week 17 Apr 20 - Apr 26 2020'!F:F,'Week 17 Apr 20 - Apr 26 2020'!D:D,'Week 18 Apr 27 - May 3 2020'!D:D,'Week 17 Apr 20 - Apr 26 2020'!C:C,'Week 18 Apr 27 - May 3 2020'!C:C)+Table361191013555712141752596163[[#This Row],[Week Sales]]</f>
        <v>3395693</v>
      </c>
      <c r="G10" s="18" t="str">
        <f>(VLOOKUP(D:D,'Week 17 Apr 20 - Apr 26 2020'!D:G,4,FALSE))</f>
        <v>Nintendo</v>
      </c>
      <c r="H10" s="67">
        <f>(VLOOKUP(D:D,'Week 17 Apr 20 - Apr 26 2020'!D:H,5,FALSE))</f>
        <v>42937</v>
      </c>
      <c r="I10" s="12">
        <f>_xlfn.IFNA(SUMIFS('Week 17 Apr 20 - Apr 26 2020'!E:E,'Week 17 Apr 20 - Apr 26 2020'!D:D,'Week 18 Apr 27 - May 3 2020'!D:D,'Week 17 Apr 20 - Apr 26 2020'!C:C,'Week 18 Apr 27 - May 3 2020'!C:C),"New")</f>
        <v>8389</v>
      </c>
      <c r="J10" s="28">
        <f t="shared" si="0"/>
        <v>0.47705328406246272</v>
      </c>
    </row>
    <row r="11" spans="1:10" x14ac:dyDescent="0.2">
      <c r="A11" s="25">
        <v>10</v>
      </c>
      <c r="B11" s="18">
        <v>22</v>
      </c>
      <c r="C11" s="18" t="s">
        <v>7</v>
      </c>
      <c r="D11" s="47" t="s">
        <v>16</v>
      </c>
      <c r="E11" s="12">
        <v>9506</v>
      </c>
      <c r="F11" s="12">
        <f>SUMIFS('Week 17 Apr 20 - Apr 26 2020'!F:F,'Week 17 Apr 20 - Apr 26 2020'!D:D,'Week 18 Apr 27 - May 3 2020'!D:D,'Week 17 Apr 20 - Apr 26 2020'!C:C,'Week 18 Apr 27 - May 3 2020'!C:C)+Table361191013555712141752596163[[#This Row],[Week Sales]]</f>
        <v>211889</v>
      </c>
      <c r="G11" s="18" t="str">
        <f>(VLOOKUP(D:D,'Week 17 Apr 20 - Apr 26 2020'!D:G,4,FALSE))</f>
        <v>Nintendo</v>
      </c>
      <c r="H11" s="67">
        <f>(VLOOKUP(D:D,'Week 17 Apr 20 - Apr 26 2020'!D:H,5,FALSE))</f>
        <v>43826</v>
      </c>
      <c r="I11" s="12">
        <f>_xlfn.IFNA(SUMIFS('Week 17 Apr 20 - Apr 26 2020'!E:E,'Week 17 Apr 20 - Apr 26 2020'!D:D,'Week 18 Apr 27 - May 3 2020'!D:D,'Week 17 Apr 20 - Apr 26 2020'!C:C,'Week 18 Apr 27 - May 3 2020'!C:C),"New")</f>
        <v>4698</v>
      </c>
      <c r="J11" s="28">
        <f t="shared" si="0"/>
        <v>1.0234142188165176</v>
      </c>
    </row>
    <row r="12" spans="1:10" x14ac:dyDescent="0.2">
      <c r="A12" s="25">
        <v>11</v>
      </c>
      <c r="B12" s="18">
        <v>14</v>
      </c>
      <c r="C12" s="18" t="s">
        <v>7</v>
      </c>
      <c r="D12" s="47" t="s">
        <v>12</v>
      </c>
      <c r="E12" s="12">
        <v>8458</v>
      </c>
      <c r="F12" s="12">
        <f>SUMIFS('Week 17 Apr 20 - Apr 26 2020'!F:F,'Week 17 Apr 20 - Apr 26 2020'!D:D,'Week 18 Apr 27 - May 3 2020'!D:D,'Week 17 Apr 20 - Apr 26 2020'!C:C,'Week 18 Apr 27 - May 3 2020'!C:C)+Table361191013555712141752596163[[#This Row],[Week Sales]]</f>
        <v>1371668</v>
      </c>
      <c r="G12" s="18" t="str">
        <f>(VLOOKUP(D:D,'Week 17 Apr 20 - Apr 26 2020'!D:G,4,FALSE))</f>
        <v>Microsoft</v>
      </c>
      <c r="H12" s="67">
        <f>(VLOOKUP(D:D,'Week 17 Apr 20 - Apr 26 2020'!D:H,5,FALSE))</f>
        <v>43272</v>
      </c>
      <c r="I12" s="12">
        <f>_xlfn.IFNA(SUMIFS('Week 17 Apr 20 - Apr 26 2020'!E:E,'Week 17 Apr 20 - Apr 26 2020'!D:D,'Week 18 Apr 27 - May 3 2020'!D:D,'Week 17 Apr 20 - Apr 26 2020'!C:C,'Week 18 Apr 27 - May 3 2020'!C:C),"New")</f>
        <v>6980</v>
      </c>
      <c r="J12" s="28">
        <f t="shared" si="0"/>
        <v>0.21174785100286533</v>
      </c>
    </row>
    <row r="13" spans="1:10" x14ac:dyDescent="0.2">
      <c r="A13" s="25">
        <v>12</v>
      </c>
      <c r="B13" s="18">
        <v>13</v>
      </c>
      <c r="C13" s="18" t="s">
        <v>7</v>
      </c>
      <c r="D13" s="47" t="s">
        <v>62</v>
      </c>
      <c r="E13" s="12">
        <v>7651</v>
      </c>
      <c r="F13" s="12">
        <f>SUMIFS('Week 17 Apr 20 - Apr 26 2020'!F:F,'Week 17 Apr 20 - Apr 26 2020'!D:D,'Week 18 Apr 27 - May 3 2020'!D:D,'Week 17 Apr 20 - Apr 26 2020'!C:C,'Week 18 Apr 27 - May 3 2020'!C:C)+Table361191013555712141752596163[[#This Row],[Week Sales]]</f>
        <v>3586123</v>
      </c>
      <c r="G13" s="18" t="str">
        <f>(VLOOKUP(D:D,'Week 17 Apr 20 - Apr 26 2020'!D:G,4,FALSE))</f>
        <v>The Pokemon Company</v>
      </c>
      <c r="H13" s="67">
        <f>(VLOOKUP(D:D,'Week 17 Apr 20 - Apr 26 2020'!D:H,5,FALSE))</f>
        <v>43784</v>
      </c>
      <c r="I13" s="12">
        <f>_xlfn.IFNA(SUMIFS('Week 17 Apr 20 - Apr 26 2020'!E:E,'Week 17 Apr 20 - Apr 26 2020'!D:D,'Week 18 Apr 27 - May 3 2020'!D:D,'Week 17 Apr 20 - Apr 26 2020'!C:C,'Week 18 Apr 27 - May 3 2020'!C:C),"New")</f>
        <v>7979</v>
      </c>
      <c r="J13" s="28">
        <f t="shared" si="0"/>
        <v>-4.1107908259180349E-2</v>
      </c>
    </row>
    <row r="14" spans="1:10" x14ac:dyDescent="0.2">
      <c r="A14" s="25">
        <v>13</v>
      </c>
      <c r="B14" s="18">
        <v>12</v>
      </c>
      <c r="C14" s="18" t="s">
        <v>8</v>
      </c>
      <c r="D14" s="47" t="s">
        <v>232</v>
      </c>
      <c r="E14" s="12">
        <v>7107</v>
      </c>
      <c r="F14" s="12">
        <f>SUMIFS('Week 17 Apr 20 - Apr 26 2020'!F:F,'Week 17 Apr 20 - Apr 26 2020'!D:D,'Week 18 Apr 27 - May 3 2020'!D:D,'Week 17 Apr 20 - Apr 26 2020'!C:C,'Week 18 Apr 27 - May 3 2020'!C:C)+Table361191013555712141752596163[[#This Row],[Week Sales]]</f>
        <v>251747</v>
      </c>
      <c r="G14" s="18" t="str">
        <f>(VLOOKUP(D:D,'Week 17 Apr 20 - Apr 26 2020'!D:G,4,FALSE))</f>
        <v>Capcom</v>
      </c>
      <c r="H14" s="67">
        <f>(VLOOKUP(D:D,'Week 17 Apr 20 - Apr 26 2020'!D:H,5,FALSE))</f>
        <v>43924</v>
      </c>
      <c r="I14" s="12">
        <f>_xlfn.IFNA(SUMIFS('Week 17 Apr 20 - Apr 26 2020'!E:E,'Week 17 Apr 20 - Apr 26 2020'!D:D,'Week 18 Apr 27 - May 3 2020'!D:D,'Week 17 Apr 20 - Apr 26 2020'!C:C,'Week 18 Apr 27 - May 3 2020'!C:C),"New")</f>
        <v>8205</v>
      </c>
      <c r="J14" s="28">
        <f t="shared" si="0"/>
        <v>-0.13382084095063984</v>
      </c>
    </row>
    <row r="15" spans="1:10" x14ac:dyDescent="0.2">
      <c r="A15" s="25">
        <v>14</v>
      </c>
      <c r="B15" s="18">
        <v>20</v>
      </c>
      <c r="C15" s="18" t="s">
        <v>7</v>
      </c>
      <c r="D15" s="47" t="s">
        <v>17</v>
      </c>
      <c r="E15" s="12">
        <v>6264</v>
      </c>
      <c r="F15" s="12">
        <f>SUMIFS('Week 17 Apr 20 - Apr 26 2020'!F:F,'Week 17 Apr 20 - Apr 26 2020'!D:D,'Week 18 Apr 27 - May 3 2020'!D:D,'Week 17 Apr 20 - Apr 26 2020'!C:C,'Week 18 Apr 27 - May 3 2020'!C:C)+Table361191013555712141752596163[[#This Row],[Week Sales]]</f>
        <v>832925</v>
      </c>
      <c r="G15" s="18" t="str">
        <f>(VLOOKUP(D:D,'Week 17 Apr 20 - Apr 26 2020'!D:G,4,FALSE))</f>
        <v>Nintendo</v>
      </c>
      <c r="H15" s="67">
        <f>(VLOOKUP(D:D,'Week 17 Apr 20 - Apr 26 2020'!D:H,5,FALSE))</f>
        <v>43476</v>
      </c>
      <c r="I15" s="12">
        <f>_xlfn.IFNA(SUMIFS('Week 17 Apr 20 - Apr 26 2020'!E:E,'Week 17 Apr 20 - Apr 26 2020'!D:D,'Week 18 Apr 27 - May 3 2020'!D:D,'Week 17 Apr 20 - Apr 26 2020'!C:C,'Week 18 Apr 27 - May 3 2020'!C:C),"New")</f>
        <v>4889</v>
      </c>
      <c r="J15" s="28">
        <f t="shared" si="0"/>
        <v>0.28124360809981591</v>
      </c>
    </row>
    <row r="16" spans="1:10" x14ac:dyDescent="0.2">
      <c r="A16" s="25">
        <v>15</v>
      </c>
      <c r="B16" s="18">
        <v>15</v>
      </c>
      <c r="C16" s="18" t="s">
        <v>8</v>
      </c>
      <c r="D16" s="47" t="s">
        <v>221</v>
      </c>
      <c r="E16" s="12">
        <v>5660</v>
      </c>
      <c r="F16" s="12">
        <f>SUMIFS('Week 17 Apr 20 - Apr 26 2020'!F:F,'Week 17 Apr 20 - Apr 26 2020'!D:D,'Week 18 Apr 27 - May 3 2020'!D:D,'Week 17 Apr 20 - Apr 26 2020'!C:C,'Week 18 Apr 27 - May 3 2020'!C:C)+Table361191013555712141752596163[[#This Row],[Week Sales]]</f>
        <v>128502</v>
      </c>
      <c r="G16" s="18" t="str">
        <f>(VLOOKUP(D:D,'Week 17 Apr 20 - Apr 26 2020'!D:G,4,FALSE))</f>
        <v>Bandai Namco</v>
      </c>
      <c r="H16" s="67">
        <f>(VLOOKUP(D:D,'Week 17 Apr 20 - Apr 26 2020'!D:H,5,FALSE))</f>
        <v>43916</v>
      </c>
      <c r="I16" s="12">
        <f>_xlfn.IFNA(SUMIFS('Week 17 Apr 20 - Apr 26 2020'!E:E,'Week 17 Apr 20 - Apr 26 2020'!D:D,'Week 18 Apr 27 - May 3 2020'!D:D,'Week 17 Apr 20 - Apr 26 2020'!C:C,'Week 18 Apr 27 - May 3 2020'!C:C),"New")</f>
        <v>6625</v>
      </c>
      <c r="J16" s="28">
        <f t="shared" si="0"/>
        <v>-0.14566037735849058</v>
      </c>
    </row>
    <row r="17" spans="1:10" x14ac:dyDescent="0.2">
      <c r="A17" s="25">
        <v>16</v>
      </c>
      <c r="B17" s="18">
        <v>17</v>
      </c>
      <c r="C17" s="18" t="s">
        <v>7</v>
      </c>
      <c r="D17" s="47" t="s">
        <v>221</v>
      </c>
      <c r="E17" s="12">
        <v>5621</v>
      </c>
      <c r="F17" s="12">
        <f>SUMIFS('Week 17 Apr 20 - Apr 26 2020'!F:F,'Week 17 Apr 20 - Apr 26 2020'!D:D,'Week 18 Apr 27 - May 3 2020'!D:D,'Week 17 Apr 20 - Apr 26 2020'!C:C,'Week 18 Apr 27 - May 3 2020'!C:C)+Table361191013555712141752596163[[#This Row],[Week Sales]]</f>
        <v>110457</v>
      </c>
      <c r="G17" s="18" t="str">
        <f>(VLOOKUP(D:D,'Week 17 Apr 20 - Apr 26 2020'!D:G,4,FALSE))</f>
        <v>Bandai Namco</v>
      </c>
      <c r="H17" s="67">
        <f>(VLOOKUP(D:D,'Week 17 Apr 20 - Apr 26 2020'!D:H,5,FALSE))</f>
        <v>43916</v>
      </c>
      <c r="I17" s="12">
        <f>_xlfn.IFNA(SUMIFS('Week 17 Apr 20 - Apr 26 2020'!E:E,'Week 17 Apr 20 - Apr 26 2020'!D:D,'Week 18 Apr 27 - May 3 2020'!D:D,'Week 17 Apr 20 - Apr 26 2020'!C:C,'Week 18 Apr 27 - May 3 2020'!C:C),"New")</f>
        <v>5924</v>
      </c>
      <c r="J17" s="28">
        <f t="shared" si="0"/>
        <v>-5.1147873058744089E-2</v>
      </c>
    </row>
    <row r="18" spans="1:10" x14ac:dyDescent="0.2">
      <c r="A18" s="25">
        <v>17</v>
      </c>
      <c r="B18" s="18">
        <v>23</v>
      </c>
      <c r="C18" s="18" t="s">
        <v>7</v>
      </c>
      <c r="D18" s="47" t="s">
        <v>19</v>
      </c>
      <c r="E18" s="12">
        <v>5443</v>
      </c>
      <c r="F18" s="12">
        <f>SUMIFS('Week 17 Apr 20 - Apr 26 2020'!F:F,'Week 17 Apr 20 - Apr 26 2020'!D:D,'Week 18 Apr 27 - May 3 2020'!D:D,'Week 17 Apr 20 - Apr 26 2020'!C:C,'Week 18 Apr 27 - May 3 2020'!C:C)+Table361191013555712141752596163[[#This Row],[Week Sales]]</f>
        <v>904490</v>
      </c>
      <c r="G18" s="18" t="str">
        <f>(VLOOKUP(D:D,'Week 17 Apr 20 - Apr 26 2020'!D:G,4,FALSE))</f>
        <v>Nintendo</v>
      </c>
      <c r="H18" s="67">
        <f>(VLOOKUP(D:D,'Week 17 Apr 20 - Apr 26 2020'!D:H,5,FALSE))</f>
        <v>43644</v>
      </c>
      <c r="I18" s="12">
        <f>_xlfn.IFNA(SUMIFS('Week 17 Apr 20 - Apr 26 2020'!E:E,'Week 17 Apr 20 - Apr 26 2020'!D:D,'Week 18 Apr 27 - May 3 2020'!D:D,'Week 17 Apr 20 - Apr 26 2020'!C:C,'Week 18 Apr 27 - May 3 2020'!C:C),"New")</f>
        <v>4229</v>
      </c>
      <c r="J18" s="28">
        <f t="shared" si="0"/>
        <v>0.28706550011823129</v>
      </c>
    </row>
    <row r="19" spans="1:10" x14ac:dyDescent="0.2">
      <c r="A19" s="25">
        <v>18</v>
      </c>
      <c r="B19" s="18">
        <v>19</v>
      </c>
      <c r="C19" s="18" t="s">
        <v>7</v>
      </c>
      <c r="D19" s="47" t="s">
        <v>39</v>
      </c>
      <c r="E19" s="12">
        <v>5305</v>
      </c>
      <c r="F19" s="12">
        <f>SUMIFS('Week 17 Apr 20 - Apr 26 2020'!F:F,'Week 17 Apr 20 - Apr 26 2020'!D:D,'Week 18 Apr 27 - May 3 2020'!D:D,'Week 17 Apr 20 - Apr 26 2020'!C:C,'Week 18 Apr 27 - May 3 2020'!C:C)+Table361191013555712141752596163[[#This Row],[Week Sales]]</f>
        <v>1576348</v>
      </c>
      <c r="G19" s="18" t="str">
        <f>(VLOOKUP(D:D,'Week 17 Apr 20 - Apr 26 2020'!D:G,4,FALSE))</f>
        <v>Nintendo</v>
      </c>
      <c r="H19" s="67">
        <f>(VLOOKUP(D:D,'Week 17 Apr 20 - Apr 26 2020'!D:H,5,FALSE))</f>
        <v>42797</v>
      </c>
      <c r="I19" s="12">
        <f>_xlfn.IFNA(SUMIFS('Week 17 Apr 20 - Apr 26 2020'!E:E,'Week 17 Apr 20 - Apr 26 2020'!D:D,'Week 18 Apr 27 - May 3 2020'!D:D,'Week 17 Apr 20 - Apr 26 2020'!C:C,'Week 18 Apr 27 - May 3 2020'!C:C),"New")</f>
        <v>5281</v>
      </c>
      <c r="J19" s="28">
        <f t="shared" si="0"/>
        <v>4.5445938269267185E-3</v>
      </c>
    </row>
    <row r="20" spans="1:10" x14ac:dyDescent="0.2">
      <c r="A20" s="35">
        <v>19</v>
      </c>
      <c r="B20" s="31" t="s">
        <v>53</v>
      </c>
      <c r="C20" s="31" t="s">
        <v>7</v>
      </c>
      <c r="D20" s="52" t="s">
        <v>228</v>
      </c>
      <c r="E20" s="33">
        <v>4970</v>
      </c>
      <c r="F20" s="33">
        <v>100051</v>
      </c>
      <c r="G20" s="31" t="str">
        <f>(VLOOKUP(D:D,'Week 16 Apr 13 - Apr 19 2020'!D:G,4,FALSE))</f>
        <v>Imagineer</v>
      </c>
      <c r="H20" s="93">
        <f>(VLOOKUP(D:D,'Week 16 Apr 13 - Apr 19 2020'!D:H,5,FALSE))</f>
        <v>43454</v>
      </c>
      <c r="I20" s="33">
        <v>2482</v>
      </c>
      <c r="J20" s="97">
        <f t="shared" si="0"/>
        <v>1.0024174053182917</v>
      </c>
    </row>
    <row r="21" spans="1:10" x14ac:dyDescent="0.2">
      <c r="A21" s="25">
        <v>20</v>
      </c>
      <c r="B21" s="18">
        <v>21</v>
      </c>
      <c r="C21" s="18" t="s">
        <v>8</v>
      </c>
      <c r="D21" s="47" t="s">
        <v>99</v>
      </c>
      <c r="E21" s="12">
        <v>4579</v>
      </c>
      <c r="F21" s="12">
        <f>SUMIFS('Week 17 Apr 20 - Apr 26 2020'!F:F,'Week 17 Apr 20 - Apr 26 2020'!D:D,'Week 18 Apr 27 - May 3 2020'!D:D,'Week 17 Apr 20 - Apr 26 2020'!C:C,'Week 18 Apr 27 - May 3 2020'!C:C)+Table361191013555712141752596163[[#This Row],[Week Sales]]</f>
        <v>464056</v>
      </c>
      <c r="G21" s="18" t="str">
        <f>(VLOOKUP(D:D,'Week 17 Apr 20 - Apr 26 2020'!D:G,4,FALSE))</f>
        <v>Capcom</v>
      </c>
      <c r="H21" s="67">
        <f>(VLOOKUP(D:D,'Week 17 Apr 20 - Apr 26 2020'!D:H,5,FALSE))</f>
        <v>43714</v>
      </c>
      <c r="I21" s="12">
        <f>_xlfn.IFNA(SUMIFS('Week 17 Apr 20 - Apr 26 2020'!E:E,'Week 17 Apr 20 - Apr 26 2020'!D:D,'Week 18 Apr 27 - May 3 2020'!D:D,'Week 17 Apr 20 - Apr 26 2020'!C:C,'Week 18 Apr 27 - May 3 2020'!C:C),"New")</f>
        <v>4753</v>
      </c>
      <c r="J21" s="28">
        <f t="shared" si="0"/>
        <v>-3.6608457816116137E-2</v>
      </c>
    </row>
    <row r="22" spans="1:10" x14ac:dyDescent="0.2">
      <c r="A22" s="25">
        <v>21</v>
      </c>
      <c r="B22" s="18">
        <v>24</v>
      </c>
      <c r="C22" s="18" t="s">
        <v>8</v>
      </c>
      <c r="D22" s="86" t="s">
        <v>187</v>
      </c>
      <c r="E22" s="12">
        <v>4479</v>
      </c>
      <c r="F22" s="12">
        <f>SUMIFS('Week 17 Apr 20 - Apr 26 2020'!F:F,'Week 17 Apr 20 - Apr 26 2020'!D:D,'Week 18 Apr 27 - May 3 2020'!D:D,'Week 17 Apr 20 - Apr 26 2020'!C:C,'Week 18 Apr 27 - May 3 2020'!C:C)+Table361191013555712141752596163[[#This Row],[Week Sales]]</f>
        <v>44660</v>
      </c>
      <c r="G22" s="18" t="str">
        <f>(VLOOKUP(D:D,'Week 17 Apr 20 - Apr 26 2020'!D:G,4,FALSE))</f>
        <v>Rockstar Games</v>
      </c>
      <c r="H22" s="67">
        <f>(VLOOKUP(D:D,'Week 17 Apr 20 - Apr 26 2020'!D:H,5,FALSE))</f>
        <v>43440</v>
      </c>
      <c r="I22" s="12">
        <f>_xlfn.IFNA(SUMIFS('Week 17 Apr 20 - Apr 26 2020'!E:E,'Week 17 Apr 20 - Apr 26 2020'!D:D,'Week 18 Apr 27 - May 3 2020'!D:D,'Week 17 Apr 20 - Apr 26 2020'!C:C,'Week 18 Apr 27 - May 3 2020'!C:C),"New")</f>
        <v>3939</v>
      </c>
      <c r="J22" s="28">
        <f t="shared" si="0"/>
        <v>0.13709063214013709</v>
      </c>
    </row>
    <row r="23" spans="1:10" x14ac:dyDescent="0.2">
      <c r="A23" s="25">
        <v>22</v>
      </c>
      <c r="B23" s="18">
        <v>28</v>
      </c>
      <c r="C23" s="18" t="s">
        <v>7</v>
      </c>
      <c r="D23" s="47" t="s">
        <v>20</v>
      </c>
      <c r="E23" s="12">
        <v>4270</v>
      </c>
      <c r="F23" s="12">
        <f>SUMIFS('Week 17 Apr 20 - Apr 26 2020'!F:F,'Week 17 Apr 20 - Apr 26 2020'!D:D,'Week 18 Apr 27 - May 3 2020'!D:D,'Week 17 Apr 20 - Apr 26 2020'!C:C,'Week 18 Apr 27 - May 3 2020'!C:C)+Table361191013555712141752596163[[#This Row],[Week Sales]]</f>
        <v>431730</v>
      </c>
      <c r="G23" s="18" t="str">
        <f>(VLOOKUP(D:D,'Week 17 Apr 20 - Apr 26 2020'!D:G,4,FALSE))</f>
        <v>Bandai Namco</v>
      </c>
      <c r="H23" s="67">
        <f>(VLOOKUP(D:D,'Week 17 Apr 20 - Apr 26 2020'!D:H,5,FALSE))</f>
        <v>43671</v>
      </c>
      <c r="I23" s="12">
        <f>_xlfn.IFNA(SUMIFS('Week 17 Apr 20 - Apr 26 2020'!E:E,'Week 17 Apr 20 - Apr 26 2020'!D:D,'Week 18 Apr 27 - May 3 2020'!D:D,'Week 17 Apr 20 - Apr 26 2020'!C:C,'Week 18 Apr 27 - May 3 2020'!C:C),"New")</f>
        <v>3493</v>
      </c>
      <c r="J23" s="28">
        <f t="shared" si="0"/>
        <v>0.22244488977955912</v>
      </c>
    </row>
    <row r="24" spans="1:10" x14ac:dyDescent="0.2">
      <c r="A24" s="35">
        <v>23</v>
      </c>
      <c r="B24" s="31" t="s">
        <v>53</v>
      </c>
      <c r="C24" s="31" t="s">
        <v>222</v>
      </c>
      <c r="D24" s="52" t="s">
        <v>223</v>
      </c>
      <c r="E24" s="33">
        <v>4156</v>
      </c>
      <c r="F24" s="33">
        <v>500117</v>
      </c>
      <c r="G24" s="31" t="str">
        <f>(VLOOKUP(D:D,'Week 16 Apr 13 - Apr 19 2020'!D:G,4,FALSE))</f>
        <v>Nintendo</v>
      </c>
      <c r="H24" s="93">
        <f>(VLOOKUP(D:D,'Week 16 Apr 13 - Apr 19 2020'!D:H,5,FALSE))</f>
        <v>42697</v>
      </c>
      <c r="I24" s="33">
        <v>911</v>
      </c>
      <c r="J24" s="97">
        <f t="shared" si="0"/>
        <v>3.5620197585071351</v>
      </c>
    </row>
    <row r="25" spans="1:10" x14ac:dyDescent="0.2">
      <c r="A25" s="25">
        <v>24</v>
      </c>
      <c r="B25" s="18">
        <v>25</v>
      </c>
      <c r="C25" s="18" t="s">
        <v>8</v>
      </c>
      <c r="D25" s="47" t="s">
        <v>214</v>
      </c>
      <c r="E25" s="12">
        <v>4010</v>
      </c>
      <c r="F25" s="12">
        <f>SUMIFS('Week 17 Apr 20 - Apr 26 2020'!F:F,'Week 17 Apr 20 - Apr 26 2020'!D:D,'Week 18 Apr 27 - May 3 2020'!D:D,'Week 17 Apr 20 - Apr 26 2020'!C:C,'Week 18 Apr 27 - May 3 2020'!C:C)+Table361191013555712141752596163[[#This Row],[Week Sales]]</f>
        <v>154296</v>
      </c>
      <c r="G25" s="18" t="str">
        <f>(VLOOKUP(D:D,'Week 17 Apr 20 - Apr 26 2020'!D:G,4,FALSE))</f>
        <v>Koei Tecmo</v>
      </c>
      <c r="H25" s="67">
        <f>(VLOOKUP(D:D,'Week 17 Apr 20 - Apr 26 2020'!D:H,5,FALSE))</f>
        <v>43902</v>
      </c>
      <c r="I25" s="12">
        <f>_xlfn.IFNA(SUMIFS('Week 17 Apr 20 - Apr 26 2020'!E:E,'Week 17 Apr 20 - Apr 26 2020'!D:D,'Week 18 Apr 27 - May 3 2020'!D:D,'Week 17 Apr 20 - Apr 26 2020'!C:C,'Week 18 Apr 27 - May 3 2020'!C:C),"New")</f>
        <v>3903</v>
      </c>
      <c r="J25" s="28">
        <f t="shared" si="0"/>
        <v>2.7414809121188828E-2</v>
      </c>
    </row>
    <row r="26" spans="1:10" x14ac:dyDescent="0.2">
      <c r="A26" s="25">
        <v>25</v>
      </c>
      <c r="B26" s="18">
        <v>27</v>
      </c>
      <c r="C26" s="18" t="s">
        <v>7</v>
      </c>
      <c r="D26" s="47" t="s">
        <v>209</v>
      </c>
      <c r="E26" s="12">
        <v>3999</v>
      </c>
      <c r="F26" s="12">
        <f>SUMIFS('Week 17 Apr 20 - Apr 26 2020'!F:F,'Week 17 Apr 20 - Apr 26 2020'!D:D,'Week 18 Apr 27 - May 3 2020'!D:D,'Week 17 Apr 20 - Apr 26 2020'!C:C,'Week 18 Apr 27 - May 3 2020'!C:C)+Table361191013555712141752596163[[#This Row],[Week Sales]]</f>
        <v>245610</v>
      </c>
      <c r="G26" s="18" t="str">
        <f>(VLOOKUP(D:D,'Week 17 Apr 20 - Apr 26 2020'!D:G,4,FALSE))</f>
        <v>The Pokemon Company</v>
      </c>
      <c r="H26" s="67">
        <f>(VLOOKUP(D:D,'Week 17 Apr 20 - Apr 26 2020'!D:H,5,FALSE))</f>
        <v>43896</v>
      </c>
      <c r="I26" s="12">
        <f>_xlfn.IFNA(SUMIFS('Week 17 Apr 20 - Apr 26 2020'!E:E,'Week 17 Apr 20 - Apr 26 2020'!D:D,'Week 18 Apr 27 - May 3 2020'!D:D,'Week 17 Apr 20 - Apr 26 2020'!C:C,'Week 18 Apr 27 - May 3 2020'!C:C),"New")</f>
        <v>3655</v>
      </c>
      <c r="J26" s="28">
        <f t="shared" si="0"/>
        <v>9.4117647058823528E-2</v>
      </c>
    </row>
    <row r="27" spans="1:10" x14ac:dyDescent="0.2">
      <c r="A27" s="25">
        <v>26</v>
      </c>
      <c r="B27" s="18">
        <v>10</v>
      </c>
      <c r="C27" s="18" t="s">
        <v>8</v>
      </c>
      <c r="D27" s="47" t="s">
        <v>239</v>
      </c>
      <c r="E27" s="12">
        <v>3847</v>
      </c>
      <c r="F27" s="12">
        <f>SUMIFS('Week 17 Apr 20 - Apr 26 2020'!F:F,'Week 17 Apr 20 - Apr 26 2020'!D:D,'Week 18 Apr 27 - May 3 2020'!D:D,'Week 17 Apr 20 - Apr 26 2020'!C:C,'Week 18 Apr 27 - May 3 2020'!C:C)+Table361191013555712141752596163[[#This Row],[Week Sales]]</f>
        <v>13019</v>
      </c>
      <c r="G27" s="18" t="str">
        <f>(VLOOKUP(D:D,'Week 17 Apr 20 - Apr 26 2020'!D:G,4,FALSE))</f>
        <v>Sony</v>
      </c>
      <c r="H27" s="67">
        <f>(VLOOKUP(D:D,'Week 17 Apr 20 - Apr 26 2020'!D:H,5,FALSE))</f>
        <v>43945</v>
      </c>
      <c r="I27" s="12">
        <f>_xlfn.IFNA(SUMIFS('Week 17 Apr 20 - Apr 26 2020'!E:E,'Week 17 Apr 20 - Apr 26 2020'!D:D,'Week 18 Apr 27 - May 3 2020'!D:D,'Week 17 Apr 20 - Apr 26 2020'!C:C,'Week 18 Apr 27 - May 3 2020'!C:C),"New")</f>
        <v>9172</v>
      </c>
      <c r="J27" s="28">
        <f t="shared" si="0"/>
        <v>-0.58057130396860013</v>
      </c>
    </row>
    <row r="28" spans="1:10" x14ac:dyDescent="0.2">
      <c r="A28" s="25">
        <v>27</v>
      </c>
      <c r="B28" s="18">
        <v>29</v>
      </c>
      <c r="C28" s="18" t="s">
        <v>7</v>
      </c>
      <c r="D28" s="47" t="s">
        <v>80</v>
      </c>
      <c r="E28" s="12">
        <v>3838</v>
      </c>
      <c r="F28" s="12">
        <f>SUMIFS('Week 17 Apr 20 - Apr 26 2020'!F:F,'Week 17 Apr 20 - Apr 26 2020'!D:D,'Week 18 Apr 27 - May 3 2020'!D:D,'Week 17 Apr 20 - Apr 26 2020'!C:C,'Week 18 Apr 27 - May 3 2020'!C:C)+Table361191013555712141752596163[[#This Row],[Week Sales]]</f>
        <v>309084</v>
      </c>
      <c r="G28" s="18" t="str">
        <f>(VLOOKUP(D:D,'Week 17 Apr 20 - Apr 26 2020'!D:G,4,FALSE))</f>
        <v>Sega</v>
      </c>
      <c r="H28" s="67">
        <f>(VLOOKUP(D:D,'Week 17 Apr 20 - Apr 26 2020'!D:H,5,FALSE))</f>
        <v>43770</v>
      </c>
      <c r="I28" s="12">
        <f>_xlfn.IFNA(SUMIFS('Week 17 Apr 20 - Apr 26 2020'!E:E,'Week 17 Apr 20 - Apr 26 2020'!D:D,'Week 18 Apr 27 - May 3 2020'!D:D,'Week 17 Apr 20 - Apr 26 2020'!C:C,'Week 18 Apr 27 - May 3 2020'!C:C),"New")</f>
        <v>2961</v>
      </c>
      <c r="J28" s="28">
        <f t="shared" si="0"/>
        <v>0.29618372171563662</v>
      </c>
    </row>
    <row r="29" spans="1:10" x14ac:dyDescent="0.2">
      <c r="A29" s="35">
        <v>28</v>
      </c>
      <c r="B29" s="31" t="s">
        <v>53</v>
      </c>
      <c r="C29" s="31" t="s">
        <v>7</v>
      </c>
      <c r="D29" s="52" t="s">
        <v>79</v>
      </c>
      <c r="E29" s="33">
        <v>3415</v>
      </c>
      <c r="F29" s="33">
        <v>638149</v>
      </c>
      <c r="G29" s="31" t="str">
        <f>(VLOOKUP(D:D,'Week 16 Apr 13 - Apr 19 2020'!D:G,4,FALSE))</f>
        <v>Nintendo</v>
      </c>
      <c r="H29" s="93">
        <f>(VLOOKUP(D:D,'Week 16 Apr 13 - Apr 19 2020'!D:H,5,FALSE))</f>
        <v>43769</v>
      </c>
      <c r="I29" s="33">
        <v>2516</v>
      </c>
      <c r="J29" s="97">
        <f t="shared" si="0"/>
        <v>0.35731319554848967</v>
      </c>
    </row>
    <row r="30" spans="1:10" x14ac:dyDescent="0.2">
      <c r="A30" s="35">
        <v>29</v>
      </c>
      <c r="B30" s="31" t="s">
        <v>53</v>
      </c>
      <c r="C30" s="31" t="s">
        <v>8</v>
      </c>
      <c r="D30" s="91" t="s">
        <v>88</v>
      </c>
      <c r="E30" s="33">
        <v>3158</v>
      </c>
      <c r="F30" s="33">
        <v>241692</v>
      </c>
      <c r="G30" s="31" t="str">
        <f>(VLOOKUP(D:D,'Week 16 Apr 13 - Apr 19 2020'!D:G,4,FALSE))</f>
        <v>Sony</v>
      </c>
      <c r="H30" s="93">
        <f>(VLOOKUP(D:D,'Week 16 Apr 13 - Apr 19 2020'!D:H,5,FALSE))</f>
        <v>43763</v>
      </c>
      <c r="I30" s="33">
        <v>2145</v>
      </c>
      <c r="J30" s="97">
        <f t="shared" si="0"/>
        <v>0.47226107226107228</v>
      </c>
    </row>
    <row r="31" spans="1:10" x14ac:dyDescent="0.2">
      <c r="A31" s="35">
        <v>30</v>
      </c>
      <c r="B31" s="31" t="s">
        <v>53</v>
      </c>
      <c r="C31" s="31" t="s">
        <v>7</v>
      </c>
      <c r="D31" s="91" t="s">
        <v>83</v>
      </c>
      <c r="E31" s="33">
        <v>3099</v>
      </c>
      <c r="F31" s="33">
        <v>515515</v>
      </c>
      <c r="G31" s="31" t="str">
        <f>(VLOOKUP(D:D,'Week 16 Apr 13 - Apr 19 2020'!D:G,4,FALSE))</f>
        <v>Square Enix</v>
      </c>
      <c r="H31" s="93">
        <f>(VLOOKUP(D:D,'Week 16 Apr 13 - Apr 19 2020'!D:H,5,FALSE))</f>
        <v>43735</v>
      </c>
      <c r="I31" s="33">
        <v>2336</v>
      </c>
      <c r="J31" s="97">
        <f t="shared" si="0"/>
        <v>0.32662671232876711</v>
      </c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587321</v>
      </c>
      <c r="F33" s="2"/>
      <c r="I33" s="2"/>
      <c r="J33" s="19"/>
    </row>
    <row r="34" spans="1:10" x14ac:dyDescent="0.2">
      <c r="A34" s="3"/>
      <c r="B34" s="3"/>
      <c r="D34" s="100" t="s">
        <v>178</v>
      </c>
      <c r="E34" s="101">
        <f>SUM('Week 17 Apr 20 - Apr 26 2020'!E34,'Week 18 Apr 27 - May 3 2020'!E33)</f>
        <v>10432586</v>
      </c>
      <c r="F34" s="2"/>
      <c r="I34" s="2"/>
      <c r="J34" s="19"/>
    </row>
    <row r="35" spans="1:10" x14ac:dyDescent="0.2">
      <c r="A35" s="3"/>
      <c r="B35" s="3"/>
      <c r="D35" s="98" t="s">
        <v>244</v>
      </c>
      <c r="E35" s="99">
        <f>E33+'Week 17 Apr 20 - Apr 26 2020'!E33+'Week 16 Apr 13 - Apr 19 2020'!E33+'Week 15 Apr 6 - Apr 12 2020'!E33+'Week 14 Mar 30 - Apr 5 2020'!E33</f>
        <v>3735793</v>
      </c>
      <c r="F35" s="2"/>
      <c r="I35" s="2"/>
      <c r="J35" s="19"/>
    </row>
    <row r="36" spans="1:10" x14ac:dyDescent="0.2">
      <c r="A36" s="3"/>
      <c r="B36" s="3"/>
      <c r="D36" s="2" t="s">
        <v>60</v>
      </c>
      <c r="E36" s="2">
        <f>AVERAGE(E2:E31)</f>
        <v>19577.366666666665</v>
      </c>
      <c r="F36" s="2"/>
      <c r="I36" s="2"/>
      <c r="J36" s="19"/>
    </row>
    <row r="37" spans="1:10" x14ac:dyDescent="0.2">
      <c r="A37" s="3"/>
      <c r="B37" s="3"/>
      <c r="D37" s="9" t="s">
        <v>78</v>
      </c>
      <c r="E37" s="10">
        <f>COUNTIF(B:B,"New")</f>
        <v>0</v>
      </c>
      <c r="F37" s="2"/>
      <c r="I37" s="2"/>
      <c r="J37" s="19"/>
    </row>
    <row r="38" spans="1:10" x14ac:dyDescent="0.2">
      <c r="A38" s="3"/>
      <c r="B38" s="3"/>
      <c r="E38" s="2"/>
      <c r="F38" s="2"/>
      <c r="I38" s="2"/>
      <c r="J38" s="19"/>
    </row>
    <row r="39" spans="1:10" x14ac:dyDescent="0.2">
      <c r="A39" s="3"/>
      <c r="B39" s="3"/>
      <c r="D39" t="s">
        <v>66</v>
      </c>
      <c r="E39" s="2"/>
      <c r="F39" s="2"/>
      <c r="I39" s="2"/>
      <c r="J39" s="19"/>
    </row>
    <row r="40" spans="1:10" x14ac:dyDescent="0.2">
      <c r="A40" s="3"/>
      <c r="B40" s="3"/>
      <c r="D40" s="8" t="s">
        <v>67</v>
      </c>
      <c r="E40" s="2"/>
      <c r="F40" s="2"/>
      <c r="I40" s="2"/>
      <c r="J40" s="19"/>
    </row>
    <row r="41" spans="1:10" x14ac:dyDescent="0.2">
      <c r="A41" s="3"/>
      <c r="B41" s="3"/>
      <c r="D41" s="8" t="s">
        <v>65</v>
      </c>
      <c r="E41" s="2"/>
      <c r="F41" s="2"/>
      <c r="I41" s="2"/>
      <c r="J41" s="19"/>
    </row>
    <row r="42" spans="1:10" x14ac:dyDescent="0.2">
      <c r="D42" s="8" t="s">
        <v>71</v>
      </c>
    </row>
  </sheetData>
  <hyperlinks>
    <hyperlink ref="D42" r:id="rId1" xr:uid="{51D01547-3173-974D-8CED-595D1F5C78E7}"/>
    <hyperlink ref="D41" r:id="rId2" xr:uid="{028A9CBD-7CD8-4F47-9B17-6743DADF33D4}"/>
    <hyperlink ref="D40" r:id="rId3" xr:uid="{F055839C-6B3C-0A42-BFEE-5BF685D2B870}"/>
  </hyperlinks>
  <pageMargins left="0.7" right="0.7" top="0.75" bottom="0.75" header="0.3" footer="0.3"/>
  <pageSetup paperSize="9" orientation="portrait" horizontalDpi="0" verticalDpi="0"/>
  <ignoredErrors>
    <ignoredError sqref="G20:H31 F20:F31 I20:I31" calculatedColumn="1"/>
  </ignoredErrors>
  <tableParts count="1">
    <tablePart r:id="rId4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55A78-B716-7C40-9F95-35725FE70752}">
  <dimension ref="A1:J41"/>
  <sheetViews>
    <sheetView workbookViewId="0">
      <selection activeCell="D11" sqref="D2:E11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9.8320312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0" x14ac:dyDescent="0.2">
      <c r="A2" s="25">
        <v>1</v>
      </c>
      <c r="B2" s="18">
        <v>1</v>
      </c>
      <c r="C2" s="18" t="s">
        <v>7</v>
      </c>
      <c r="D2" s="86" t="s">
        <v>46</v>
      </c>
      <c r="E2" s="12">
        <v>194942</v>
      </c>
      <c r="F2" s="12">
        <f>SUMIFS('Week 18 Apr 27 - May 3 2020'!F:F,'Week 18 Apr 27 - May 3 2020'!D:D,'Week 19 May 4 - May 10 2020'!D:D,'Week 18 Apr 27 - May 3 2020'!C:C,'Week 19 May 4 - May 10 2020'!C:C)+Table36119101355571214175259616365[[#This Row],[Week Sales]]</f>
        <v>4350458</v>
      </c>
      <c r="G2" s="18" t="str">
        <f>(VLOOKUP(D:D,'Week 18 Apr 27 - May 3 2020'!D:G,4,FALSE))</f>
        <v>Nintendo</v>
      </c>
      <c r="H2" s="67">
        <f>(VLOOKUP(D:D,'Week 18 Apr 27 - May 3 2020'!D:H,5,FALSE))</f>
        <v>43910</v>
      </c>
      <c r="I2" s="12">
        <f>_xlfn.IFNA(SUMIFS('Week 18 Apr 27 - May 3 2020'!E:E,'Week 18 Apr 27 - May 3 2020'!D:D,'Week 19 May 4 - May 10 2020'!D:D,'Week 18 Apr 27 - May 3 2020'!C:C,'Week 19 May 4 - May 10 2020'!C:C),"New")</f>
        <v>260357</v>
      </c>
      <c r="J2" s="28">
        <f>IFERROR((E2-I2)/I2,"New")</f>
        <v>-0.25125116666730679</v>
      </c>
    </row>
    <row r="3" spans="1:10" x14ac:dyDescent="0.2">
      <c r="A3" s="25">
        <v>2</v>
      </c>
      <c r="B3" s="18">
        <v>2</v>
      </c>
      <c r="C3" s="18" t="s">
        <v>7</v>
      </c>
      <c r="D3" s="18" t="s">
        <v>45</v>
      </c>
      <c r="E3" s="12">
        <v>22740</v>
      </c>
      <c r="F3" s="12">
        <f>SUMIFS('Week 18 Apr 27 - May 3 2020'!F:F,'Week 18 Apr 27 - May 3 2020'!D:D,'Week 19 May 4 - May 10 2020'!D:D,'Week 18 Apr 27 - May 3 2020'!C:C,'Week 19 May 4 - May 10 2020'!C:C)+Table36119101355571214175259616365[[#This Row],[Week Sales]]</f>
        <v>883332</v>
      </c>
      <c r="G3" s="18" t="str">
        <f>(VLOOKUP(D:D,'Week 18 Apr 27 - May 3 2020'!D:G,4,FALSE))</f>
        <v>Nintendo</v>
      </c>
      <c r="H3" s="67">
        <f>(VLOOKUP(D:D,'Week 18 Apr 27 - May 3 2020'!D:H,5,FALSE))</f>
        <v>43756</v>
      </c>
      <c r="I3" s="12">
        <f>_xlfn.IFNA(SUMIFS('Week 18 Apr 27 - May 3 2020'!E:E,'Week 18 Apr 27 - May 3 2020'!D:D,'Week 19 May 4 - May 10 2020'!D:D,'Week 18 Apr 27 - May 3 2020'!C:C,'Week 19 May 4 - May 10 2020'!C:C),"New")</f>
        <v>81649</v>
      </c>
      <c r="J3" s="28">
        <f t="shared" ref="J3:J31" si="0">IFERROR((E3-I3)/I3,"New")</f>
        <v>-0.72149077147301255</v>
      </c>
    </row>
    <row r="4" spans="1:10" x14ac:dyDescent="0.2">
      <c r="A4" s="25">
        <v>3</v>
      </c>
      <c r="B4" s="18">
        <v>3</v>
      </c>
      <c r="C4" s="18" t="s">
        <v>8</v>
      </c>
      <c r="D4" s="47" t="s">
        <v>234</v>
      </c>
      <c r="E4" s="12">
        <v>18549</v>
      </c>
      <c r="F4" s="12">
        <f>SUMIFS('Week 18 Apr 27 - May 3 2020'!F:F,'Week 18 Apr 27 - May 3 2020'!D:D,'Week 19 May 4 - May 10 2020'!D:D,'Week 18 Apr 27 - May 3 2020'!C:C,'Week 19 May 4 - May 10 2020'!C:C)+Table36119101355571214175259616365[[#This Row],[Week Sales]]</f>
        <v>897108</v>
      </c>
      <c r="G4" s="18" t="str">
        <f>(VLOOKUP(D:D,'Week 18 Apr 27 - May 3 2020'!D:G,4,FALSE))</f>
        <v>Square Enix</v>
      </c>
      <c r="H4" s="67">
        <f>(VLOOKUP(D:D,'Week 18 Apr 27 - May 3 2020'!D:H,5,FALSE))</f>
        <v>43931</v>
      </c>
      <c r="I4" s="12">
        <f>_xlfn.IFNA(SUMIFS('Week 18 Apr 27 - May 3 2020'!E:E,'Week 18 Apr 27 - May 3 2020'!D:D,'Week 19 May 4 - May 10 2020'!D:D,'Week 18 Apr 27 - May 3 2020'!C:C,'Week 19 May 4 - May 10 2020'!C:C),"New")</f>
        <v>39485</v>
      </c>
      <c r="J4" s="28">
        <f t="shared" si="0"/>
        <v>-0.5302266683550716</v>
      </c>
    </row>
    <row r="5" spans="1:10" x14ac:dyDescent="0.2">
      <c r="A5" s="25">
        <v>4</v>
      </c>
      <c r="B5" s="18">
        <v>5</v>
      </c>
      <c r="C5" s="18" t="s">
        <v>7</v>
      </c>
      <c r="D5" s="47" t="s">
        <v>49</v>
      </c>
      <c r="E5" s="12">
        <v>17924</v>
      </c>
      <c r="F5" s="12">
        <f>SUMIFS('Week 18 Apr 27 - May 3 2020'!F:F,'Week 18 Apr 27 - May 3 2020'!D:D,'Week 19 May 4 - May 10 2020'!D:D,'Week 18 Apr 27 - May 3 2020'!C:C,'Week 19 May 4 - May 10 2020'!C:C)+Table36119101355571214175259616365[[#This Row],[Week Sales]]</f>
        <v>2936169</v>
      </c>
      <c r="G5" s="18" t="str">
        <f>(VLOOKUP(D:D,'Week 18 Apr 27 - May 3 2020'!D:G,4,FALSE))</f>
        <v>Nintendo</v>
      </c>
      <c r="H5" s="67">
        <f>(VLOOKUP(D:D,'Week 18 Apr 27 - May 3 2020'!D:H,5,FALSE))</f>
        <v>42853</v>
      </c>
      <c r="I5" s="12">
        <f>_xlfn.IFNA(SUMIFS('Week 18 Apr 27 - May 3 2020'!E:E,'Week 18 Apr 27 - May 3 2020'!D:D,'Week 19 May 4 - May 10 2020'!D:D,'Week 18 Apr 27 - May 3 2020'!C:C,'Week 19 May 4 - May 10 2020'!C:C),"New")</f>
        <v>20396</v>
      </c>
      <c r="J5" s="28">
        <f t="shared" si="0"/>
        <v>-0.12120023534026279</v>
      </c>
    </row>
    <row r="6" spans="1:10" x14ac:dyDescent="0.2">
      <c r="A6" s="25">
        <v>5</v>
      </c>
      <c r="B6" s="18">
        <v>9</v>
      </c>
      <c r="C6" s="18" t="s">
        <v>7</v>
      </c>
      <c r="D6" s="47" t="s">
        <v>10</v>
      </c>
      <c r="E6" s="12">
        <v>13467</v>
      </c>
      <c r="F6" s="12">
        <f>SUMIFS('Week 18 Apr 27 - May 3 2020'!F:F,'Week 18 Apr 27 - May 3 2020'!D:D,'Week 19 May 4 - May 10 2020'!D:D,'Week 18 Apr 27 - May 3 2020'!C:C,'Week 19 May 4 - May 10 2020'!C:C)+Table36119101355571214175259616365[[#This Row],[Week Sales]]</f>
        <v>3409160</v>
      </c>
      <c r="G6" s="18" t="str">
        <f>(VLOOKUP(D:D,'Week 18 Apr 27 - May 3 2020'!D:G,4,FALSE))</f>
        <v>Nintendo</v>
      </c>
      <c r="H6" s="67">
        <f>(VLOOKUP(D:D,'Week 18 Apr 27 - May 3 2020'!D:H,5,FALSE))</f>
        <v>42937</v>
      </c>
      <c r="I6" s="12">
        <f>_xlfn.IFNA(SUMIFS('Week 18 Apr 27 - May 3 2020'!E:E,'Week 18 Apr 27 - May 3 2020'!D:D,'Week 19 May 4 - May 10 2020'!D:D,'Week 18 Apr 27 - May 3 2020'!C:C,'Week 19 May 4 - May 10 2020'!C:C),"New")</f>
        <v>12391</v>
      </c>
      <c r="J6" s="28">
        <f t="shared" si="0"/>
        <v>8.6837220563312084E-2</v>
      </c>
    </row>
    <row r="7" spans="1:10" x14ac:dyDescent="0.2">
      <c r="A7" s="25">
        <v>6</v>
      </c>
      <c r="B7" s="18">
        <v>4</v>
      </c>
      <c r="C7" s="18" t="s">
        <v>8</v>
      </c>
      <c r="D7" s="47" t="s">
        <v>237</v>
      </c>
      <c r="E7" s="12">
        <v>12836</v>
      </c>
      <c r="F7" s="12">
        <f>SUMIFS('Week 18 Apr 27 - May 3 2020'!F:F,'Week 18 Apr 27 - May 3 2020'!D:D,'Week 19 May 4 - May 10 2020'!D:D,'Week 18 Apr 27 - May 3 2020'!C:C,'Week 19 May 4 - May 10 2020'!C:C)+Table36119101355571214175259616365[[#This Row],[Week Sales]]</f>
        <v>117286</v>
      </c>
      <c r="G7" s="18" t="str">
        <f>(VLOOKUP(D:D,'Week 18 Apr 27 - May 3 2020'!D:G,4,FALSE))</f>
        <v>Square Enix</v>
      </c>
      <c r="H7" s="67">
        <f>(VLOOKUP(D:D,'Week 18 Apr 27 - May 3 2020'!D:H,5,FALSE))</f>
        <v>43945</v>
      </c>
      <c r="I7" s="12">
        <f>_xlfn.IFNA(SUMIFS('Week 18 Apr 27 - May 3 2020'!E:E,'Week 18 Apr 27 - May 3 2020'!D:D,'Week 19 May 4 - May 10 2020'!D:D,'Week 18 Apr 27 - May 3 2020'!C:C,'Week 19 May 4 - May 10 2020'!C:C),"New")</f>
        <v>24067</v>
      </c>
      <c r="J7" s="28">
        <f t="shared" si="0"/>
        <v>-0.46665558648772176</v>
      </c>
    </row>
    <row r="8" spans="1:10" x14ac:dyDescent="0.2">
      <c r="A8" s="25">
        <v>7</v>
      </c>
      <c r="B8" s="18">
        <v>7</v>
      </c>
      <c r="C8" s="18" t="s">
        <v>7</v>
      </c>
      <c r="D8" s="47" t="s">
        <v>52</v>
      </c>
      <c r="E8" s="12">
        <v>11808</v>
      </c>
      <c r="F8" s="12">
        <f>SUMIFS('Week 18 Apr 27 - May 3 2020'!F:F,'Week 18 Apr 27 - May 3 2020'!D:D,'Week 19 May 4 - May 10 2020'!D:D,'Week 18 Apr 27 - May 3 2020'!C:C,'Week 19 May 4 - May 10 2020'!C:C)+Table36119101355571214175259616365[[#This Row],[Week Sales]]</f>
        <v>3690702</v>
      </c>
      <c r="G8" s="18" t="str">
        <f>(VLOOKUP(D:D,'Week 18 Apr 27 - May 3 2020'!D:G,4,FALSE))</f>
        <v>Nintendo</v>
      </c>
      <c r="H8" s="67">
        <f>(VLOOKUP(D:D,'Week 18 Apr 27 - May 3 2020'!D:H,5,FALSE))</f>
        <v>43441</v>
      </c>
      <c r="I8" s="12">
        <f>_xlfn.IFNA(SUMIFS('Week 18 Apr 27 - May 3 2020'!E:E,'Week 18 Apr 27 - May 3 2020'!D:D,'Week 19 May 4 - May 10 2020'!D:D,'Week 18 Apr 27 - May 3 2020'!C:C,'Week 19 May 4 - May 10 2020'!C:C),"New")</f>
        <v>13390</v>
      </c>
      <c r="J8" s="28">
        <f t="shared" si="0"/>
        <v>-0.1181478715459298</v>
      </c>
    </row>
    <row r="9" spans="1:10" x14ac:dyDescent="0.2">
      <c r="A9" s="25">
        <v>8</v>
      </c>
      <c r="B9" s="18">
        <v>6</v>
      </c>
      <c r="C9" s="18" t="s">
        <v>7</v>
      </c>
      <c r="D9" s="47" t="s">
        <v>13</v>
      </c>
      <c r="E9" s="12">
        <v>10639</v>
      </c>
      <c r="F9" s="12">
        <f>SUMIFS('Week 18 Apr 27 - May 3 2020'!F:F,'Week 18 Apr 27 - May 3 2020'!D:D,'Week 19 May 4 - May 10 2020'!D:D,'Week 18 Apr 27 - May 3 2020'!C:C,'Week 19 May 4 - May 10 2020'!C:C)+Table36119101355571214175259616365[[#This Row],[Week Sales]]</f>
        <v>1440839</v>
      </c>
      <c r="G9" s="18" t="str">
        <f>(VLOOKUP(D:D,'Week 18 Apr 27 - May 3 2020'!D:G,4,FALSE))</f>
        <v>Nintendo</v>
      </c>
      <c r="H9" s="67">
        <f>(VLOOKUP(D:D,'Week 18 Apr 27 - May 3 2020'!D:H,5,FALSE))</f>
        <v>43378</v>
      </c>
      <c r="I9" s="12">
        <f>_xlfn.IFNA(SUMIFS('Week 18 Apr 27 - May 3 2020'!E:E,'Week 18 Apr 27 - May 3 2020'!D:D,'Week 19 May 4 - May 10 2020'!D:D,'Week 18 Apr 27 - May 3 2020'!C:C,'Week 19 May 4 - May 10 2020'!C:C),"New")</f>
        <v>13920</v>
      </c>
      <c r="J9" s="28">
        <f t="shared" si="0"/>
        <v>-0.23570402298850573</v>
      </c>
    </row>
    <row r="10" spans="1:10" x14ac:dyDescent="0.2">
      <c r="A10" s="25">
        <v>9</v>
      </c>
      <c r="B10" s="18">
        <v>10</v>
      </c>
      <c r="C10" s="18" t="s">
        <v>7</v>
      </c>
      <c r="D10" s="47" t="s">
        <v>16</v>
      </c>
      <c r="E10" s="12">
        <v>10580</v>
      </c>
      <c r="F10" s="12">
        <f>SUMIFS('Week 18 Apr 27 - May 3 2020'!F:F,'Week 18 Apr 27 - May 3 2020'!D:D,'Week 19 May 4 - May 10 2020'!D:D,'Week 18 Apr 27 - May 3 2020'!C:C,'Week 19 May 4 - May 10 2020'!C:C)+Table36119101355571214175259616365[[#This Row],[Week Sales]]</f>
        <v>222469</v>
      </c>
      <c r="G10" s="18" t="str">
        <f>(VLOOKUP(D:D,'Week 18 Apr 27 - May 3 2020'!D:G,4,FALSE))</f>
        <v>Nintendo</v>
      </c>
      <c r="H10" s="67">
        <f>(VLOOKUP(D:D,'Week 18 Apr 27 - May 3 2020'!D:H,5,FALSE))</f>
        <v>43826</v>
      </c>
      <c r="I10" s="12">
        <f>_xlfn.IFNA(SUMIFS('Week 18 Apr 27 - May 3 2020'!E:E,'Week 18 Apr 27 - May 3 2020'!D:D,'Week 19 May 4 - May 10 2020'!D:D,'Week 18 Apr 27 - May 3 2020'!C:C,'Week 19 May 4 - May 10 2020'!C:C),"New")</f>
        <v>9506</v>
      </c>
      <c r="J10" s="28">
        <f t="shared" si="0"/>
        <v>0.11298127498422049</v>
      </c>
    </row>
    <row r="11" spans="1:10" x14ac:dyDescent="0.2">
      <c r="A11" s="25">
        <v>10</v>
      </c>
      <c r="B11" s="18">
        <v>11</v>
      </c>
      <c r="C11" s="18" t="s">
        <v>7</v>
      </c>
      <c r="D11" s="47" t="s">
        <v>12</v>
      </c>
      <c r="E11" s="12">
        <v>9271</v>
      </c>
      <c r="F11" s="12">
        <f>SUMIFS('Week 18 Apr 27 - May 3 2020'!F:F,'Week 18 Apr 27 - May 3 2020'!D:D,'Week 19 May 4 - May 10 2020'!D:D,'Week 18 Apr 27 - May 3 2020'!C:C,'Week 19 May 4 - May 10 2020'!C:C)+Table36119101355571214175259616365[[#This Row],[Week Sales]]</f>
        <v>1380939</v>
      </c>
      <c r="G11" s="18" t="str">
        <f>(VLOOKUP(D:D,'Week 18 Apr 27 - May 3 2020'!D:G,4,FALSE))</f>
        <v>Microsoft</v>
      </c>
      <c r="H11" s="67">
        <f>(VLOOKUP(D:D,'Week 18 Apr 27 - May 3 2020'!D:H,5,FALSE))</f>
        <v>43272</v>
      </c>
      <c r="I11" s="12">
        <f>_xlfn.IFNA(SUMIFS('Week 18 Apr 27 - May 3 2020'!E:E,'Week 18 Apr 27 - May 3 2020'!D:D,'Week 19 May 4 - May 10 2020'!D:D,'Week 18 Apr 27 - May 3 2020'!C:C,'Week 19 May 4 - May 10 2020'!C:C),"New")</f>
        <v>8458</v>
      </c>
      <c r="J11" s="28">
        <f t="shared" si="0"/>
        <v>9.6122014660676283E-2</v>
      </c>
    </row>
    <row r="12" spans="1:10" x14ac:dyDescent="0.2">
      <c r="A12" s="25">
        <v>11</v>
      </c>
      <c r="B12" s="18">
        <v>12</v>
      </c>
      <c r="C12" s="18" t="s">
        <v>7</v>
      </c>
      <c r="D12" s="47" t="s">
        <v>62</v>
      </c>
      <c r="E12" s="12">
        <v>7585</v>
      </c>
      <c r="F12" s="12">
        <f>SUMIFS('Week 18 Apr 27 - May 3 2020'!F:F,'Week 18 Apr 27 - May 3 2020'!D:D,'Week 19 May 4 - May 10 2020'!D:D,'Week 18 Apr 27 - May 3 2020'!C:C,'Week 19 May 4 - May 10 2020'!C:C)+Table36119101355571214175259616365[[#This Row],[Week Sales]]</f>
        <v>3593708</v>
      </c>
      <c r="G12" s="18" t="str">
        <f>(VLOOKUP(D:D,'Week 18 Apr 27 - May 3 2020'!D:G,4,FALSE))</f>
        <v>The Pokemon Company</v>
      </c>
      <c r="H12" s="67">
        <f>(VLOOKUP(D:D,'Week 18 Apr 27 - May 3 2020'!D:H,5,FALSE))</f>
        <v>43784</v>
      </c>
      <c r="I12" s="12">
        <f>_xlfn.IFNA(SUMIFS('Week 18 Apr 27 - May 3 2020'!E:E,'Week 18 Apr 27 - May 3 2020'!D:D,'Week 19 May 4 - May 10 2020'!D:D,'Week 18 Apr 27 - May 3 2020'!C:C,'Week 19 May 4 - May 10 2020'!C:C),"New")</f>
        <v>7651</v>
      </c>
      <c r="J12" s="28">
        <f t="shared" si="0"/>
        <v>-8.6263233564239962E-3</v>
      </c>
    </row>
    <row r="13" spans="1:10" x14ac:dyDescent="0.2">
      <c r="A13" s="25">
        <v>12</v>
      </c>
      <c r="B13" s="18">
        <v>14</v>
      </c>
      <c r="C13" s="18" t="s">
        <v>7</v>
      </c>
      <c r="D13" s="47" t="s">
        <v>17</v>
      </c>
      <c r="E13" s="12">
        <v>5489</v>
      </c>
      <c r="F13" s="12">
        <f>SUMIFS('Week 18 Apr 27 - May 3 2020'!F:F,'Week 18 Apr 27 - May 3 2020'!D:D,'Week 19 May 4 - May 10 2020'!D:D,'Week 18 Apr 27 - May 3 2020'!C:C,'Week 19 May 4 - May 10 2020'!C:C)+Table36119101355571214175259616365[[#This Row],[Week Sales]]</f>
        <v>838414</v>
      </c>
      <c r="G13" s="18" t="str">
        <f>(VLOOKUP(D:D,'Week 18 Apr 27 - May 3 2020'!D:G,4,FALSE))</f>
        <v>Nintendo</v>
      </c>
      <c r="H13" s="67">
        <f>(VLOOKUP(D:D,'Week 18 Apr 27 - May 3 2020'!D:H,5,FALSE))</f>
        <v>43476</v>
      </c>
      <c r="I13" s="12">
        <f>_xlfn.IFNA(SUMIFS('Week 18 Apr 27 - May 3 2020'!E:E,'Week 18 Apr 27 - May 3 2020'!D:D,'Week 19 May 4 - May 10 2020'!D:D,'Week 18 Apr 27 - May 3 2020'!C:C,'Week 19 May 4 - May 10 2020'!C:C),"New")</f>
        <v>6264</v>
      </c>
      <c r="J13" s="28">
        <f t="shared" si="0"/>
        <v>-0.1237228607918263</v>
      </c>
    </row>
    <row r="14" spans="1:10" x14ac:dyDescent="0.2">
      <c r="A14" s="25">
        <v>13</v>
      </c>
      <c r="B14" s="18">
        <v>17</v>
      </c>
      <c r="C14" s="18" t="s">
        <v>7</v>
      </c>
      <c r="D14" s="47" t="s">
        <v>19</v>
      </c>
      <c r="E14" s="12">
        <v>5438</v>
      </c>
      <c r="F14" s="12">
        <f>SUMIFS('Week 18 Apr 27 - May 3 2020'!F:F,'Week 18 Apr 27 - May 3 2020'!D:D,'Week 19 May 4 - May 10 2020'!D:D,'Week 18 Apr 27 - May 3 2020'!C:C,'Week 19 May 4 - May 10 2020'!C:C)+Table36119101355571214175259616365[[#This Row],[Week Sales]]</f>
        <v>909928</v>
      </c>
      <c r="G14" s="18" t="str">
        <f>(VLOOKUP(D:D,'Week 18 Apr 27 - May 3 2020'!D:G,4,FALSE))</f>
        <v>Nintendo</v>
      </c>
      <c r="H14" s="67">
        <f>(VLOOKUP(D:D,'Week 18 Apr 27 - May 3 2020'!D:H,5,FALSE))</f>
        <v>43644</v>
      </c>
      <c r="I14" s="12">
        <f>_xlfn.IFNA(SUMIFS('Week 18 Apr 27 - May 3 2020'!E:E,'Week 18 Apr 27 - May 3 2020'!D:D,'Week 19 May 4 - May 10 2020'!D:D,'Week 18 Apr 27 - May 3 2020'!C:C,'Week 19 May 4 - May 10 2020'!C:C),"New")</f>
        <v>5443</v>
      </c>
      <c r="J14" s="28">
        <f t="shared" si="0"/>
        <v>-9.1861106007716335E-4</v>
      </c>
    </row>
    <row r="15" spans="1:10" x14ac:dyDescent="0.2">
      <c r="A15" s="25">
        <v>14</v>
      </c>
      <c r="B15" s="18">
        <v>18</v>
      </c>
      <c r="C15" s="18" t="s">
        <v>7</v>
      </c>
      <c r="D15" s="47" t="s">
        <v>39</v>
      </c>
      <c r="E15" s="12">
        <v>4743</v>
      </c>
      <c r="F15" s="12">
        <f>SUMIFS('Week 18 Apr 27 - May 3 2020'!F:F,'Week 18 Apr 27 - May 3 2020'!D:D,'Week 19 May 4 - May 10 2020'!D:D,'Week 18 Apr 27 - May 3 2020'!C:C,'Week 19 May 4 - May 10 2020'!C:C)+Table36119101355571214175259616365[[#This Row],[Week Sales]]</f>
        <v>1581091</v>
      </c>
      <c r="G15" s="18" t="str">
        <f>(VLOOKUP(D:D,'Week 18 Apr 27 - May 3 2020'!D:G,4,FALSE))</f>
        <v>Nintendo</v>
      </c>
      <c r="H15" s="67">
        <f>(VLOOKUP(D:D,'Week 18 Apr 27 - May 3 2020'!D:H,5,FALSE))</f>
        <v>42797</v>
      </c>
      <c r="I15" s="12">
        <f>_xlfn.IFNA(SUMIFS('Week 18 Apr 27 - May 3 2020'!E:E,'Week 18 Apr 27 - May 3 2020'!D:D,'Week 19 May 4 - May 10 2020'!D:D,'Week 18 Apr 27 - May 3 2020'!C:C,'Week 19 May 4 - May 10 2020'!C:C),"New")</f>
        <v>5305</v>
      </c>
      <c r="J15" s="28">
        <f t="shared" si="0"/>
        <v>-0.105937794533459</v>
      </c>
    </row>
    <row r="16" spans="1:10" x14ac:dyDescent="0.2">
      <c r="A16" s="25">
        <v>15</v>
      </c>
      <c r="B16" s="18">
        <v>16</v>
      </c>
      <c r="C16" s="18" t="s">
        <v>7</v>
      </c>
      <c r="D16" s="47" t="s">
        <v>221</v>
      </c>
      <c r="E16" s="12">
        <v>3931</v>
      </c>
      <c r="F16" s="12">
        <f>SUMIFS('Week 18 Apr 27 - May 3 2020'!F:F,'Week 18 Apr 27 - May 3 2020'!D:D,'Week 19 May 4 - May 10 2020'!D:D,'Week 18 Apr 27 - May 3 2020'!C:C,'Week 19 May 4 - May 10 2020'!C:C)+Table36119101355571214175259616365[[#This Row],[Week Sales]]</f>
        <v>114388</v>
      </c>
      <c r="G16" s="18" t="str">
        <f>(VLOOKUP(D:D,'Week 18 Apr 27 - May 3 2020'!D:G,4,FALSE))</f>
        <v>Bandai Namco</v>
      </c>
      <c r="H16" s="67">
        <f>(VLOOKUP(D:D,'Week 18 Apr 27 - May 3 2020'!D:H,5,FALSE))</f>
        <v>43916</v>
      </c>
      <c r="I16" s="12">
        <f>_xlfn.IFNA(SUMIFS('Week 18 Apr 27 - May 3 2020'!E:E,'Week 18 Apr 27 - May 3 2020'!D:D,'Week 19 May 4 - May 10 2020'!D:D,'Week 18 Apr 27 - May 3 2020'!C:C,'Week 19 May 4 - May 10 2020'!C:C),"New")</f>
        <v>5621</v>
      </c>
      <c r="J16" s="28">
        <f t="shared" si="0"/>
        <v>-0.3006582458637253</v>
      </c>
    </row>
    <row r="17" spans="1:10" x14ac:dyDescent="0.2">
      <c r="A17" s="25">
        <v>16</v>
      </c>
      <c r="B17" s="18">
        <v>22</v>
      </c>
      <c r="C17" s="18" t="s">
        <v>7</v>
      </c>
      <c r="D17" s="47" t="s">
        <v>20</v>
      </c>
      <c r="E17" s="12">
        <v>3921</v>
      </c>
      <c r="F17" s="12">
        <f>SUMIFS('Week 18 Apr 27 - May 3 2020'!F:F,'Week 18 Apr 27 - May 3 2020'!D:D,'Week 19 May 4 - May 10 2020'!D:D,'Week 18 Apr 27 - May 3 2020'!C:C,'Week 19 May 4 - May 10 2020'!C:C)+Table36119101355571214175259616365[[#This Row],[Week Sales]]</f>
        <v>435651</v>
      </c>
      <c r="G17" s="18" t="str">
        <f>(VLOOKUP(D:D,'Week 18 Apr 27 - May 3 2020'!D:G,4,FALSE))</f>
        <v>Bandai Namco</v>
      </c>
      <c r="H17" s="67">
        <f>(VLOOKUP(D:D,'Week 18 Apr 27 - May 3 2020'!D:H,5,FALSE))</f>
        <v>43671</v>
      </c>
      <c r="I17" s="12">
        <f>_xlfn.IFNA(SUMIFS('Week 18 Apr 27 - May 3 2020'!E:E,'Week 18 Apr 27 - May 3 2020'!D:D,'Week 19 May 4 - May 10 2020'!D:D,'Week 18 Apr 27 - May 3 2020'!C:C,'Week 19 May 4 - May 10 2020'!C:C),"New")</f>
        <v>4270</v>
      </c>
      <c r="J17" s="28">
        <f t="shared" si="0"/>
        <v>-8.1733021077283377E-2</v>
      </c>
    </row>
    <row r="18" spans="1:10" x14ac:dyDescent="0.2">
      <c r="A18" s="25">
        <v>17</v>
      </c>
      <c r="B18" s="18">
        <v>25</v>
      </c>
      <c r="C18" s="18" t="s">
        <v>7</v>
      </c>
      <c r="D18" s="47" t="s">
        <v>209</v>
      </c>
      <c r="E18" s="12">
        <v>3813</v>
      </c>
      <c r="F18" s="12">
        <f>SUMIFS('Week 18 Apr 27 - May 3 2020'!F:F,'Week 18 Apr 27 - May 3 2020'!D:D,'Week 19 May 4 - May 10 2020'!D:D,'Week 18 Apr 27 - May 3 2020'!C:C,'Week 19 May 4 - May 10 2020'!C:C)+Table36119101355571214175259616365[[#This Row],[Week Sales]]</f>
        <v>249423</v>
      </c>
      <c r="G18" s="18" t="str">
        <f>(VLOOKUP(D:D,'Week 18 Apr 27 - May 3 2020'!D:G,4,FALSE))</f>
        <v>The Pokemon Company</v>
      </c>
      <c r="H18" s="67">
        <f>(VLOOKUP(D:D,'Week 18 Apr 27 - May 3 2020'!D:H,5,FALSE))</f>
        <v>43896</v>
      </c>
      <c r="I18" s="12">
        <f>_xlfn.IFNA(SUMIFS('Week 18 Apr 27 - May 3 2020'!E:E,'Week 18 Apr 27 - May 3 2020'!D:D,'Week 19 May 4 - May 10 2020'!D:D,'Week 18 Apr 27 - May 3 2020'!C:C,'Week 19 May 4 - May 10 2020'!C:C),"New")</f>
        <v>3999</v>
      </c>
      <c r="J18" s="28">
        <f t="shared" si="0"/>
        <v>-4.6511627906976744E-2</v>
      </c>
    </row>
    <row r="19" spans="1:10" x14ac:dyDescent="0.2">
      <c r="A19" s="25">
        <v>18</v>
      </c>
      <c r="B19" s="18">
        <v>13</v>
      </c>
      <c r="C19" s="18" t="s">
        <v>8</v>
      </c>
      <c r="D19" s="47" t="s">
        <v>232</v>
      </c>
      <c r="E19" s="12">
        <v>3573</v>
      </c>
      <c r="F19" s="12">
        <f>SUMIFS('Week 18 Apr 27 - May 3 2020'!F:F,'Week 18 Apr 27 - May 3 2020'!D:D,'Week 19 May 4 - May 10 2020'!D:D,'Week 18 Apr 27 - May 3 2020'!C:C,'Week 19 May 4 - May 10 2020'!C:C)+Table36119101355571214175259616365[[#This Row],[Week Sales]]</f>
        <v>255320</v>
      </c>
      <c r="G19" s="18" t="str">
        <f>(VLOOKUP(D:D,'Week 18 Apr 27 - May 3 2020'!D:G,4,FALSE))</f>
        <v>Capcom</v>
      </c>
      <c r="H19" s="67">
        <f>(VLOOKUP(D:D,'Week 18 Apr 27 - May 3 2020'!D:H,5,FALSE))</f>
        <v>43924</v>
      </c>
      <c r="I19" s="12">
        <f>_xlfn.IFNA(SUMIFS('Week 18 Apr 27 - May 3 2020'!E:E,'Week 18 Apr 27 - May 3 2020'!D:D,'Week 19 May 4 - May 10 2020'!D:D,'Week 18 Apr 27 - May 3 2020'!C:C,'Week 19 May 4 - May 10 2020'!C:C),"New")</f>
        <v>7107</v>
      </c>
      <c r="J19" s="28">
        <f t="shared" si="0"/>
        <v>-0.49725622625580412</v>
      </c>
    </row>
    <row r="20" spans="1:10" x14ac:dyDescent="0.2">
      <c r="A20" s="25">
        <v>19</v>
      </c>
      <c r="B20" s="18">
        <v>21</v>
      </c>
      <c r="C20" s="18" t="s">
        <v>8</v>
      </c>
      <c r="D20" s="86" t="s">
        <v>187</v>
      </c>
      <c r="E20" s="12">
        <v>3562</v>
      </c>
      <c r="F20" s="12">
        <f>SUMIFS('Week 18 Apr 27 - May 3 2020'!F:F,'Week 18 Apr 27 - May 3 2020'!D:D,'Week 19 May 4 - May 10 2020'!D:D,'Week 18 Apr 27 - May 3 2020'!C:C,'Week 19 May 4 - May 10 2020'!C:C)+Table36119101355571214175259616365[[#This Row],[Week Sales]]</f>
        <v>48222</v>
      </c>
      <c r="G20" s="18" t="str">
        <f>(VLOOKUP(D:D,'Week 18 Apr 27 - May 3 2020'!D:G,4,FALSE))</f>
        <v>Rockstar Games</v>
      </c>
      <c r="H20" s="67">
        <f>(VLOOKUP(D:D,'Week 18 Apr 27 - May 3 2020'!D:H,5,FALSE))</f>
        <v>43440</v>
      </c>
      <c r="I20" s="12">
        <f>_xlfn.IFNA(SUMIFS('Week 18 Apr 27 - May 3 2020'!E:E,'Week 18 Apr 27 - May 3 2020'!D:D,'Week 19 May 4 - May 10 2020'!D:D,'Week 18 Apr 27 - May 3 2020'!C:C,'Week 19 May 4 - May 10 2020'!C:C),"New")</f>
        <v>4479</v>
      </c>
      <c r="J20" s="28">
        <f t="shared" si="0"/>
        <v>-0.20473319937486045</v>
      </c>
    </row>
    <row r="21" spans="1:10" x14ac:dyDescent="0.2">
      <c r="A21" s="25">
        <v>20</v>
      </c>
      <c r="B21" s="18">
        <v>27</v>
      </c>
      <c r="C21" s="18" t="s">
        <v>7</v>
      </c>
      <c r="D21" s="47" t="s">
        <v>80</v>
      </c>
      <c r="E21" s="12">
        <v>3490</v>
      </c>
      <c r="F21" s="12">
        <f>SUMIFS('Week 18 Apr 27 - May 3 2020'!F:F,'Week 18 Apr 27 - May 3 2020'!D:D,'Week 19 May 4 - May 10 2020'!D:D,'Week 18 Apr 27 - May 3 2020'!C:C,'Week 19 May 4 - May 10 2020'!C:C)+Table36119101355571214175259616365[[#This Row],[Week Sales]]</f>
        <v>312574</v>
      </c>
      <c r="G21" s="18" t="str">
        <f>(VLOOKUP(D:D,'Week 18 Apr 27 - May 3 2020'!D:G,4,FALSE))</f>
        <v>Sega</v>
      </c>
      <c r="H21" s="67">
        <f>(VLOOKUP(D:D,'Week 18 Apr 27 - May 3 2020'!D:H,5,FALSE))</f>
        <v>43770</v>
      </c>
      <c r="I21" s="12">
        <f>_xlfn.IFNA(SUMIFS('Week 18 Apr 27 - May 3 2020'!E:E,'Week 18 Apr 27 - May 3 2020'!D:D,'Week 19 May 4 - May 10 2020'!D:D,'Week 18 Apr 27 - May 3 2020'!C:C,'Week 19 May 4 - May 10 2020'!C:C),"New")</f>
        <v>3838</v>
      </c>
      <c r="J21" s="28">
        <f t="shared" si="0"/>
        <v>-9.0672225117248567E-2</v>
      </c>
    </row>
    <row r="22" spans="1:10" x14ac:dyDescent="0.2">
      <c r="A22" s="25">
        <v>21</v>
      </c>
      <c r="B22" s="18">
        <v>19</v>
      </c>
      <c r="C22" s="18" t="s">
        <v>7</v>
      </c>
      <c r="D22" s="47" t="s">
        <v>228</v>
      </c>
      <c r="E22" s="12">
        <v>3383</v>
      </c>
      <c r="F22" s="12">
        <f>SUMIFS('Week 18 Apr 27 - May 3 2020'!F:F,'Week 18 Apr 27 - May 3 2020'!D:D,'Week 19 May 4 - May 10 2020'!D:D,'Week 18 Apr 27 - May 3 2020'!C:C,'Week 19 May 4 - May 10 2020'!C:C)+Table36119101355571214175259616365[[#This Row],[Week Sales]]</f>
        <v>103434</v>
      </c>
      <c r="G22" s="18" t="str">
        <f>(VLOOKUP(D:D,'Week 18 Apr 27 - May 3 2020'!D:G,4,FALSE))</f>
        <v>Imagineer</v>
      </c>
      <c r="H22" s="67">
        <f>(VLOOKUP(D:D,'Week 18 Apr 27 - May 3 2020'!D:H,5,FALSE))</f>
        <v>43454</v>
      </c>
      <c r="I22" s="12">
        <f>_xlfn.IFNA(SUMIFS('Week 18 Apr 27 - May 3 2020'!E:E,'Week 18 Apr 27 - May 3 2020'!D:D,'Week 19 May 4 - May 10 2020'!D:D,'Week 18 Apr 27 - May 3 2020'!C:C,'Week 19 May 4 - May 10 2020'!C:C),"New")</f>
        <v>4970</v>
      </c>
      <c r="J22" s="28">
        <f t="shared" si="0"/>
        <v>-0.31931589537223343</v>
      </c>
    </row>
    <row r="23" spans="1:10" x14ac:dyDescent="0.2">
      <c r="A23" s="25">
        <v>22</v>
      </c>
      <c r="B23" s="18">
        <v>20</v>
      </c>
      <c r="C23" s="18" t="s">
        <v>8</v>
      </c>
      <c r="D23" s="47" t="s">
        <v>99</v>
      </c>
      <c r="E23" s="12">
        <v>3277</v>
      </c>
      <c r="F23" s="12">
        <f>SUMIFS('Week 18 Apr 27 - May 3 2020'!F:F,'Week 18 Apr 27 - May 3 2020'!D:D,'Week 19 May 4 - May 10 2020'!D:D,'Week 18 Apr 27 - May 3 2020'!C:C,'Week 19 May 4 - May 10 2020'!C:C)+Table36119101355571214175259616365[[#This Row],[Week Sales]]</f>
        <v>467333</v>
      </c>
      <c r="G23" s="18" t="str">
        <f>(VLOOKUP(D:D,'Week 18 Apr 27 - May 3 2020'!D:G,4,FALSE))</f>
        <v>Capcom</v>
      </c>
      <c r="H23" s="67">
        <f>(VLOOKUP(D:D,'Week 18 Apr 27 - May 3 2020'!D:H,5,FALSE))</f>
        <v>43714</v>
      </c>
      <c r="I23" s="12">
        <f>_xlfn.IFNA(SUMIFS('Week 18 Apr 27 - May 3 2020'!E:E,'Week 18 Apr 27 - May 3 2020'!D:D,'Week 19 May 4 - May 10 2020'!D:D,'Week 18 Apr 27 - May 3 2020'!C:C,'Week 19 May 4 - May 10 2020'!C:C),"New")</f>
        <v>4579</v>
      </c>
      <c r="J23" s="28">
        <f t="shared" si="0"/>
        <v>-0.28434155929242194</v>
      </c>
    </row>
    <row r="24" spans="1:10" x14ac:dyDescent="0.2">
      <c r="A24" s="25">
        <v>23</v>
      </c>
      <c r="B24" s="18">
        <v>28</v>
      </c>
      <c r="C24" s="18" t="s">
        <v>7</v>
      </c>
      <c r="D24" s="47" t="s">
        <v>79</v>
      </c>
      <c r="E24" s="12">
        <v>3125</v>
      </c>
      <c r="F24" s="12">
        <f>SUMIFS('Week 18 Apr 27 - May 3 2020'!F:F,'Week 18 Apr 27 - May 3 2020'!D:D,'Week 19 May 4 - May 10 2020'!D:D,'Week 18 Apr 27 - May 3 2020'!C:C,'Week 19 May 4 - May 10 2020'!C:C)+Table36119101355571214175259616365[[#This Row],[Week Sales]]</f>
        <v>641274</v>
      </c>
      <c r="G24" s="18" t="str">
        <f>(VLOOKUP(D:D,'Week 18 Apr 27 - May 3 2020'!D:G,4,FALSE))</f>
        <v>Nintendo</v>
      </c>
      <c r="H24" s="67">
        <f>(VLOOKUP(D:D,'Week 18 Apr 27 - May 3 2020'!D:H,5,FALSE))</f>
        <v>43769</v>
      </c>
      <c r="I24" s="12">
        <f>_xlfn.IFNA(SUMIFS('Week 18 Apr 27 - May 3 2020'!E:E,'Week 18 Apr 27 - May 3 2020'!D:D,'Week 19 May 4 - May 10 2020'!D:D,'Week 18 Apr 27 - May 3 2020'!C:C,'Week 19 May 4 - May 10 2020'!C:C),"New")</f>
        <v>3415</v>
      </c>
      <c r="J24" s="28">
        <f t="shared" si="0"/>
        <v>-8.4919472913616401E-2</v>
      </c>
    </row>
    <row r="25" spans="1:10" x14ac:dyDescent="0.2">
      <c r="A25" s="25">
        <v>24</v>
      </c>
      <c r="B25" s="18">
        <v>23</v>
      </c>
      <c r="C25" s="18" t="s">
        <v>222</v>
      </c>
      <c r="D25" s="47" t="s">
        <v>223</v>
      </c>
      <c r="E25" s="12">
        <v>2889</v>
      </c>
      <c r="F25" s="12">
        <f>SUMIFS('Week 18 Apr 27 - May 3 2020'!F:F,'Week 18 Apr 27 - May 3 2020'!D:D,'Week 19 May 4 - May 10 2020'!D:D,'Week 18 Apr 27 - May 3 2020'!C:C,'Week 19 May 4 - May 10 2020'!C:C)+Table36119101355571214175259616365[[#This Row],[Week Sales]]</f>
        <v>503006</v>
      </c>
      <c r="G25" s="18" t="str">
        <f>(VLOOKUP(D:D,'Week 18 Apr 27 - May 3 2020'!D:G,4,FALSE))</f>
        <v>Nintendo</v>
      </c>
      <c r="H25" s="67">
        <f>(VLOOKUP(D:D,'Week 18 Apr 27 - May 3 2020'!D:H,5,FALSE))</f>
        <v>42697</v>
      </c>
      <c r="I25" s="12">
        <f>_xlfn.IFNA(SUMIFS('Week 18 Apr 27 - May 3 2020'!E:E,'Week 18 Apr 27 - May 3 2020'!D:D,'Week 19 May 4 - May 10 2020'!D:D,'Week 18 Apr 27 - May 3 2020'!C:C,'Week 19 May 4 - May 10 2020'!C:C),"New")</f>
        <v>4156</v>
      </c>
      <c r="J25" s="28">
        <f t="shared" si="0"/>
        <v>-0.30486044273339752</v>
      </c>
    </row>
    <row r="26" spans="1:10" x14ac:dyDescent="0.2">
      <c r="A26" s="25">
        <v>25</v>
      </c>
      <c r="B26" s="18">
        <v>15</v>
      </c>
      <c r="C26" s="18" t="s">
        <v>8</v>
      </c>
      <c r="D26" s="47" t="s">
        <v>221</v>
      </c>
      <c r="E26" s="12">
        <v>2813</v>
      </c>
      <c r="F26" s="12">
        <f>SUMIFS('Week 18 Apr 27 - May 3 2020'!F:F,'Week 18 Apr 27 - May 3 2020'!D:D,'Week 19 May 4 - May 10 2020'!D:D,'Week 18 Apr 27 - May 3 2020'!C:C,'Week 19 May 4 - May 10 2020'!C:C)+Table36119101355571214175259616365[[#This Row],[Week Sales]]</f>
        <v>131315</v>
      </c>
      <c r="G26" s="18" t="str">
        <f>(VLOOKUP(D:D,'Week 18 Apr 27 - May 3 2020'!D:G,4,FALSE))</f>
        <v>Bandai Namco</v>
      </c>
      <c r="H26" s="67">
        <f>(VLOOKUP(D:D,'Week 18 Apr 27 - May 3 2020'!D:H,5,FALSE))</f>
        <v>43916</v>
      </c>
      <c r="I26" s="12">
        <f>_xlfn.IFNA(SUMIFS('Week 18 Apr 27 - May 3 2020'!E:E,'Week 18 Apr 27 - May 3 2020'!D:D,'Week 19 May 4 - May 10 2020'!D:D,'Week 18 Apr 27 - May 3 2020'!C:C,'Week 19 May 4 - May 10 2020'!C:C),"New")</f>
        <v>5660</v>
      </c>
      <c r="J26" s="28">
        <f t="shared" si="0"/>
        <v>-0.50300353356890459</v>
      </c>
    </row>
    <row r="27" spans="1:10" x14ac:dyDescent="0.2">
      <c r="A27" s="35">
        <v>26</v>
      </c>
      <c r="B27" s="31" t="s">
        <v>53</v>
      </c>
      <c r="C27" s="31" t="s">
        <v>7</v>
      </c>
      <c r="D27" s="91" t="s">
        <v>26</v>
      </c>
      <c r="E27" s="33">
        <v>2541</v>
      </c>
      <c r="F27" s="33">
        <v>2095440</v>
      </c>
      <c r="G27" s="31" t="s">
        <v>9</v>
      </c>
      <c r="H27" s="93">
        <v>43035</v>
      </c>
      <c r="I27" s="33"/>
      <c r="J27" s="97"/>
    </row>
    <row r="28" spans="1:10" x14ac:dyDescent="0.2">
      <c r="A28" s="25">
        <v>27</v>
      </c>
      <c r="B28" s="18">
        <v>24</v>
      </c>
      <c r="C28" s="18" t="s">
        <v>8</v>
      </c>
      <c r="D28" s="47" t="s">
        <v>214</v>
      </c>
      <c r="E28" s="12">
        <v>2476</v>
      </c>
      <c r="F28" s="12">
        <f>SUMIFS('Week 18 Apr 27 - May 3 2020'!F:F,'Week 18 Apr 27 - May 3 2020'!D:D,'Week 19 May 4 - May 10 2020'!D:D,'Week 18 Apr 27 - May 3 2020'!C:C,'Week 19 May 4 - May 10 2020'!C:C)+Table36119101355571214175259616365[[#This Row],[Week Sales]]</f>
        <v>156772</v>
      </c>
      <c r="G28" s="18" t="str">
        <f>(VLOOKUP(D:D,'Week 18 Apr 27 - May 3 2020'!D:G,4,FALSE))</f>
        <v>Koei Tecmo</v>
      </c>
      <c r="H28" s="67">
        <f>(VLOOKUP(D:D,'Week 18 Apr 27 - May 3 2020'!D:H,5,FALSE))</f>
        <v>43902</v>
      </c>
      <c r="I28" s="12">
        <f>_xlfn.IFNA(SUMIFS('Week 18 Apr 27 - May 3 2020'!E:E,'Week 18 Apr 27 - May 3 2020'!D:D,'Week 19 May 4 - May 10 2020'!D:D,'Week 18 Apr 27 - May 3 2020'!C:C,'Week 19 May 4 - May 10 2020'!C:C),"New")</f>
        <v>4010</v>
      </c>
      <c r="J28" s="28">
        <f t="shared" si="0"/>
        <v>-0.38254364089775561</v>
      </c>
    </row>
    <row r="29" spans="1:10" x14ac:dyDescent="0.2">
      <c r="A29" s="35">
        <v>28</v>
      </c>
      <c r="B29" s="31" t="s">
        <v>53</v>
      </c>
      <c r="C29" s="31" t="s">
        <v>7</v>
      </c>
      <c r="D29" s="52" t="s">
        <v>25</v>
      </c>
      <c r="E29" s="33">
        <v>2462</v>
      </c>
      <c r="F29" s="33">
        <v>475437</v>
      </c>
      <c r="G29" s="31" t="str">
        <f>(VLOOKUP(D:D,'Week 16 Apr 13 - Apr 19 2020'!D:G,4,FALSE))</f>
        <v>Bandai Namco</v>
      </c>
      <c r="H29" s="93">
        <f>(VLOOKUP(D:D,'Week 16 Apr 13 - Apr 19 2020'!D:H,5,FALSE))</f>
        <v>43300</v>
      </c>
      <c r="I29" s="33"/>
      <c r="J29" s="97"/>
    </row>
    <row r="30" spans="1:10" x14ac:dyDescent="0.2">
      <c r="A30" s="25">
        <v>29</v>
      </c>
      <c r="B30" s="18">
        <v>29</v>
      </c>
      <c r="C30" s="18" t="s">
        <v>8</v>
      </c>
      <c r="D30" s="86" t="s">
        <v>88</v>
      </c>
      <c r="E30" s="12">
        <v>2209</v>
      </c>
      <c r="F30" s="12">
        <f>SUMIFS('Week 18 Apr 27 - May 3 2020'!F:F,'Week 18 Apr 27 - May 3 2020'!D:D,'Week 19 May 4 - May 10 2020'!D:D,'Week 18 Apr 27 - May 3 2020'!C:C,'Week 19 May 4 - May 10 2020'!C:C)+Table36119101355571214175259616365[[#This Row],[Week Sales]]</f>
        <v>243901</v>
      </c>
      <c r="G30" s="18" t="str">
        <f>(VLOOKUP(D:D,'Week 18 Apr 27 - May 3 2020'!D:G,4,FALSE))</f>
        <v>Sony</v>
      </c>
      <c r="H30" s="67">
        <f>(VLOOKUP(D:D,'Week 18 Apr 27 - May 3 2020'!D:H,5,FALSE))</f>
        <v>43763</v>
      </c>
      <c r="I30" s="12">
        <f>_xlfn.IFNA(SUMIFS('Week 18 Apr 27 - May 3 2020'!E:E,'Week 18 Apr 27 - May 3 2020'!D:D,'Week 19 May 4 - May 10 2020'!D:D,'Week 18 Apr 27 - May 3 2020'!C:C,'Week 19 May 4 - May 10 2020'!C:C),"New")</f>
        <v>3158</v>
      </c>
      <c r="J30" s="28">
        <f t="shared" si="0"/>
        <v>-0.30050664977834074</v>
      </c>
    </row>
    <row r="31" spans="1:10" x14ac:dyDescent="0.2">
      <c r="A31" s="25">
        <v>30</v>
      </c>
      <c r="B31" s="18">
        <v>8</v>
      </c>
      <c r="C31" s="18" t="s">
        <v>7</v>
      </c>
      <c r="D31" s="47" t="s">
        <v>237</v>
      </c>
      <c r="E31" s="12">
        <v>2172</v>
      </c>
      <c r="F31" s="12">
        <f>SUMIFS('Week 18 Apr 27 - May 3 2020'!F:F,'Week 18 Apr 27 - May 3 2020'!D:D,'Week 19 May 4 - May 10 2020'!D:D,'Week 18 Apr 27 - May 3 2020'!C:C,'Week 19 May 4 - May 10 2020'!C:C)+Table36119101355571214175259616365[[#This Row],[Week Sales]]</f>
        <v>85117</v>
      </c>
      <c r="G31" s="18" t="str">
        <f>(VLOOKUP(D:D,'Week 18 Apr 27 - May 3 2020'!D:G,4,FALSE))</f>
        <v>Square Enix</v>
      </c>
      <c r="H31" s="67">
        <f>(VLOOKUP(D:D,'Week 18 Apr 27 - May 3 2020'!D:H,5,FALSE))</f>
        <v>43945</v>
      </c>
      <c r="I31" s="12">
        <f>_xlfn.IFNA(SUMIFS('Week 18 Apr 27 - May 3 2020'!E:E,'Week 18 Apr 27 - May 3 2020'!D:D,'Week 19 May 4 - May 10 2020'!D:D,'Week 18 Apr 27 - May 3 2020'!C:C,'Week 19 May 4 - May 10 2020'!C:C),"New")</f>
        <v>12831</v>
      </c>
      <c r="J31" s="28">
        <f t="shared" si="0"/>
        <v>-0.83072246902034141</v>
      </c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395648</v>
      </c>
      <c r="F33" s="2"/>
      <c r="I33" s="2"/>
      <c r="J33" s="19"/>
    </row>
    <row r="34" spans="1:10" x14ac:dyDescent="0.2">
      <c r="A34" s="3"/>
      <c r="B34" s="3"/>
      <c r="D34" s="100" t="s">
        <v>178</v>
      </c>
      <c r="E34" s="101">
        <f>SUM('Week 18 Apr 27 - May 3 2020'!E34,'Week 19 May 4 - May 10 2020'!E33)</f>
        <v>10828234</v>
      </c>
      <c r="F34" s="2"/>
      <c r="I34" s="2"/>
      <c r="J34" s="19"/>
    </row>
    <row r="35" spans="1:10" x14ac:dyDescent="0.2">
      <c r="A35" s="3"/>
      <c r="B35" s="3"/>
      <c r="D35" s="2" t="s">
        <v>60</v>
      </c>
      <c r="E35" s="2">
        <f>AVERAGE(E2:E31)</f>
        <v>13188.266666666666</v>
      </c>
      <c r="F35" s="2"/>
      <c r="I35" s="2"/>
      <c r="J35" s="19"/>
    </row>
    <row r="36" spans="1:10" x14ac:dyDescent="0.2">
      <c r="A36" s="3"/>
      <c r="B36" s="3"/>
      <c r="D36" s="9" t="s">
        <v>78</v>
      </c>
      <c r="E36" s="10">
        <f>COUNTIF(B:B,"New")</f>
        <v>0</v>
      </c>
      <c r="F36" s="2"/>
      <c r="I36" s="2"/>
      <c r="J36" s="19"/>
    </row>
    <row r="37" spans="1:10" x14ac:dyDescent="0.2">
      <c r="A37" s="3"/>
      <c r="B37" s="3"/>
      <c r="E37" s="2"/>
      <c r="F37" s="2"/>
      <c r="I37" s="2"/>
      <c r="J37" s="19"/>
    </row>
    <row r="38" spans="1:10" x14ac:dyDescent="0.2">
      <c r="A38" s="3"/>
      <c r="B38" s="3"/>
      <c r="D38" t="s">
        <v>66</v>
      </c>
      <c r="E38" s="2"/>
      <c r="F38" s="2"/>
      <c r="I38" s="2"/>
      <c r="J38" s="19"/>
    </row>
    <row r="39" spans="1:10" x14ac:dyDescent="0.2">
      <c r="A39" s="3"/>
      <c r="B39" s="3"/>
      <c r="D39" s="8" t="s">
        <v>67</v>
      </c>
      <c r="E39" s="2"/>
      <c r="F39" s="2"/>
      <c r="I39" s="2"/>
      <c r="J39" s="19"/>
    </row>
    <row r="40" spans="1:10" x14ac:dyDescent="0.2">
      <c r="A40" s="3"/>
      <c r="B40" s="3"/>
      <c r="D40" s="8" t="s">
        <v>65</v>
      </c>
      <c r="E40" s="2"/>
      <c r="F40" s="2"/>
      <c r="I40" s="2"/>
      <c r="J40" s="19"/>
    </row>
    <row r="41" spans="1:10" x14ac:dyDescent="0.2">
      <c r="D41" s="8" t="s">
        <v>71</v>
      </c>
    </row>
  </sheetData>
  <hyperlinks>
    <hyperlink ref="D41" r:id="rId1" xr:uid="{429F715F-94F2-4445-B5FB-FC45B85AFD6E}"/>
    <hyperlink ref="D40" r:id="rId2" xr:uid="{97515813-DF43-F147-A74D-92698045325B}"/>
    <hyperlink ref="D39" r:id="rId3" xr:uid="{D987FDA3-50F3-8344-BF3F-D3D1E256D600}"/>
  </hyperlinks>
  <pageMargins left="0.7" right="0.7" top="0.75" bottom="0.75" header="0.3" footer="0.3"/>
  <pageSetup paperSize="9" orientation="portrait" horizontalDpi="0" verticalDpi="0"/>
  <ignoredErrors>
    <ignoredError sqref="G27:H29 F2:F26 F30:F31 F27:F29" calculatedColumn="1"/>
  </ignoredErrors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49D9A-DD4A-7B43-B677-4AC6A156B305}">
  <dimension ref="A1:J41"/>
  <sheetViews>
    <sheetView workbookViewId="0">
      <selection activeCell="D32" sqref="D32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3.83203125" bestFit="1" customWidth="1"/>
    <col min="5" max="5" width="10.83203125" style="2"/>
    <col min="6" max="6" width="10.1640625" style="2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0" x14ac:dyDescent="0.2">
      <c r="A2" s="27">
        <v>1</v>
      </c>
      <c r="B2" s="18">
        <v>1</v>
      </c>
      <c r="C2" s="18" t="s">
        <v>7</v>
      </c>
      <c r="D2" s="18" t="s">
        <v>62</v>
      </c>
      <c r="E2" s="70">
        <v>71695</v>
      </c>
      <c r="F2" s="70">
        <f>SUMIFS('Week 1 Dec 30 - Jan 5 2020'!F:F,'Week 1 Dec 30 - Jan 5 2020'!D:D,'Week 2 Jan 6 - Jan 12 2020'!D:D,'Week 1 Dec 30 - Jan 5 2020'!C:C,'Week 2 Jan 6 - Jan 12 2020'!C:C)+Table367[[#This Row],[Week Sales]]</f>
        <v>3256754</v>
      </c>
      <c r="G2" s="18" t="str">
        <f>(VLOOKUP(D:D,'Week 1 Dec 30 - Jan 5 2020'!D:G,4,FALSE))</f>
        <v>The Pokemon Company</v>
      </c>
      <c r="H2" s="67">
        <f>(VLOOKUP(D:D,'Week 1 Dec 30 - Jan 5 2020'!D:H,5,FALSE))</f>
        <v>43784</v>
      </c>
      <c r="I2" s="12">
        <f>_xlfn.IFNA(VLOOKUP('Week 2 Jan 6 - Jan 12 2020'!D:D,'Week 1 Dec 30 - Jan 5 2020'!D:E, 2, FALSE),"New")</f>
        <v>196925</v>
      </c>
      <c r="J2" s="19">
        <f>(E2-I2)/I2</f>
        <v>-0.63592738352164535</v>
      </c>
    </row>
    <row r="3" spans="1:10" x14ac:dyDescent="0.2">
      <c r="A3" s="27">
        <v>2</v>
      </c>
      <c r="B3" s="27">
        <v>10</v>
      </c>
      <c r="C3" s="18" t="s">
        <v>7</v>
      </c>
      <c r="D3" s="4" t="s">
        <v>45</v>
      </c>
      <c r="E3" s="16">
        <v>21498</v>
      </c>
      <c r="F3" s="70">
        <f>SUMIFS('Week 1 Dec 30 - Jan 5 2020'!F:F,'Week 1 Dec 30 - Jan 5 2020'!D:D,'Week 2 Jan 6 - Jan 12 2020'!D:D,'Week 1 Dec 30 - Jan 5 2020'!C:C,'Week 2 Jan 6 - Jan 12 2020'!C:C)+Table367[[#This Row],[Week Sales]]</f>
        <v>547569</v>
      </c>
      <c r="G3" s="18" t="str">
        <f>(VLOOKUP(D:D,'Week 1 Dec 30 - Jan 5 2020'!D:G,4,FALSE))</f>
        <v>Nintendo</v>
      </c>
      <c r="H3" s="67">
        <f>(VLOOKUP(D:D,'Week 1 Dec 30 - Jan 5 2020'!D:H,5,FALSE))</f>
        <v>43756</v>
      </c>
      <c r="I3" s="12">
        <f>_xlfn.IFNA(VLOOKUP('Week 2 Jan 6 - Jan 12 2020'!D:D,'Week 1 Dec 30 - Jan 5 2020'!D:E, 2, FALSE),"New")</f>
        <v>30432</v>
      </c>
      <c r="J3" s="19">
        <f>(E3-I3)/I3</f>
        <v>-0.29357255520504733</v>
      </c>
    </row>
    <row r="4" spans="1:10" x14ac:dyDescent="0.2">
      <c r="A4" s="27">
        <v>3</v>
      </c>
      <c r="B4" s="27">
        <v>4</v>
      </c>
      <c r="C4" s="18" t="s">
        <v>7</v>
      </c>
      <c r="D4" s="18" t="s">
        <v>12</v>
      </c>
      <c r="E4" s="71">
        <v>15845</v>
      </c>
      <c r="F4" s="70">
        <f>SUMIFS('Week 1 Dec 30 - Jan 5 2020'!F:F,'Week 1 Dec 30 - Jan 5 2020'!D:D,'Week 2 Jan 6 - Jan 12 2020'!D:D,'Week 1 Dec 30 - Jan 5 2020'!C:C,'Week 2 Jan 6 - Jan 12 2020'!C:C)+Table367[[#This Row],[Week Sales]]</f>
        <v>1208747</v>
      </c>
      <c r="G4" s="18" t="str">
        <f>(VLOOKUP(D:D,'Week 1 Dec 30 - Jan 5 2020'!D:G,4,FALSE))</f>
        <v>Microsoft</v>
      </c>
      <c r="H4" s="67">
        <f>(VLOOKUP(D:D,'Week 1 Dec 30 - Jan 5 2020'!D:H,5,FALSE))</f>
        <v>43272</v>
      </c>
      <c r="I4" s="12">
        <f>_xlfn.IFNA(VLOOKUP('Week 2 Jan 6 - Jan 12 2020'!D:D,'Week 1 Dec 30 - Jan 5 2020'!D:E, 2, FALSE),"New")</f>
        <v>46963</v>
      </c>
      <c r="J4" s="19">
        <f>(E4-I4)/I4</f>
        <v>-0.66260673295998973</v>
      </c>
    </row>
    <row r="5" spans="1:10" x14ac:dyDescent="0.2">
      <c r="A5" s="27">
        <v>4</v>
      </c>
      <c r="B5" s="18">
        <v>7</v>
      </c>
      <c r="C5" s="18" t="s">
        <v>7</v>
      </c>
      <c r="D5" s="4" t="s">
        <v>16</v>
      </c>
      <c r="E5" s="12">
        <v>15757</v>
      </c>
      <c r="F5" s="70">
        <f>SUMIFS('Week 1 Dec 30 - Jan 5 2020'!F:F,'Week 1 Dec 30 - Jan 5 2020'!D:D,'Week 2 Jan 6 - Jan 12 2020'!D:D,'Week 1 Dec 30 - Jan 5 2020'!C:C,'Week 2 Jan 6 - Jan 12 2020'!C:C)+Table367[[#This Row],[Week Sales]]</f>
        <v>91908</v>
      </c>
      <c r="G5" s="18" t="str">
        <f>(VLOOKUP(D:D,'Week 1 Dec 30 - Jan 5 2020'!D:G,4,FALSE))</f>
        <v>Nintendo</v>
      </c>
      <c r="H5" s="67">
        <f>(VLOOKUP(D:D,'Week 1 Dec 30 - Jan 5 2020'!D:H,5,FALSE))</f>
        <v>43826</v>
      </c>
      <c r="I5" s="12">
        <f>_xlfn.IFNA(VLOOKUP('Week 2 Jan 6 - Jan 12 2020'!D:D,'Week 1 Dec 30 - Jan 5 2020'!D:E, 2, FALSE),"New")</f>
        <v>41455</v>
      </c>
      <c r="J5" s="19">
        <f t="shared" ref="J5:J6" si="0">(E5-I5)/I5</f>
        <v>-0.61990109757568446</v>
      </c>
    </row>
    <row r="6" spans="1:10" x14ac:dyDescent="0.2">
      <c r="A6" s="27">
        <v>5</v>
      </c>
      <c r="B6" s="18">
        <v>6</v>
      </c>
      <c r="C6" s="18" t="s">
        <v>7</v>
      </c>
      <c r="D6" s="4" t="s">
        <v>52</v>
      </c>
      <c r="E6" s="12">
        <v>14129</v>
      </c>
      <c r="F6" s="70">
        <f>SUMIFS('Week 1 Dec 30 - Jan 5 2020'!F:F,'Week 1 Dec 30 - Jan 5 2020'!D:D,'Week 2 Jan 6 - Jan 12 2020'!D:D,'Week 1 Dec 30 - Jan 5 2020'!C:C,'Week 2 Jan 6 - Jan 12 2020'!C:C)+Table367[[#This Row],[Week Sales]]</f>
        <v>3510455</v>
      </c>
      <c r="G6" s="18" t="str">
        <f>(VLOOKUP(D:D,'Week 1 Dec 30 - Jan 5 2020'!D:G,4,FALSE))</f>
        <v>Nintendo</v>
      </c>
      <c r="H6" s="67">
        <f>(VLOOKUP(D:D,'Week 1 Dec 30 - Jan 5 2020'!D:H,5,FALSE))</f>
        <v>43441</v>
      </c>
      <c r="I6" s="12">
        <f>_xlfn.IFNA(VLOOKUP('Week 2 Jan 6 - Jan 12 2020'!D:D,'Week 1 Dec 30 - Jan 5 2020'!D:E, 2, FALSE),"New")</f>
        <v>43274</v>
      </c>
      <c r="J6" s="19">
        <f t="shared" si="0"/>
        <v>-0.67349909876600267</v>
      </c>
    </row>
    <row r="7" spans="1:10" x14ac:dyDescent="0.2">
      <c r="A7" s="27">
        <v>6</v>
      </c>
      <c r="B7" s="27">
        <v>3</v>
      </c>
      <c r="C7" s="18" t="s">
        <v>7</v>
      </c>
      <c r="D7" s="18" t="s">
        <v>49</v>
      </c>
      <c r="E7" s="16">
        <v>14100</v>
      </c>
      <c r="F7" s="70">
        <f>SUMIFS('Week 1 Dec 30 - Jan 5 2020'!F:F,'Week 1 Dec 30 - Jan 5 2020'!D:D,'Week 2 Jan 6 - Jan 12 2020'!D:D,'Week 1 Dec 30 - Jan 5 2020'!C:C,'Week 2 Jan 6 - Jan 12 2020'!C:C)+Table367[[#This Row],[Week Sales]]</f>
        <v>2725304</v>
      </c>
      <c r="G7" s="18" t="str">
        <f>(VLOOKUP(D:D,'Week 1 Dec 30 - Jan 5 2020'!D:G,4,FALSE))</f>
        <v>Nintendo</v>
      </c>
      <c r="H7" s="67">
        <f>(VLOOKUP(D:D,'Week 1 Dec 30 - Jan 5 2020'!D:H,5,FALSE))</f>
        <v>42853</v>
      </c>
      <c r="I7" s="12">
        <f>_xlfn.IFNA(VLOOKUP('Week 2 Jan 6 - Jan 12 2020'!D:D,'Week 1 Dec 30 - Jan 5 2020'!D:E, 2, FALSE),"New")</f>
        <v>52195</v>
      </c>
      <c r="J7" s="28">
        <f>(E7-I7)/I7</f>
        <v>-0.72985918191397647</v>
      </c>
    </row>
    <row r="8" spans="1:10" x14ac:dyDescent="0.2">
      <c r="A8" s="27">
        <v>7</v>
      </c>
      <c r="B8" s="27">
        <v>2</v>
      </c>
      <c r="C8" s="18" t="s">
        <v>7</v>
      </c>
      <c r="D8" s="18" t="s">
        <v>79</v>
      </c>
      <c r="E8" s="16">
        <v>11639</v>
      </c>
      <c r="F8" s="70">
        <f>SUMIFS('Week 1 Dec 30 - Jan 5 2020'!F:F,'Week 1 Dec 30 - Jan 5 2020'!D:D,'Week 2 Jan 6 - Jan 12 2020'!D:D,'Week 1 Dec 30 - Jan 5 2020'!C:C,'Week 2 Jan 6 - Jan 12 2020'!C:C)+Table367[[#This Row],[Week Sales]]</f>
        <v>570071</v>
      </c>
      <c r="G8" s="18" t="str">
        <f>(VLOOKUP(D:D,'Week 1 Dec 30 - Jan 5 2020'!D:G,4,FALSE))</f>
        <v>Nintendo</v>
      </c>
      <c r="H8" s="67">
        <f>(VLOOKUP(D:D,'Week 1 Dec 30 - Jan 5 2020'!D:H,5,FALSE))</f>
        <v>43769</v>
      </c>
      <c r="I8" s="12">
        <f>_xlfn.IFNA(VLOOKUP('Week 2 Jan 6 - Jan 12 2020'!D:D,'Week 1 Dec 30 - Jan 5 2020'!D:E, 2, FALSE),"New")</f>
        <v>52434</v>
      </c>
      <c r="J8" s="28">
        <f>(E8-I8)/I8</f>
        <v>-0.77802570850974562</v>
      </c>
    </row>
    <row r="9" spans="1:10" x14ac:dyDescent="0.2">
      <c r="A9" s="27">
        <v>8</v>
      </c>
      <c r="B9" s="18">
        <v>8</v>
      </c>
      <c r="C9" s="18" t="s">
        <v>7</v>
      </c>
      <c r="D9" s="18" t="s">
        <v>13</v>
      </c>
      <c r="E9" s="12">
        <v>9560</v>
      </c>
      <c r="F9" s="70">
        <f>SUMIFS('Week 1 Dec 30 - Jan 5 2020'!F:F,'Week 1 Dec 30 - Jan 5 2020'!D:D,'Week 2 Jan 6 - Jan 12 2020'!D:D,'Week 1 Dec 30 - Jan 5 2020'!C:C,'Week 2 Jan 6 - Jan 12 2020'!C:C)+Table367[[#This Row],[Week Sales]]</f>
        <v>1311173</v>
      </c>
      <c r="G9" s="18" t="str">
        <f>(VLOOKUP(D:D,'Week 1 Dec 30 - Jan 5 2020'!D:G,4,FALSE))</f>
        <v>Nintendo</v>
      </c>
      <c r="H9" s="67">
        <f>(VLOOKUP(D:D,'Week 1 Dec 30 - Jan 5 2020'!D:H,5,FALSE))</f>
        <v>43378</v>
      </c>
      <c r="I9" s="12">
        <f>_xlfn.IFNA(VLOOKUP('Week 2 Jan 6 - Jan 12 2020'!D:D,'Week 1 Dec 30 - Jan 5 2020'!D:E, 2, FALSE),"New")</f>
        <v>37903</v>
      </c>
      <c r="J9" s="28">
        <f>(E9-I9)/I9</f>
        <v>-0.74777722080046438</v>
      </c>
    </row>
    <row r="10" spans="1:10" x14ac:dyDescent="0.2">
      <c r="A10" s="27">
        <v>9</v>
      </c>
      <c r="B10" s="27">
        <v>5</v>
      </c>
      <c r="C10" s="18" t="s">
        <v>7</v>
      </c>
      <c r="D10" s="18" t="s">
        <v>80</v>
      </c>
      <c r="E10" s="12">
        <v>8774</v>
      </c>
      <c r="F10" s="70">
        <f>SUMIFS('Week 1 Dec 30 - Jan 5 2020'!F:F,'Week 1 Dec 30 - Jan 5 2020'!D:D,'Week 2 Jan 6 - Jan 12 2020'!D:D,'Week 1 Dec 30 - Jan 5 2020'!C:C,'Week 2 Jan 6 - Jan 12 2020'!C:C)+Table367[[#This Row],[Week Sales]]</f>
        <v>248507</v>
      </c>
      <c r="G10" s="18" t="str">
        <f>(VLOOKUP(D:D,'Week 1 Dec 30 - Jan 5 2020'!D:G,4,FALSE))</f>
        <v>Sega</v>
      </c>
      <c r="H10" s="67">
        <f>(VLOOKUP(D:D,'Week 1 Dec 30 - Jan 5 2020'!D:H,5,FALSE))</f>
        <v>43770</v>
      </c>
      <c r="I10" s="12">
        <f>_xlfn.IFNA(VLOOKUP('Week 2 Jan 6 - Jan 12 2020'!D:D,'Week 1 Dec 30 - Jan 5 2020'!D:E, 2, FALSE),"New")</f>
        <v>44605</v>
      </c>
      <c r="J10" s="28">
        <f t="shared" ref="J10:J22" si="1">(E10-I10)/I10</f>
        <v>-0.80329559466427536</v>
      </c>
    </row>
    <row r="11" spans="1:10" x14ac:dyDescent="0.2">
      <c r="A11" s="27">
        <v>10</v>
      </c>
      <c r="B11" s="27">
        <v>11</v>
      </c>
      <c r="C11" s="18" t="s">
        <v>7</v>
      </c>
      <c r="D11" s="18" t="s">
        <v>10</v>
      </c>
      <c r="E11" s="16">
        <v>8055</v>
      </c>
      <c r="F11" s="70">
        <f>SUMIFS('Week 1 Dec 30 - Jan 5 2020'!F:F,'Week 1 Dec 30 - Jan 5 2020'!D:D,'Week 2 Jan 6 - Jan 12 2020'!D:D,'Week 1 Dec 30 - Jan 5 2020'!C:C,'Week 2 Jan 6 - Jan 12 2020'!C:C)+Table367[[#This Row],[Week Sales]]</f>
        <v>3288270</v>
      </c>
      <c r="G11" s="18" t="str">
        <f>(VLOOKUP(D:D,'Week 1 Dec 30 - Jan 5 2020'!D:G,4,FALSE))</f>
        <v>Nintendo</v>
      </c>
      <c r="H11" s="67">
        <f>(VLOOKUP(D:D,'Week 1 Dec 30 - Jan 5 2020'!D:H,5,FALSE))</f>
        <v>42937</v>
      </c>
      <c r="I11" s="12">
        <f>_xlfn.IFNA(VLOOKUP('Week 2 Jan 6 - Jan 12 2020'!D:D,'Week 1 Dec 30 - Jan 5 2020'!D:E, 2, FALSE),"New")</f>
        <v>27455</v>
      </c>
      <c r="J11" s="28">
        <f t="shared" si="1"/>
        <v>-0.70661081770169365</v>
      </c>
    </row>
    <row r="12" spans="1:10" x14ac:dyDescent="0.2">
      <c r="A12" s="27">
        <v>11</v>
      </c>
      <c r="B12" s="27">
        <v>12</v>
      </c>
      <c r="C12" s="18" t="s">
        <v>7</v>
      </c>
      <c r="D12" s="18" t="s">
        <v>19</v>
      </c>
      <c r="E12" s="16">
        <v>6336</v>
      </c>
      <c r="F12" s="70">
        <f>SUMIFS('Week 1 Dec 30 - Jan 5 2020'!F:F,'Week 1 Dec 30 - Jan 5 2020'!D:D,'Week 2 Jan 6 - Jan 12 2020'!D:D,'Week 1 Dec 30 - Jan 5 2020'!C:C,'Week 2 Jan 6 - Jan 12 2020'!C:C)+Table367[[#This Row],[Week Sales]]</f>
        <v>834218</v>
      </c>
      <c r="G12" s="18" t="str">
        <f>(VLOOKUP(D:D,'Week 1 Dec 30 - Jan 5 2020'!D:G,4,FALSE))</f>
        <v>Nintendo</v>
      </c>
      <c r="H12" s="67">
        <f>(VLOOKUP(D:D,'Week 1 Dec 30 - Jan 5 2020'!D:H,5,FALSE))</f>
        <v>43644</v>
      </c>
      <c r="I12" s="12">
        <f>_xlfn.IFNA(VLOOKUP('Week 2 Jan 6 - Jan 12 2020'!D:D,'Week 1 Dec 30 - Jan 5 2020'!D:E, 2, FALSE),"New")</f>
        <v>27378</v>
      </c>
      <c r="J12" s="28">
        <f t="shared" si="1"/>
        <v>-0.7685733070348455</v>
      </c>
    </row>
    <row r="13" spans="1:10" x14ac:dyDescent="0.2">
      <c r="A13" s="27">
        <v>12</v>
      </c>
      <c r="B13" s="27">
        <v>9</v>
      </c>
      <c r="C13" s="18" t="s">
        <v>7</v>
      </c>
      <c r="D13" s="18" t="s">
        <v>20</v>
      </c>
      <c r="E13" s="16">
        <v>5233</v>
      </c>
      <c r="F13" s="70">
        <f>SUMIFS('Week 1 Dec 30 - Jan 5 2020'!F:F,'Week 1 Dec 30 - Jan 5 2020'!D:D,'Week 2 Jan 6 - Jan 12 2020'!D:D,'Week 1 Dec 30 - Jan 5 2020'!C:C,'Week 2 Jan 6 - Jan 12 2020'!C:C)+Table367[[#This Row],[Week Sales]]</f>
        <v>372933</v>
      </c>
      <c r="G13" s="18" t="str">
        <f>(VLOOKUP(D:D,'Week 1 Dec 30 - Jan 5 2020'!D:G,4,FALSE))</f>
        <v>Bandai Namco</v>
      </c>
      <c r="H13" s="67">
        <f>(VLOOKUP(D:D,'Week 1 Dec 30 - Jan 5 2020'!D:H,5,FALSE))</f>
        <v>43671</v>
      </c>
      <c r="I13" s="12">
        <f>_xlfn.IFNA(VLOOKUP('Week 2 Jan 6 - Jan 12 2020'!D:D,'Week 1 Dec 30 - Jan 5 2020'!D:E, 2, FALSE),"New")</f>
        <v>30705</v>
      </c>
      <c r="J13" s="28">
        <f t="shared" si="1"/>
        <v>-0.82957173098843839</v>
      </c>
    </row>
    <row r="14" spans="1:10" x14ac:dyDescent="0.2">
      <c r="A14" s="27">
        <v>13</v>
      </c>
      <c r="B14" s="27">
        <v>15</v>
      </c>
      <c r="C14" s="18" t="s">
        <v>7</v>
      </c>
      <c r="D14" s="4" t="s">
        <v>39</v>
      </c>
      <c r="E14" s="16">
        <v>5103</v>
      </c>
      <c r="F14" s="70">
        <f>SUMIFS('Week 1 Dec 30 - Jan 5 2020'!F:F,'Week 1 Dec 30 - Jan 5 2020'!D:D,'Week 2 Jan 6 - Jan 12 2020'!D:D,'Week 1 Dec 30 - Jan 5 2020'!C:C,'Week 2 Jan 6 - Jan 12 2020'!C:C)+Table367[[#This Row],[Week Sales]]</f>
        <v>1498038</v>
      </c>
      <c r="G14" s="18" t="str">
        <f>(VLOOKUP(D:D,'Week 1 Dec 30 - Jan 5 2020'!D:G,4,FALSE))</f>
        <v>Nintendo</v>
      </c>
      <c r="H14" s="67">
        <f>(VLOOKUP(D:D,'Week 1 Dec 30 - Jan 5 2020'!D:H,5,FALSE))</f>
        <v>42797</v>
      </c>
      <c r="I14" s="12">
        <f>_xlfn.IFNA(VLOOKUP('Week 2 Jan 6 - Jan 12 2020'!D:D,'Week 1 Dec 30 - Jan 5 2020'!D:E, 2, FALSE),"New")</f>
        <v>11586</v>
      </c>
      <c r="J14" s="28">
        <f t="shared" si="1"/>
        <v>-0.55955463490419477</v>
      </c>
    </row>
    <row r="15" spans="1:10" x14ac:dyDescent="0.2">
      <c r="A15" s="27">
        <v>14</v>
      </c>
      <c r="B15" s="27">
        <v>14</v>
      </c>
      <c r="C15" s="18" t="s">
        <v>7</v>
      </c>
      <c r="D15" s="18" t="s">
        <v>17</v>
      </c>
      <c r="E15" s="16">
        <v>3440</v>
      </c>
      <c r="F15" s="70">
        <f>SUMIFS('Week 1 Dec 30 - Jan 5 2020'!F:F,'Week 1 Dec 30 - Jan 5 2020'!D:D,'Week 2 Jan 6 - Jan 12 2020'!D:D,'Week 1 Dec 30 - Jan 5 2020'!C:C,'Week 2 Jan 6 - Jan 12 2020'!C:C)+Table367[[#This Row],[Week Sales]]</f>
        <v>765470</v>
      </c>
      <c r="G15" s="18" t="str">
        <f>(VLOOKUP(D:D,'Week 1 Dec 30 - Jan 5 2020'!D:G,4,FALSE))</f>
        <v>Nintendo</v>
      </c>
      <c r="H15" s="67">
        <f>(VLOOKUP(D:D,'Week 1 Dec 30 - Jan 5 2020'!D:H,5,FALSE))</f>
        <v>43476</v>
      </c>
      <c r="I15" s="12">
        <f>_xlfn.IFNA(VLOOKUP('Week 2 Jan 6 - Jan 12 2020'!D:D,'Week 1 Dec 30 - Jan 5 2020'!D:E, 2, FALSE),"New")</f>
        <v>14441</v>
      </c>
      <c r="J15" s="28">
        <f t="shared" si="1"/>
        <v>-0.7617893497680216</v>
      </c>
    </row>
    <row r="16" spans="1:10" x14ac:dyDescent="0.2">
      <c r="A16" s="13">
        <v>15</v>
      </c>
      <c r="B16" s="13" t="s">
        <v>36</v>
      </c>
      <c r="C16" s="9" t="s">
        <v>7</v>
      </c>
      <c r="D16" s="9" t="s">
        <v>116</v>
      </c>
      <c r="E16" s="10">
        <v>3439</v>
      </c>
      <c r="F16" s="10">
        <f>SUMIFS('Week 1 Dec 30 - Jan 5 2020'!F:F,'Week 1 Dec 30 - Jan 5 2020'!D:D,'Week 2 Jan 6 - Jan 12 2020'!D:D,'Week 1 Dec 30 - Jan 5 2020'!C:C,'Week 2 Jan 6 - Jan 12 2020'!C:C)+Table367[[#This Row],[Week Sales]]</f>
        <v>3439</v>
      </c>
      <c r="G16" s="9" t="s">
        <v>34</v>
      </c>
      <c r="H16" s="14">
        <v>43840</v>
      </c>
      <c r="I16" s="10" t="str">
        <f>_xlfn.IFNA(VLOOKUP('Week 2 Jan 6 - Jan 12 2020'!D:D,'Week 1 Dec 30 - Jan 5 2020'!D:E, 2, FALSE),"New")</f>
        <v>New</v>
      </c>
      <c r="J16" s="92" t="s">
        <v>36</v>
      </c>
    </row>
    <row r="17" spans="1:10" x14ac:dyDescent="0.2">
      <c r="A17" s="27">
        <v>16</v>
      </c>
      <c r="B17" s="27">
        <v>19</v>
      </c>
      <c r="C17" s="18" t="s">
        <v>7</v>
      </c>
      <c r="D17" s="18" t="s">
        <v>83</v>
      </c>
      <c r="E17" s="16">
        <v>3183</v>
      </c>
      <c r="F17" s="70">
        <f>SUMIFS('Week 1 Dec 30 - Jan 5 2020'!F:F,'Week 1 Dec 30 - Jan 5 2020'!D:D,'Week 2 Jan 6 - Jan 12 2020'!D:D,'Week 1 Dec 30 - Jan 5 2020'!C:C,'Week 2 Jan 6 - Jan 12 2020'!C:C)+Table367[[#This Row],[Week Sales]]</f>
        <v>474855</v>
      </c>
      <c r="G17" s="18" t="str">
        <f>(VLOOKUP(D:D,'Week 1 Dec 30 - Jan 5 2020'!D:G,4,FALSE))</f>
        <v>Square Enix</v>
      </c>
      <c r="H17" s="67">
        <f>(VLOOKUP(D:D,'Week 1 Dec 30 - Jan 5 2020'!D:H,5,FALSE))</f>
        <v>43735</v>
      </c>
      <c r="I17" s="12">
        <f>_xlfn.IFNA(VLOOKUP('Week 2 Jan 6 - Jan 12 2020'!D:D,'Week 1 Dec 30 - Jan 5 2020'!D:E, 2, FALSE),"New")</f>
        <v>7973</v>
      </c>
      <c r="J17" s="28">
        <f t="shared" si="1"/>
        <v>-0.60077762448262884</v>
      </c>
    </row>
    <row r="18" spans="1:10" x14ac:dyDescent="0.2">
      <c r="A18" s="27">
        <v>17</v>
      </c>
      <c r="B18" s="27">
        <v>13</v>
      </c>
      <c r="C18" s="18" t="s">
        <v>7</v>
      </c>
      <c r="D18" s="18" t="s">
        <v>81</v>
      </c>
      <c r="E18" s="16">
        <v>3177</v>
      </c>
      <c r="F18" s="70">
        <f>SUMIFS('Week 1 Dec 30 - Jan 5 2020'!F:F,'Week 1 Dec 30 - Jan 5 2020'!D:D,'Week 2 Jan 6 - Jan 12 2020'!D:D,'Week 1 Dec 30 - Jan 5 2020'!C:C,'Week 2 Jan 6 - Jan 12 2020'!C:C)+Table367[[#This Row],[Week Sales]]</f>
        <v>145659</v>
      </c>
      <c r="G18" s="18" t="str">
        <f>(VLOOKUP(D:D,'Week 1 Dec 30 - Jan 5 2020'!D:G,4,FALSE))</f>
        <v>Bandai Namco</v>
      </c>
      <c r="H18" s="67">
        <f>(VLOOKUP(D:D,'Week 1 Dec 30 - Jan 5 2020'!D:H,5,FALSE))</f>
        <v>43748</v>
      </c>
      <c r="I18" s="12">
        <f>_xlfn.IFNA(VLOOKUP('Week 2 Jan 6 - Jan 12 2020'!D:D,'Week 1 Dec 30 - Jan 5 2020'!D:E, 2, FALSE),"New")</f>
        <v>16984</v>
      </c>
      <c r="J18" s="28">
        <f t="shared" si="1"/>
        <v>-0.81294159208666983</v>
      </c>
    </row>
    <row r="19" spans="1:10" x14ac:dyDescent="0.2">
      <c r="A19" s="27">
        <v>18</v>
      </c>
      <c r="B19" s="27">
        <v>17</v>
      </c>
      <c r="C19" s="18" t="s">
        <v>7</v>
      </c>
      <c r="D19" s="18" t="s">
        <v>26</v>
      </c>
      <c r="E19" s="16">
        <v>3020</v>
      </c>
      <c r="F19" s="70">
        <f>SUMIFS('Week 1 Dec 30 - Jan 5 2020'!F:F,'Week 1 Dec 30 - Jan 5 2020'!D:D,'Week 2 Jan 6 - Jan 12 2020'!D:D,'Week 1 Dec 30 - Jan 5 2020'!C:C,'Week 2 Jan 6 - Jan 12 2020'!C:C)+Table367[[#This Row],[Week Sales]]</f>
        <v>2060611</v>
      </c>
      <c r="G19" s="18" t="str">
        <f>(VLOOKUP(D:D,'Week 1 Dec 30 - Jan 5 2020'!D:G,4,FALSE))</f>
        <v>Nintendo</v>
      </c>
      <c r="H19" s="67">
        <f>(VLOOKUP(D:D,'Week 1 Dec 30 - Jan 5 2020'!D:H,5,FALSE))</f>
        <v>43035</v>
      </c>
      <c r="I19" s="12">
        <f>_xlfn.IFNA(VLOOKUP('Week 2 Jan 6 - Jan 12 2020'!D:D,'Week 1 Dec 30 - Jan 5 2020'!D:E, 2, FALSE),"New")</f>
        <v>10045</v>
      </c>
      <c r="J19" s="28">
        <f t="shared" si="1"/>
        <v>-0.69935291189646587</v>
      </c>
    </row>
    <row r="20" spans="1:10" x14ac:dyDescent="0.2">
      <c r="A20" s="27">
        <v>19</v>
      </c>
      <c r="B20" s="27">
        <v>16</v>
      </c>
      <c r="C20" s="18" t="s">
        <v>7</v>
      </c>
      <c r="D20" s="4" t="s">
        <v>25</v>
      </c>
      <c r="E20" s="16">
        <v>2889</v>
      </c>
      <c r="F20" s="70">
        <f>SUMIFS('Week 1 Dec 30 - Jan 5 2020'!F:F,'Week 1 Dec 30 - Jan 5 2020'!D:D,'Week 2 Jan 6 - Jan 12 2020'!D:D,'Week 1 Dec 30 - Jan 5 2020'!C:C,'Week 2 Jan 6 - Jan 12 2020'!C:C)+Table367[[#This Row],[Week Sales]]</f>
        <v>434679</v>
      </c>
      <c r="G20" s="18" t="str">
        <f>(VLOOKUP(D:D,'Week 1 Dec 30 - Jan 5 2020'!D:G,4,FALSE))</f>
        <v>Bandai Namco</v>
      </c>
      <c r="H20" s="67">
        <f>(VLOOKUP(D:D,'Week 1 Dec 30 - Jan 5 2020'!D:H,5,FALSE))</f>
        <v>43300</v>
      </c>
      <c r="I20" s="12">
        <f>_xlfn.IFNA(VLOOKUP('Week 2 Jan 6 - Jan 12 2020'!D:D,'Week 1 Dec 30 - Jan 5 2020'!D:E, 2, FALSE),"New")</f>
        <v>11208</v>
      </c>
      <c r="J20" s="28">
        <f t="shared" si="1"/>
        <v>-0.74223768736616702</v>
      </c>
    </row>
    <row r="21" spans="1:10" x14ac:dyDescent="0.2">
      <c r="A21" s="29">
        <v>20</v>
      </c>
      <c r="B21" s="29" t="s">
        <v>53</v>
      </c>
      <c r="C21" s="31" t="s">
        <v>8</v>
      </c>
      <c r="D21" s="31" t="s">
        <v>117</v>
      </c>
      <c r="E21" s="37">
        <v>2856</v>
      </c>
      <c r="F21" s="33">
        <v>53352</v>
      </c>
      <c r="G21" s="31" t="s">
        <v>118</v>
      </c>
      <c r="H21" s="93">
        <v>43797</v>
      </c>
      <c r="I21" s="33"/>
      <c r="J21" s="97"/>
    </row>
    <row r="22" spans="1:10" x14ac:dyDescent="0.2">
      <c r="A22" s="27">
        <v>21</v>
      </c>
      <c r="B22" s="27">
        <v>24</v>
      </c>
      <c r="C22" s="18" t="s">
        <v>8</v>
      </c>
      <c r="D22" s="18" t="s">
        <v>88</v>
      </c>
      <c r="E22" s="16">
        <v>2622</v>
      </c>
      <c r="F22" s="70">
        <f>SUMIFS('Week 1 Dec 30 - Jan 5 2020'!F:F,'Week 1 Dec 30 - Jan 5 2020'!D:D,'Week 2 Jan 6 - Jan 12 2020'!D:D,'Week 1 Dec 30 - Jan 5 2020'!C:C,'Week 2 Jan 6 - Jan 12 2020'!C:C)+Table367[[#This Row],[Week Sales]]</f>
        <v>217749</v>
      </c>
      <c r="G22" s="18" t="str">
        <f>(VLOOKUP(D:D,'Week 1 Dec 30 - Jan 5 2020'!D:G,4,FALSE))</f>
        <v>Sony</v>
      </c>
      <c r="H22" s="67">
        <f>(VLOOKUP(D:D,'Week 1 Dec 30 - Jan 5 2020'!D:H,5,FALSE))</f>
        <v>43763</v>
      </c>
      <c r="I22" s="12">
        <f>_xlfn.IFNA(VLOOKUP('Week 2 Jan 6 - Jan 12 2020'!D:D,'Week 1 Dec 30 - Jan 5 2020'!D:E, 2, FALSE),"New")</f>
        <v>6046</v>
      </c>
      <c r="J22" s="28">
        <f t="shared" si="1"/>
        <v>-0.5663248428713199</v>
      </c>
    </row>
    <row r="23" spans="1:10" x14ac:dyDescent="0.2">
      <c r="A23" s="27">
        <v>22</v>
      </c>
      <c r="B23" s="18">
        <v>18</v>
      </c>
      <c r="C23" s="18" t="s">
        <v>7</v>
      </c>
      <c r="D23" s="18" t="s">
        <v>82</v>
      </c>
      <c r="E23" s="12">
        <v>2550</v>
      </c>
      <c r="F23" s="70">
        <f>SUMIFS('Week 1 Dec 30 - Jan 5 2020'!F:F,'Week 1 Dec 30 - Jan 5 2020'!D:D,'Week 2 Jan 6 - Jan 12 2020'!D:D,'Week 1 Dec 30 - Jan 5 2020'!C:C,'Week 2 Jan 6 - Jan 12 2020'!C:C)+Table367[[#This Row],[Week Sales]]</f>
        <v>58932</v>
      </c>
      <c r="G23" s="18" t="str">
        <f>(VLOOKUP(D:D,'Week 1 Dec 30 - Jan 5 2020'!D:G,4,FALSE))</f>
        <v>Level-5</v>
      </c>
      <c r="H23" s="67">
        <f>(VLOOKUP(D:D,'Week 1 Dec 30 - Jan 5 2020'!D:H,5,FALSE))</f>
        <v>43804</v>
      </c>
      <c r="I23" s="12">
        <f>_xlfn.IFNA(VLOOKUP('Week 2 Jan 6 - Jan 12 2020'!D:D,'Week 1 Dec 30 - Jan 5 2020'!D:E, 2, FALSE),"New")</f>
        <v>9486</v>
      </c>
      <c r="J23" s="28"/>
    </row>
    <row r="24" spans="1:10" x14ac:dyDescent="0.2">
      <c r="A24" s="27">
        <v>23</v>
      </c>
      <c r="B24" s="27">
        <v>25</v>
      </c>
      <c r="C24" s="18" t="s">
        <v>7</v>
      </c>
      <c r="D24" s="18" t="s">
        <v>89</v>
      </c>
      <c r="E24" s="16">
        <v>2490</v>
      </c>
      <c r="F24" s="70">
        <f>SUMIFS('Week 1 Dec 30 - Jan 5 2020'!F:F,'Week 1 Dec 30 - Jan 5 2020'!D:D,'Week 2 Jan 6 - Jan 12 2020'!D:D,'Week 1 Dec 30 - Jan 5 2020'!C:C,'Week 2 Jan 6 - Jan 12 2020'!C:C)+Table367[[#This Row],[Week Sales]]</f>
        <v>126522</v>
      </c>
      <c r="G24" s="18" t="str">
        <f>(VLOOKUP(D:D,'Week 1 Dec 30 - Jan 5 2020'!D:G,4,FALSE))</f>
        <v>Marvelous</v>
      </c>
      <c r="H24" s="67">
        <f>(VLOOKUP(D:D,'Week 1 Dec 30 - Jan 5 2020'!D:H,5,FALSE))</f>
        <v>43755</v>
      </c>
      <c r="I24" s="12">
        <f>_xlfn.IFNA(VLOOKUP('Week 2 Jan 6 - Jan 12 2020'!D:D,'Week 1 Dec 30 - Jan 5 2020'!D:E, 2, FALSE),"New")</f>
        <v>5950</v>
      </c>
      <c r="J24" s="28">
        <f>(E24-I24)/I24</f>
        <v>-0.58151260504201685</v>
      </c>
    </row>
    <row r="25" spans="1:10" x14ac:dyDescent="0.2">
      <c r="A25" s="29">
        <v>24</v>
      </c>
      <c r="B25" s="29" t="s">
        <v>53</v>
      </c>
      <c r="C25" s="31" t="s">
        <v>8</v>
      </c>
      <c r="D25" s="31" t="s">
        <v>119</v>
      </c>
      <c r="E25" s="37">
        <v>2439</v>
      </c>
      <c r="F25" s="33">
        <v>33283</v>
      </c>
      <c r="G25" s="32" t="s">
        <v>166</v>
      </c>
      <c r="H25" s="93">
        <v>43818</v>
      </c>
      <c r="I25" s="33"/>
      <c r="J25" s="97"/>
    </row>
    <row r="26" spans="1:10" x14ac:dyDescent="0.2">
      <c r="A26" s="27">
        <v>25</v>
      </c>
      <c r="B26" s="27">
        <v>21</v>
      </c>
      <c r="C26" s="18" t="s">
        <v>7</v>
      </c>
      <c r="D26" t="s">
        <v>85</v>
      </c>
      <c r="E26" s="16">
        <v>2325</v>
      </c>
      <c r="F26" s="70">
        <f>SUMIFS('Week 1 Dec 30 - Jan 5 2020'!F:F,'Week 1 Dec 30 - Jan 5 2020'!D:D,'Week 2 Jan 6 - Jan 12 2020'!D:D,'Week 1 Dec 30 - Jan 5 2020'!C:C,'Week 2 Jan 6 - Jan 12 2020'!C:C)+Table367[[#This Row],[Week Sales]]</f>
        <v>220028</v>
      </c>
      <c r="G26" s="18" t="str">
        <f>(VLOOKUP(D:D,'Week 1 Dec 30 - Jan 5 2020'!D:G,4,FALSE))</f>
        <v>Konami</v>
      </c>
      <c r="H26" s="67">
        <f>(VLOOKUP(D:D,'Week 1 Dec 30 - Jan 5 2020'!D:H,5,FALSE))</f>
        <v>43643</v>
      </c>
      <c r="I26" s="12">
        <f>_xlfn.IFNA(VLOOKUP('Week 2 Jan 6 - Jan 12 2020'!D:D,'Week 1 Dec 30 - Jan 5 2020'!D:E, 2, FALSE),"New")</f>
        <v>7444</v>
      </c>
      <c r="J26" s="28">
        <f t="shared" ref="J26" si="2">(E26-I26)/I26</f>
        <v>-0.68766792047286407</v>
      </c>
    </row>
    <row r="27" spans="1:10" x14ac:dyDescent="0.2">
      <c r="A27" s="27">
        <v>26</v>
      </c>
      <c r="B27" s="27">
        <v>29</v>
      </c>
      <c r="C27" s="18" t="s">
        <v>7</v>
      </c>
      <c r="D27" s="18" t="s">
        <v>93</v>
      </c>
      <c r="E27" s="16">
        <v>2192</v>
      </c>
      <c r="F27" s="70">
        <f>SUMIFS('Week 1 Dec 30 - Jan 5 2020'!F:F,'Week 1 Dec 30 - Jan 5 2020'!D:D,'Week 2 Jan 6 - Jan 12 2020'!D:D,'Week 1 Dec 30 - Jan 5 2020'!C:C,'Week 2 Jan 6 - Jan 12 2020'!C:C)+Table367[[#This Row],[Week Sales]]</f>
        <v>1692923</v>
      </c>
      <c r="G27" s="18" t="str">
        <f>(VLOOKUP(D:D,'Week 1 Dec 30 - Jan 5 2020'!D:G,4,FALSE))</f>
        <v>The Pokemon Company</v>
      </c>
      <c r="H27" s="67">
        <f>(VLOOKUP(D:D,'Week 1 Dec 30 - Jan 5 2020'!D:H,5,FALSE))</f>
        <v>43420</v>
      </c>
      <c r="I27" s="12">
        <f>_xlfn.IFNA(VLOOKUP('Week 2 Jan 6 - Jan 12 2020'!D:D,'Week 1 Dec 30 - Jan 5 2020'!D:E, 2, FALSE),"New")</f>
        <v>5425</v>
      </c>
      <c r="J27" s="28">
        <f>(E27-I27)/I27</f>
        <v>-0.59594470046082948</v>
      </c>
    </row>
    <row r="28" spans="1:10" x14ac:dyDescent="0.2">
      <c r="A28" s="29">
        <v>27</v>
      </c>
      <c r="B28" s="29" t="s">
        <v>53</v>
      </c>
      <c r="C28" s="31" t="s">
        <v>8</v>
      </c>
      <c r="D28" s="31" t="s">
        <v>99</v>
      </c>
      <c r="E28" s="37">
        <v>2170</v>
      </c>
      <c r="F28" s="33">
        <v>424698</v>
      </c>
      <c r="G28" s="31" t="s">
        <v>121</v>
      </c>
      <c r="H28" s="93">
        <v>43714</v>
      </c>
      <c r="I28" s="33"/>
      <c r="J28" s="97"/>
    </row>
    <row r="29" spans="1:10" x14ac:dyDescent="0.2">
      <c r="A29" s="29">
        <v>28</v>
      </c>
      <c r="B29" s="29" t="s">
        <v>53</v>
      </c>
      <c r="C29" s="31" t="s">
        <v>7</v>
      </c>
      <c r="D29" s="31" t="s">
        <v>120</v>
      </c>
      <c r="E29" s="37">
        <v>2009</v>
      </c>
      <c r="F29" s="33">
        <v>258314</v>
      </c>
      <c r="G29" s="31" t="s">
        <v>9</v>
      </c>
      <c r="H29" s="93">
        <v>43728</v>
      </c>
      <c r="I29" s="33"/>
      <c r="J29" s="97"/>
    </row>
    <row r="30" spans="1:10" x14ac:dyDescent="0.2">
      <c r="A30" s="27">
        <v>29</v>
      </c>
      <c r="B30" s="27">
        <v>23</v>
      </c>
      <c r="C30" s="18" t="s">
        <v>7</v>
      </c>
      <c r="D30" s="18" t="s">
        <v>87</v>
      </c>
      <c r="E30" s="16">
        <v>1939</v>
      </c>
      <c r="F30" s="70">
        <f>SUMIFS('Week 1 Dec 30 - Jan 5 2020'!F:F,'Week 1 Dec 30 - Jan 5 2020'!D:D,'Week 2 Jan 6 - Jan 12 2020'!D:D,'Week 1 Dec 30 - Jan 5 2020'!C:C,'Week 2 Jan 6 - Jan 12 2020'!C:C)+Table367[[#This Row],[Week Sales]]</f>
        <v>52081</v>
      </c>
      <c r="G30" s="18" t="str">
        <f>(VLOOKUP(D:D,'Week 1 Dec 30 - Jan 5 2020'!D:G,4,FALSE))</f>
        <v>Electronic Arts</v>
      </c>
      <c r="H30" s="67">
        <f>(VLOOKUP(D:D,'Week 1 Dec 30 - Jan 5 2020'!D:H,5,FALSE))</f>
        <v>43735</v>
      </c>
      <c r="I30" s="12">
        <f>_xlfn.IFNA(VLOOKUP('Week 2 Jan 6 - Jan 12 2020'!D:D,'Week 1 Dec 30 - Jan 5 2020'!D:E, 2, FALSE),"New")</f>
        <v>6186</v>
      </c>
      <c r="J30" s="28">
        <f>(E30-I30)/I30</f>
        <v>-0.68655027481409636</v>
      </c>
    </row>
    <row r="31" spans="1:10" x14ac:dyDescent="0.2">
      <c r="A31" s="29">
        <v>30</v>
      </c>
      <c r="B31" s="29" t="s">
        <v>53</v>
      </c>
      <c r="C31" s="31" t="s">
        <v>8</v>
      </c>
      <c r="D31" s="31" t="s">
        <v>12</v>
      </c>
      <c r="E31" s="37">
        <v>1911</v>
      </c>
      <c r="F31" s="33">
        <v>426235</v>
      </c>
      <c r="G31" s="31" t="str">
        <f>(VLOOKUP(D:D,'Week 1 Dec 30 - Jan 5 2020'!D:G,4,FALSE))</f>
        <v>Microsoft</v>
      </c>
      <c r="H31" s="93">
        <f>(VLOOKUP(D:D,'Week 1 Dec 30 - Jan 5 2020'!D:H,5,FALSE))</f>
        <v>43272</v>
      </c>
      <c r="I31" s="33"/>
      <c r="J31" s="97"/>
    </row>
    <row r="32" spans="1:10" x14ac:dyDescent="0.2">
      <c r="A32" s="3"/>
      <c r="B32" s="3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252375</v>
      </c>
      <c r="I33" s="2"/>
      <c r="J33" s="19"/>
    </row>
    <row r="34" spans="1:10" x14ac:dyDescent="0.2">
      <c r="A34" s="3"/>
      <c r="B34" s="3"/>
      <c r="D34" s="100" t="s">
        <v>178</v>
      </c>
      <c r="E34" s="101">
        <f>SUM('Week 1 Dec 30 - Jan 5 2020'!E33,'Week 2 Jan 6 - Jan 12 2020'!E33)</f>
        <v>1033696</v>
      </c>
      <c r="I34" s="2"/>
      <c r="J34" s="19"/>
    </row>
    <row r="35" spans="1:10" x14ac:dyDescent="0.2">
      <c r="A35" s="3"/>
      <c r="B35" s="3"/>
      <c r="D35" s="2" t="s">
        <v>60</v>
      </c>
      <c r="E35" s="2">
        <f>AVERAGE(E2:E31)</f>
        <v>8412.5</v>
      </c>
      <c r="I35" s="2"/>
      <c r="J35" s="19"/>
    </row>
    <row r="36" spans="1:10" x14ac:dyDescent="0.2">
      <c r="A36" s="3"/>
      <c r="B36" s="3"/>
      <c r="D36" s="9" t="s">
        <v>78</v>
      </c>
      <c r="E36" s="10">
        <f>COUNTIF(B:B,"New")</f>
        <v>1</v>
      </c>
      <c r="I36" s="2"/>
      <c r="J36" s="19"/>
    </row>
    <row r="37" spans="1:10" x14ac:dyDescent="0.2">
      <c r="A37" s="3"/>
      <c r="B37" s="3"/>
      <c r="I37" s="2"/>
      <c r="J37" s="19"/>
    </row>
    <row r="38" spans="1:10" x14ac:dyDescent="0.2">
      <c r="A38" s="3"/>
      <c r="B38" s="3"/>
      <c r="D38" t="s">
        <v>66</v>
      </c>
      <c r="I38" s="2"/>
      <c r="J38" s="19"/>
    </row>
    <row r="39" spans="1:10" x14ac:dyDescent="0.2">
      <c r="A39" s="3"/>
      <c r="B39" s="3"/>
      <c r="D39" s="8" t="s">
        <v>67</v>
      </c>
      <c r="I39" s="2"/>
      <c r="J39" s="19"/>
    </row>
    <row r="40" spans="1:10" x14ac:dyDescent="0.2">
      <c r="A40" s="3"/>
      <c r="B40" s="3"/>
      <c r="D40" s="8" t="s">
        <v>65</v>
      </c>
      <c r="I40" s="2"/>
      <c r="J40" s="19"/>
    </row>
    <row r="41" spans="1:10" x14ac:dyDescent="0.2">
      <c r="D41" s="8" t="s">
        <v>71</v>
      </c>
    </row>
  </sheetData>
  <hyperlinks>
    <hyperlink ref="D40" r:id="rId1" xr:uid="{62F7936F-E98C-9142-9B62-8D335CE55397}"/>
    <hyperlink ref="D41" r:id="rId2" xr:uid="{2D97F8D4-107F-714C-9247-61F0A1F56113}"/>
    <hyperlink ref="D39" r:id="rId3" xr:uid="{09A5C5A9-B762-A140-AC38-E51C679925E6}"/>
  </hyperlinks>
  <pageMargins left="0.7" right="0.7" top="0.75" bottom="0.75" header="0.3" footer="0.3"/>
  <pageSetup paperSize="9" orientation="portrait" horizontalDpi="0" verticalDpi="0"/>
  <ignoredErrors>
    <ignoredError sqref="G16:H31" calculatedColumn="1"/>
  </ignoredErrors>
  <tableParts count="1"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28DAE-8F0D-EB40-8601-493A1636DE57}">
  <dimension ref="A1:J41"/>
  <sheetViews>
    <sheetView workbookViewId="0">
      <selection activeCell="D11" sqref="D2:E11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9.8320312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0" x14ac:dyDescent="0.2">
      <c r="A2" s="25">
        <v>1</v>
      </c>
      <c r="B2" s="18">
        <v>1</v>
      </c>
      <c r="C2" s="18" t="s">
        <v>7</v>
      </c>
      <c r="D2" s="86" t="s">
        <v>46</v>
      </c>
      <c r="E2" s="12">
        <v>129659</v>
      </c>
      <c r="F2" s="12">
        <f>SUMIFS('Week 19 May 4 - May 10 2020'!F:F,'Week 19 May 4 - May 10 2020'!D:D,'Week 20 May 11 - May 17 2020'!D:D,'Week 19 May 4 - May 10 2020'!C:C,'Week 20 May 11 - May 17 2020'!C:C)+Table3611910135557121417525961636567[[#This Row],[Week Sales]]</f>
        <v>4480117</v>
      </c>
      <c r="G2" s="18" t="str">
        <f>(VLOOKUP(D:D,'Week 19 May 4 - May 10 2020'!D:G,4,FALSE))</f>
        <v>Nintendo</v>
      </c>
      <c r="H2" s="67">
        <f>(VLOOKUP(D:D,'Week 19 May 4 - May 10 2020'!D:H,5,FALSE))</f>
        <v>43910</v>
      </c>
      <c r="I2" s="12">
        <f>_xlfn.IFNA(SUMIFS('Week 19 May 4 - May 10 2020'!E:E,'Week 19 May 4 - May 10 2020'!D:D,'Week 20 May 11 - May 17 2020'!D:D,'Week 19 May 4 - May 10 2020'!C:C,'Week 20 May 11 - May 17 2020'!C:C),"New")</f>
        <v>194942</v>
      </c>
      <c r="J2" s="28">
        <f>IFERROR((E2-I2)/I2,"New")</f>
        <v>-0.33488422197371526</v>
      </c>
    </row>
    <row r="3" spans="1:10" x14ac:dyDescent="0.2">
      <c r="A3" s="25">
        <v>2</v>
      </c>
      <c r="B3" s="18">
        <v>2</v>
      </c>
      <c r="C3" s="18" t="s">
        <v>7</v>
      </c>
      <c r="D3" s="18" t="s">
        <v>45</v>
      </c>
      <c r="E3" s="12">
        <v>21963</v>
      </c>
      <c r="F3" s="12">
        <f>SUMIFS('Week 19 May 4 - May 10 2020'!F:F,'Week 19 May 4 - May 10 2020'!D:D,'Week 20 May 11 - May 17 2020'!D:D,'Week 19 May 4 - May 10 2020'!C:C,'Week 20 May 11 - May 17 2020'!C:C)+Table3611910135557121417525961636567[[#This Row],[Week Sales]]</f>
        <v>905295</v>
      </c>
      <c r="G3" s="18" t="str">
        <f>(VLOOKUP(D:D,'Week 19 May 4 - May 10 2020'!D:G,4,FALSE))</f>
        <v>Nintendo</v>
      </c>
      <c r="H3" s="67">
        <f>(VLOOKUP(D:D,'Week 19 May 4 - May 10 2020'!D:H,5,FALSE))</f>
        <v>43756</v>
      </c>
      <c r="I3" s="12">
        <f>_xlfn.IFNA(SUMIFS('Week 19 May 4 - May 10 2020'!E:E,'Week 19 May 4 - May 10 2020'!D:D,'Week 20 May 11 - May 17 2020'!D:D,'Week 19 May 4 - May 10 2020'!C:C,'Week 20 May 11 - May 17 2020'!C:C),"New")</f>
        <v>22740</v>
      </c>
      <c r="J3" s="28">
        <f t="shared" ref="J3:J31" si="0">IFERROR((E3-I3)/I3,"New")</f>
        <v>-3.4168865435356202E-2</v>
      </c>
    </row>
    <row r="4" spans="1:10" x14ac:dyDescent="0.2">
      <c r="A4" s="25">
        <v>3</v>
      </c>
      <c r="B4" s="18">
        <v>3</v>
      </c>
      <c r="C4" s="18" t="s">
        <v>8</v>
      </c>
      <c r="D4" s="47" t="s">
        <v>234</v>
      </c>
      <c r="E4" s="12">
        <v>11229</v>
      </c>
      <c r="F4" s="12">
        <f>SUMIFS('Week 19 May 4 - May 10 2020'!F:F,'Week 19 May 4 - May 10 2020'!D:D,'Week 20 May 11 - May 17 2020'!D:D,'Week 19 May 4 - May 10 2020'!C:C,'Week 20 May 11 - May 17 2020'!C:C)+Table3611910135557121417525961636567[[#This Row],[Week Sales]]</f>
        <v>908337</v>
      </c>
      <c r="G4" s="18" t="str">
        <f>(VLOOKUP(D:D,'Week 19 May 4 - May 10 2020'!D:G,4,FALSE))</f>
        <v>Square Enix</v>
      </c>
      <c r="H4" s="67">
        <f>(VLOOKUP(D:D,'Week 19 May 4 - May 10 2020'!D:H,5,FALSE))</f>
        <v>43931</v>
      </c>
      <c r="I4" s="12">
        <f>_xlfn.IFNA(SUMIFS('Week 19 May 4 - May 10 2020'!E:E,'Week 19 May 4 - May 10 2020'!D:D,'Week 20 May 11 - May 17 2020'!D:D,'Week 19 May 4 - May 10 2020'!C:C,'Week 20 May 11 - May 17 2020'!C:C),"New")</f>
        <v>18549</v>
      </c>
      <c r="J4" s="28">
        <f t="shared" si="0"/>
        <v>-0.39463043829856059</v>
      </c>
    </row>
    <row r="5" spans="1:10" x14ac:dyDescent="0.2">
      <c r="A5" s="25">
        <v>4</v>
      </c>
      <c r="B5" s="18">
        <v>5</v>
      </c>
      <c r="C5" s="18" t="s">
        <v>7</v>
      </c>
      <c r="D5" s="47" t="s">
        <v>49</v>
      </c>
      <c r="E5" s="12">
        <v>10286</v>
      </c>
      <c r="F5" s="12">
        <f>SUMIFS('Week 19 May 4 - May 10 2020'!F:F,'Week 19 May 4 - May 10 2020'!D:D,'Week 20 May 11 - May 17 2020'!D:D,'Week 19 May 4 - May 10 2020'!C:C,'Week 20 May 11 - May 17 2020'!C:C)+Table3611910135557121417525961636567[[#This Row],[Week Sales]]</f>
        <v>2946455</v>
      </c>
      <c r="G5" s="18" t="str">
        <f>(VLOOKUP(D:D,'Week 19 May 4 - May 10 2020'!D:G,4,FALSE))</f>
        <v>Nintendo</v>
      </c>
      <c r="H5" s="67">
        <f>(VLOOKUP(D:D,'Week 19 May 4 - May 10 2020'!D:H,5,FALSE))</f>
        <v>42853</v>
      </c>
      <c r="I5" s="12">
        <f>_xlfn.IFNA(SUMIFS('Week 19 May 4 - May 10 2020'!E:E,'Week 19 May 4 - May 10 2020'!D:D,'Week 20 May 11 - May 17 2020'!D:D,'Week 19 May 4 - May 10 2020'!C:C,'Week 20 May 11 - May 17 2020'!C:C),"New")</f>
        <v>17924</v>
      </c>
      <c r="J5" s="28">
        <f t="shared" si="0"/>
        <v>-0.42613255969649633</v>
      </c>
    </row>
    <row r="6" spans="1:10" x14ac:dyDescent="0.2">
      <c r="A6" s="25">
        <v>5</v>
      </c>
      <c r="B6" s="18">
        <v>9</v>
      </c>
      <c r="C6" s="18" t="s">
        <v>7</v>
      </c>
      <c r="D6" s="47" t="s">
        <v>10</v>
      </c>
      <c r="E6" s="12">
        <v>8079</v>
      </c>
      <c r="F6" s="12">
        <f>SUMIFS('Week 19 May 4 - May 10 2020'!F:F,'Week 19 May 4 - May 10 2020'!D:D,'Week 20 May 11 - May 17 2020'!D:D,'Week 19 May 4 - May 10 2020'!C:C,'Week 20 May 11 - May 17 2020'!C:C)+Table3611910135557121417525961636567[[#This Row],[Week Sales]]</f>
        <v>3417239</v>
      </c>
      <c r="G6" s="18" t="str">
        <f>(VLOOKUP(D:D,'Week 19 May 4 - May 10 2020'!D:G,4,FALSE))</f>
        <v>Nintendo</v>
      </c>
      <c r="H6" s="67">
        <f>(VLOOKUP(D:D,'Week 19 May 4 - May 10 2020'!D:H,5,FALSE))</f>
        <v>42937</v>
      </c>
      <c r="I6" s="12">
        <f>_xlfn.IFNA(SUMIFS('Week 19 May 4 - May 10 2020'!E:E,'Week 19 May 4 - May 10 2020'!D:D,'Week 20 May 11 - May 17 2020'!D:D,'Week 19 May 4 - May 10 2020'!C:C,'Week 20 May 11 - May 17 2020'!C:C),"New")</f>
        <v>13467</v>
      </c>
      <c r="J6" s="28">
        <f t="shared" si="0"/>
        <v>-0.40008910670527958</v>
      </c>
    </row>
    <row r="7" spans="1:10" x14ac:dyDescent="0.2">
      <c r="A7" s="25">
        <v>6</v>
      </c>
      <c r="B7" s="18">
        <v>7</v>
      </c>
      <c r="C7" s="18" t="s">
        <v>7</v>
      </c>
      <c r="D7" s="47" t="s">
        <v>52</v>
      </c>
      <c r="E7" s="12">
        <v>7216</v>
      </c>
      <c r="F7" s="12">
        <f>SUMIFS('Week 19 May 4 - May 10 2020'!F:F,'Week 19 May 4 - May 10 2020'!D:D,'Week 20 May 11 - May 17 2020'!D:D,'Week 19 May 4 - May 10 2020'!C:C,'Week 20 May 11 - May 17 2020'!C:C)+Table3611910135557121417525961636567[[#This Row],[Week Sales]]</f>
        <v>3697918</v>
      </c>
      <c r="G7" s="18" t="str">
        <f>(VLOOKUP(D:D,'Week 19 May 4 - May 10 2020'!D:G,4,FALSE))</f>
        <v>Nintendo</v>
      </c>
      <c r="H7" s="67">
        <f>(VLOOKUP(D:D,'Week 19 May 4 - May 10 2020'!D:H,5,FALSE))</f>
        <v>43441</v>
      </c>
      <c r="I7" s="12">
        <f>_xlfn.IFNA(SUMIFS('Week 19 May 4 - May 10 2020'!E:E,'Week 19 May 4 - May 10 2020'!D:D,'Week 20 May 11 - May 17 2020'!D:D,'Week 19 May 4 - May 10 2020'!C:C,'Week 20 May 11 - May 17 2020'!C:C),"New")</f>
        <v>11808</v>
      </c>
      <c r="J7" s="28">
        <f t="shared" si="0"/>
        <v>-0.3888888888888889</v>
      </c>
    </row>
    <row r="8" spans="1:10" x14ac:dyDescent="0.2">
      <c r="A8" s="25">
        <v>7</v>
      </c>
      <c r="B8" s="18">
        <v>9</v>
      </c>
      <c r="C8" s="18" t="s">
        <v>7</v>
      </c>
      <c r="D8" s="47" t="s">
        <v>16</v>
      </c>
      <c r="E8" s="12">
        <v>6588</v>
      </c>
      <c r="F8" s="12">
        <f>SUMIFS('Week 19 May 4 - May 10 2020'!F:F,'Week 19 May 4 - May 10 2020'!D:D,'Week 20 May 11 - May 17 2020'!D:D,'Week 19 May 4 - May 10 2020'!C:C,'Week 20 May 11 - May 17 2020'!C:C)+Table3611910135557121417525961636567[[#This Row],[Week Sales]]</f>
        <v>229057</v>
      </c>
      <c r="G8" s="18" t="str">
        <f>(VLOOKUP(D:D,'Week 19 May 4 - May 10 2020'!D:G,4,FALSE))</f>
        <v>Nintendo</v>
      </c>
      <c r="H8" s="67">
        <f>(VLOOKUP(D:D,'Week 19 May 4 - May 10 2020'!D:H,5,FALSE))</f>
        <v>43826</v>
      </c>
      <c r="I8" s="12">
        <f>_xlfn.IFNA(SUMIFS('Week 19 May 4 - May 10 2020'!E:E,'Week 19 May 4 - May 10 2020'!D:D,'Week 20 May 11 - May 17 2020'!D:D,'Week 19 May 4 - May 10 2020'!C:C,'Week 20 May 11 - May 17 2020'!C:C),"New")</f>
        <v>10580</v>
      </c>
      <c r="J8" s="28">
        <f t="shared" si="0"/>
        <v>-0.37731568998109644</v>
      </c>
    </row>
    <row r="9" spans="1:10" x14ac:dyDescent="0.2">
      <c r="A9" s="25">
        <v>8</v>
      </c>
      <c r="B9" s="18">
        <v>10</v>
      </c>
      <c r="C9" s="18" t="s">
        <v>7</v>
      </c>
      <c r="D9" s="47" t="s">
        <v>12</v>
      </c>
      <c r="E9" s="12">
        <v>6063</v>
      </c>
      <c r="F9" s="12">
        <f>SUMIFS('Week 19 May 4 - May 10 2020'!F:F,'Week 19 May 4 - May 10 2020'!D:D,'Week 20 May 11 - May 17 2020'!D:D,'Week 19 May 4 - May 10 2020'!C:C,'Week 20 May 11 - May 17 2020'!C:C)+Table3611910135557121417525961636567[[#This Row],[Week Sales]]</f>
        <v>1387002</v>
      </c>
      <c r="G9" s="18" t="str">
        <f>(VLOOKUP(D:D,'Week 19 May 4 - May 10 2020'!D:G,4,FALSE))</f>
        <v>Microsoft</v>
      </c>
      <c r="H9" s="67">
        <f>(VLOOKUP(D:D,'Week 19 May 4 - May 10 2020'!D:H,5,FALSE))</f>
        <v>43272</v>
      </c>
      <c r="I9" s="12">
        <f>_xlfn.IFNA(SUMIFS('Week 19 May 4 - May 10 2020'!E:E,'Week 19 May 4 - May 10 2020'!D:D,'Week 20 May 11 - May 17 2020'!D:D,'Week 19 May 4 - May 10 2020'!C:C,'Week 20 May 11 - May 17 2020'!C:C),"New")</f>
        <v>9271</v>
      </c>
      <c r="J9" s="28">
        <f t="shared" si="0"/>
        <v>-0.34602523999568546</v>
      </c>
    </row>
    <row r="10" spans="1:10" x14ac:dyDescent="0.2">
      <c r="A10" s="13">
        <v>9</v>
      </c>
      <c r="B10" s="9" t="s">
        <v>36</v>
      </c>
      <c r="C10" s="9" t="s">
        <v>7</v>
      </c>
      <c r="D10" s="46" t="s">
        <v>245</v>
      </c>
      <c r="E10" s="10">
        <v>5657</v>
      </c>
      <c r="F10" s="10">
        <f>SUMIFS('Week 19 May 4 - May 10 2020'!F:F,'Week 19 May 4 - May 10 2020'!D:D,'Week 20 May 11 - May 17 2020'!D:D,'Week 19 May 4 - May 10 2020'!C:C,'Week 20 May 11 - May 17 2020'!C:C)+Table3611910135557121417525961636567[[#This Row],[Week Sales]]</f>
        <v>5657</v>
      </c>
      <c r="G10" s="9" t="s">
        <v>27</v>
      </c>
      <c r="H10" s="14">
        <v>43965</v>
      </c>
      <c r="I10" s="10" t="s">
        <v>36</v>
      </c>
      <c r="J10" s="92" t="str">
        <f t="shared" si="0"/>
        <v>New</v>
      </c>
    </row>
    <row r="11" spans="1:10" x14ac:dyDescent="0.2">
      <c r="A11" s="25">
        <v>10</v>
      </c>
      <c r="B11" s="18">
        <v>6</v>
      </c>
      <c r="C11" s="18" t="s">
        <v>8</v>
      </c>
      <c r="D11" s="47" t="s">
        <v>237</v>
      </c>
      <c r="E11" s="12">
        <v>5467</v>
      </c>
      <c r="F11" s="12">
        <f>SUMIFS('Week 19 May 4 - May 10 2020'!F:F,'Week 19 May 4 - May 10 2020'!D:D,'Week 20 May 11 - May 17 2020'!D:D,'Week 19 May 4 - May 10 2020'!C:C,'Week 20 May 11 - May 17 2020'!C:C)+Table3611910135557121417525961636567[[#This Row],[Week Sales]]</f>
        <v>122753</v>
      </c>
      <c r="G11" s="18" t="str">
        <f>(VLOOKUP(D:D,'Week 19 May 4 - May 10 2020'!D:G,4,FALSE))</f>
        <v>Square Enix</v>
      </c>
      <c r="H11" s="67">
        <f>(VLOOKUP(D:D,'Week 19 May 4 - May 10 2020'!D:H,5,FALSE))</f>
        <v>43945</v>
      </c>
      <c r="I11" s="12">
        <f>_xlfn.IFNA(SUMIFS('Week 19 May 4 - May 10 2020'!E:E,'Week 19 May 4 - May 10 2020'!D:D,'Week 20 May 11 - May 17 2020'!D:D,'Week 19 May 4 - May 10 2020'!C:C,'Week 20 May 11 - May 17 2020'!C:C),"New")</f>
        <v>12836</v>
      </c>
      <c r="J11" s="28">
        <f t="shared" si="0"/>
        <v>-0.57408850109068243</v>
      </c>
    </row>
    <row r="12" spans="1:10" x14ac:dyDescent="0.2">
      <c r="A12" s="25">
        <v>11</v>
      </c>
      <c r="B12" s="18">
        <v>8</v>
      </c>
      <c r="C12" s="18" t="s">
        <v>7</v>
      </c>
      <c r="D12" s="47" t="s">
        <v>13</v>
      </c>
      <c r="E12" s="12">
        <v>5424</v>
      </c>
      <c r="F12" s="12">
        <f>SUMIFS('Week 19 May 4 - May 10 2020'!F:F,'Week 19 May 4 - May 10 2020'!D:D,'Week 20 May 11 - May 17 2020'!D:D,'Week 19 May 4 - May 10 2020'!C:C,'Week 20 May 11 - May 17 2020'!C:C)+Table3611910135557121417525961636567[[#This Row],[Week Sales]]</f>
        <v>1446263</v>
      </c>
      <c r="G12" s="18" t="str">
        <f>(VLOOKUP(D:D,'Week 19 May 4 - May 10 2020'!D:G,4,FALSE))</f>
        <v>Nintendo</v>
      </c>
      <c r="H12" s="67">
        <f>(VLOOKUP(D:D,'Week 19 May 4 - May 10 2020'!D:H,5,FALSE))</f>
        <v>43378</v>
      </c>
      <c r="I12" s="12">
        <f>_xlfn.IFNA(SUMIFS('Week 19 May 4 - May 10 2020'!E:E,'Week 19 May 4 - May 10 2020'!D:D,'Week 20 May 11 - May 17 2020'!D:D,'Week 19 May 4 - May 10 2020'!C:C,'Week 20 May 11 - May 17 2020'!C:C),"New")</f>
        <v>10639</v>
      </c>
      <c r="J12" s="28">
        <f t="shared" si="0"/>
        <v>-0.49017764827521382</v>
      </c>
    </row>
    <row r="13" spans="1:10" x14ac:dyDescent="0.2">
      <c r="A13" s="25">
        <v>12</v>
      </c>
      <c r="B13" s="18">
        <v>30</v>
      </c>
      <c r="C13" s="18" t="s">
        <v>7</v>
      </c>
      <c r="D13" s="47" t="s">
        <v>237</v>
      </c>
      <c r="E13" s="12">
        <v>4951</v>
      </c>
      <c r="F13" s="12">
        <f>SUMIFS('Week 19 May 4 - May 10 2020'!F:F,'Week 19 May 4 - May 10 2020'!D:D,'Week 20 May 11 - May 17 2020'!D:D,'Week 19 May 4 - May 10 2020'!C:C,'Week 20 May 11 - May 17 2020'!C:C)+Table3611910135557121417525961636567[[#This Row],[Week Sales]]</f>
        <v>90068</v>
      </c>
      <c r="G13" s="18" t="str">
        <f>(VLOOKUP(D:D,'Week 19 May 4 - May 10 2020'!D:G,4,FALSE))</f>
        <v>Square Enix</v>
      </c>
      <c r="H13" s="67">
        <f>(VLOOKUP(D:D,'Week 19 May 4 - May 10 2020'!D:H,5,FALSE))</f>
        <v>43945</v>
      </c>
      <c r="I13" s="12">
        <f>_xlfn.IFNA(SUMIFS('Week 19 May 4 - May 10 2020'!E:E,'Week 19 May 4 - May 10 2020'!D:D,'Week 20 May 11 - May 17 2020'!D:D,'Week 19 May 4 - May 10 2020'!C:C,'Week 20 May 11 - May 17 2020'!C:C),"New")</f>
        <v>2172</v>
      </c>
      <c r="J13" s="28">
        <f t="shared" si="0"/>
        <v>1.2794659300184161</v>
      </c>
    </row>
    <row r="14" spans="1:10" x14ac:dyDescent="0.2">
      <c r="A14" s="25">
        <v>13</v>
      </c>
      <c r="B14" s="18">
        <v>11</v>
      </c>
      <c r="C14" s="18" t="s">
        <v>7</v>
      </c>
      <c r="D14" s="47" t="s">
        <v>62</v>
      </c>
      <c r="E14" s="12">
        <v>4047</v>
      </c>
      <c r="F14" s="12">
        <f>SUMIFS('Week 19 May 4 - May 10 2020'!F:F,'Week 19 May 4 - May 10 2020'!D:D,'Week 20 May 11 - May 17 2020'!D:D,'Week 19 May 4 - May 10 2020'!C:C,'Week 20 May 11 - May 17 2020'!C:C)+Table3611910135557121417525961636567[[#This Row],[Week Sales]]</f>
        <v>3597755</v>
      </c>
      <c r="G14" s="18" t="str">
        <f>(VLOOKUP(D:D,'Week 19 May 4 - May 10 2020'!D:G,4,FALSE))</f>
        <v>The Pokemon Company</v>
      </c>
      <c r="H14" s="67">
        <f>(VLOOKUP(D:D,'Week 19 May 4 - May 10 2020'!D:H,5,FALSE))</f>
        <v>43784</v>
      </c>
      <c r="I14" s="12">
        <f>_xlfn.IFNA(SUMIFS('Week 19 May 4 - May 10 2020'!E:E,'Week 19 May 4 - May 10 2020'!D:D,'Week 20 May 11 - May 17 2020'!D:D,'Week 19 May 4 - May 10 2020'!C:C,'Week 20 May 11 - May 17 2020'!C:C),"New")</f>
        <v>7585</v>
      </c>
      <c r="J14" s="28">
        <f t="shared" si="0"/>
        <v>-0.46644693473961768</v>
      </c>
    </row>
    <row r="15" spans="1:10" x14ac:dyDescent="0.2">
      <c r="A15" s="13">
        <v>14</v>
      </c>
      <c r="B15" s="9" t="s">
        <v>36</v>
      </c>
      <c r="C15" s="9" t="s">
        <v>8</v>
      </c>
      <c r="D15" s="46" t="s">
        <v>245</v>
      </c>
      <c r="E15" s="10">
        <v>3867</v>
      </c>
      <c r="F15" s="10">
        <f>SUMIFS('Week 19 May 4 - May 10 2020'!F:F,'Week 19 May 4 - May 10 2020'!D:D,'Week 20 May 11 - May 17 2020'!D:D,'Week 19 May 4 - May 10 2020'!C:C,'Week 20 May 11 - May 17 2020'!C:C)+Table3611910135557121417525961636567[[#This Row],[Week Sales]]</f>
        <v>3867</v>
      </c>
      <c r="G15" s="9" t="s">
        <v>27</v>
      </c>
      <c r="H15" s="14">
        <v>43965</v>
      </c>
      <c r="I15" s="10" t="s">
        <v>36</v>
      </c>
      <c r="J15" s="92" t="str">
        <f t="shared" si="0"/>
        <v>New</v>
      </c>
    </row>
    <row r="16" spans="1:10" x14ac:dyDescent="0.2">
      <c r="A16" s="25">
        <v>15</v>
      </c>
      <c r="B16" s="18">
        <v>21</v>
      </c>
      <c r="C16" s="18" t="s">
        <v>7</v>
      </c>
      <c r="D16" s="47" t="s">
        <v>228</v>
      </c>
      <c r="E16" s="12">
        <v>3502</v>
      </c>
      <c r="F16" s="12">
        <f>SUMIFS('Week 19 May 4 - May 10 2020'!F:F,'Week 19 May 4 - May 10 2020'!D:D,'Week 20 May 11 - May 17 2020'!D:D,'Week 19 May 4 - May 10 2020'!C:C,'Week 20 May 11 - May 17 2020'!C:C)+Table3611910135557121417525961636567[[#This Row],[Week Sales]]</f>
        <v>106936</v>
      </c>
      <c r="G16" s="18" t="str">
        <f>(VLOOKUP(D:D,'Week 19 May 4 - May 10 2020'!D:G,4,FALSE))</f>
        <v>Imagineer</v>
      </c>
      <c r="H16" s="67">
        <f>(VLOOKUP(D:D,'Week 19 May 4 - May 10 2020'!D:H,5,FALSE))</f>
        <v>43454</v>
      </c>
      <c r="I16" s="12">
        <f>_xlfn.IFNA(SUMIFS('Week 19 May 4 - May 10 2020'!E:E,'Week 19 May 4 - May 10 2020'!D:D,'Week 20 May 11 - May 17 2020'!D:D,'Week 19 May 4 - May 10 2020'!C:C,'Week 20 May 11 - May 17 2020'!C:C),"New")</f>
        <v>3383</v>
      </c>
      <c r="J16" s="28">
        <f t="shared" si="0"/>
        <v>3.5175879396984924E-2</v>
      </c>
    </row>
    <row r="17" spans="1:10" x14ac:dyDescent="0.2">
      <c r="A17" s="25">
        <v>16</v>
      </c>
      <c r="B17" s="18">
        <v>14</v>
      </c>
      <c r="C17" s="18" t="s">
        <v>7</v>
      </c>
      <c r="D17" s="47" t="s">
        <v>39</v>
      </c>
      <c r="E17" s="12">
        <v>3327</v>
      </c>
      <c r="F17" s="12">
        <f>SUMIFS('Week 19 May 4 - May 10 2020'!F:F,'Week 19 May 4 - May 10 2020'!D:D,'Week 20 May 11 - May 17 2020'!D:D,'Week 19 May 4 - May 10 2020'!C:C,'Week 20 May 11 - May 17 2020'!C:C)+Table3611910135557121417525961636567[[#This Row],[Week Sales]]</f>
        <v>1584418</v>
      </c>
      <c r="G17" s="18" t="str">
        <f>(VLOOKUP(D:D,'Week 19 May 4 - May 10 2020'!D:G,4,FALSE))</f>
        <v>Nintendo</v>
      </c>
      <c r="H17" s="67">
        <f>(VLOOKUP(D:D,'Week 19 May 4 - May 10 2020'!D:H,5,FALSE))</f>
        <v>42797</v>
      </c>
      <c r="I17" s="12">
        <f>_xlfn.IFNA(SUMIFS('Week 19 May 4 - May 10 2020'!E:E,'Week 19 May 4 - May 10 2020'!D:D,'Week 20 May 11 - May 17 2020'!D:D,'Week 19 May 4 - May 10 2020'!C:C,'Week 20 May 11 - May 17 2020'!C:C),"New")</f>
        <v>4743</v>
      </c>
      <c r="J17" s="28">
        <f t="shared" si="0"/>
        <v>-0.29854522454142945</v>
      </c>
    </row>
    <row r="18" spans="1:10" x14ac:dyDescent="0.2">
      <c r="A18" s="25">
        <v>17</v>
      </c>
      <c r="B18" s="18">
        <v>12</v>
      </c>
      <c r="C18" s="18" t="s">
        <v>7</v>
      </c>
      <c r="D18" s="47" t="s">
        <v>17</v>
      </c>
      <c r="E18" s="12">
        <v>3174</v>
      </c>
      <c r="F18" s="12">
        <f>SUMIFS('Week 19 May 4 - May 10 2020'!F:F,'Week 19 May 4 - May 10 2020'!D:D,'Week 20 May 11 - May 17 2020'!D:D,'Week 19 May 4 - May 10 2020'!C:C,'Week 20 May 11 - May 17 2020'!C:C)+Table3611910135557121417525961636567[[#This Row],[Week Sales]]</f>
        <v>841588</v>
      </c>
      <c r="G18" s="18" t="str">
        <f>(VLOOKUP(D:D,'Week 19 May 4 - May 10 2020'!D:G,4,FALSE))</f>
        <v>Nintendo</v>
      </c>
      <c r="H18" s="67">
        <f>(VLOOKUP(D:D,'Week 19 May 4 - May 10 2020'!D:H,5,FALSE))</f>
        <v>43476</v>
      </c>
      <c r="I18" s="12">
        <f>_xlfn.IFNA(SUMIFS('Week 19 May 4 - May 10 2020'!E:E,'Week 19 May 4 - May 10 2020'!D:D,'Week 20 May 11 - May 17 2020'!D:D,'Week 19 May 4 - May 10 2020'!C:C,'Week 20 May 11 - May 17 2020'!C:C),"New")</f>
        <v>5489</v>
      </c>
      <c r="J18" s="28">
        <f t="shared" si="0"/>
        <v>-0.42175259610129351</v>
      </c>
    </row>
    <row r="19" spans="1:10" x14ac:dyDescent="0.2">
      <c r="A19" s="25">
        <v>18</v>
      </c>
      <c r="B19" s="18">
        <v>13</v>
      </c>
      <c r="C19" s="18" t="s">
        <v>7</v>
      </c>
      <c r="D19" s="47" t="s">
        <v>19</v>
      </c>
      <c r="E19" s="12">
        <v>3155</v>
      </c>
      <c r="F19" s="12">
        <f>SUMIFS('Week 19 May 4 - May 10 2020'!F:F,'Week 19 May 4 - May 10 2020'!D:D,'Week 20 May 11 - May 17 2020'!D:D,'Week 19 May 4 - May 10 2020'!C:C,'Week 20 May 11 - May 17 2020'!C:C)+Table3611910135557121417525961636567[[#This Row],[Week Sales]]</f>
        <v>913083</v>
      </c>
      <c r="G19" s="18" t="str">
        <f>(VLOOKUP(D:D,'Week 19 May 4 - May 10 2020'!D:G,4,FALSE))</f>
        <v>Nintendo</v>
      </c>
      <c r="H19" s="67">
        <f>(VLOOKUP(D:D,'Week 19 May 4 - May 10 2020'!D:H,5,FALSE))</f>
        <v>43644</v>
      </c>
      <c r="I19" s="12">
        <f>_xlfn.IFNA(SUMIFS('Week 19 May 4 - May 10 2020'!E:E,'Week 19 May 4 - May 10 2020'!D:D,'Week 20 May 11 - May 17 2020'!D:D,'Week 19 May 4 - May 10 2020'!C:C,'Week 20 May 11 - May 17 2020'!C:C),"New")</f>
        <v>5438</v>
      </c>
      <c r="J19" s="28">
        <f t="shared" si="0"/>
        <v>-0.41982346450901065</v>
      </c>
    </row>
    <row r="20" spans="1:10" x14ac:dyDescent="0.2">
      <c r="A20" s="25">
        <v>19</v>
      </c>
      <c r="B20" s="18">
        <v>19</v>
      </c>
      <c r="C20" s="18" t="s">
        <v>8</v>
      </c>
      <c r="D20" s="86" t="s">
        <v>187</v>
      </c>
      <c r="E20" s="12">
        <v>2963</v>
      </c>
      <c r="F20" s="12">
        <f>SUMIFS('Week 19 May 4 - May 10 2020'!F:F,'Week 19 May 4 - May 10 2020'!D:D,'Week 20 May 11 - May 17 2020'!D:D,'Week 19 May 4 - May 10 2020'!C:C,'Week 20 May 11 - May 17 2020'!C:C)+Table3611910135557121417525961636567[[#This Row],[Week Sales]]</f>
        <v>51185</v>
      </c>
      <c r="G20" s="18" t="str">
        <f>(VLOOKUP(D:D,'Week 19 May 4 - May 10 2020'!D:G,4,FALSE))</f>
        <v>Rockstar Games</v>
      </c>
      <c r="H20" s="67">
        <f>(VLOOKUP(D:D,'Week 19 May 4 - May 10 2020'!D:H,5,FALSE))</f>
        <v>43440</v>
      </c>
      <c r="I20" s="12">
        <f>_xlfn.IFNA(SUMIFS('Week 19 May 4 - May 10 2020'!E:E,'Week 19 May 4 - May 10 2020'!D:D,'Week 20 May 11 - May 17 2020'!D:D,'Week 19 May 4 - May 10 2020'!C:C,'Week 20 May 11 - May 17 2020'!C:C),"New")</f>
        <v>3562</v>
      </c>
      <c r="J20" s="28">
        <f t="shared" si="0"/>
        <v>-0.16816395283548569</v>
      </c>
    </row>
    <row r="21" spans="1:10" x14ac:dyDescent="0.2">
      <c r="A21" s="25">
        <v>20</v>
      </c>
      <c r="B21" s="18">
        <v>22</v>
      </c>
      <c r="C21" s="18" t="s">
        <v>8</v>
      </c>
      <c r="D21" s="47" t="s">
        <v>99</v>
      </c>
      <c r="E21" s="12">
        <v>2596</v>
      </c>
      <c r="F21" s="12">
        <f>SUMIFS('Week 19 May 4 - May 10 2020'!F:F,'Week 19 May 4 - May 10 2020'!D:D,'Week 20 May 11 - May 17 2020'!D:D,'Week 19 May 4 - May 10 2020'!C:C,'Week 20 May 11 - May 17 2020'!C:C)+Table3611910135557121417525961636567[[#This Row],[Week Sales]]</f>
        <v>469929</v>
      </c>
      <c r="G21" s="18" t="str">
        <f>(VLOOKUP(D:D,'Week 19 May 4 - May 10 2020'!D:G,4,FALSE))</f>
        <v>Capcom</v>
      </c>
      <c r="H21" s="67">
        <f>(VLOOKUP(D:D,'Week 19 May 4 - May 10 2020'!D:H,5,FALSE))</f>
        <v>43714</v>
      </c>
      <c r="I21" s="12">
        <f>_xlfn.IFNA(SUMIFS('Week 19 May 4 - May 10 2020'!E:E,'Week 19 May 4 - May 10 2020'!D:D,'Week 20 May 11 - May 17 2020'!D:D,'Week 19 May 4 - May 10 2020'!C:C,'Week 20 May 11 - May 17 2020'!C:C),"New")</f>
        <v>3277</v>
      </c>
      <c r="J21" s="28">
        <f t="shared" si="0"/>
        <v>-0.20781202319194386</v>
      </c>
    </row>
    <row r="22" spans="1:10" x14ac:dyDescent="0.2">
      <c r="A22" s="25">
        <v>21</v>
      </c>
      <c r="B22" s="18">
        <v>17</v>
      </c>
      <c r="C22" s="18" t="s">
        <v>7</v>
      </c>
      <c r="D22" s="47" t="s">
        <v>209</v>
      </c>
      <c r="E22" s="12">
        <v>2137</v>
      </c>
      <c r="F22" s="12">
        <f>SUMIFS('Week 19 May 4 - May 10 2020'!F:F,'Week 19 May 4 - May 10 2020'!D:D,'Week 20 May 11 - May 17 2020'!D:D,'Week 19 May 4 - May 10 2020'!C:C,'Week 20 May 11 - May 17 2020'!C:C)+Table3611910135557121417525961636567[[#This Row],[Week Sales]]</f>
        <v>251560</v>
      </c>
      <c r="G22" s="18" t="str">
        <f>(VLOOKUP(D:D,'Week 19 May 4 - May 10 2020'!D:G,4,FALSE))</f>
        <v>The Pokemon Company</v>
      </c>
      <c r="H22" s="67">
        <f>(VLOOKUP(D:D,'Week 19 May 4 - May 10 2020'!D:H,5,FALSE))</f>
        <v>43896</v>
      </c>
      <c r="I22" s="12">
        <f>_xlfn.IFNA(SUMIFS('Week 19 May 4 - May 10 2020'!E:E,'Week 19 May 4 - May 10 2020'!D:D,'Week 20 May 11 - May 17 2020'!D:D,'Week 19 May 4 - May 10 2020'!C:C,'Week 20 May 11 - May 17 2020'!C:C),"New")</f>
        <v>3813</v>
      </c>
      <c r="J22" s="28">
        <f t="shared" si="0"/>
        <v>-0.43954891161814846</v>
      </c>
    </row>
    <row r="23" spans="1:10" x14ac:dyDescent="0.2">
      <c r="A23" s="25">
        <v>22</v>
      </c>
      <c r="B23" s="18">
        <v>15</v>
      </c>
      <c r="C23" s="18" t="s">
        <v>7</v>
      </c>
      <c r="D23" s="47" t="s">
        <v>221</v>
      </c>
      <c r="E23" s="12">
        <v>2040</v>
      </c>
      <c r="F23" s="12">
        <f>SUMIFS('Week 19 May 4 - May 10 2020'!F:F,'Week 19 May 4 - May 10 2020'!D:D,'Week 20 May 11 - May 17 2020'!D:D,'Week 19 May 4 - May 10 2020'!C:C,'Week 20 May 11 - May 17 2020'!C:C)+Table3611910135557121417525961636567[[#This Row],[Week Sales]]</f>
        <v>116428</v>
      </c>
      <c r="G23" s="18" t="str">
        <f>(VLOOKUP(D:D,'Week 19 May 4 - May 10 2020'!D:G,4,FALSE))</f>
        <v>Bandai Namco</v>
      </c>
      <c r="H23" s="67">
        <f>(VLOOKUP(D:D,'Week 19 May 4 - May 10 2020'!D:H,5,FALSE))</f>
        <v>43916</v>
      </c>
      <c r="I23" s="12">
        <f>_xlfn.IFNA(SUMIFS('Week 19 May 4 - May 10 2020'!E:E,'Week 19 May 4 - May 10 2020'!D:D,'Week 20 May 11 - May 17 2020'!D:D,'Week 19 May 4 - May 10 2020'!C:C,'Week 20 May 11 - May 17 2020'!C:C),"New")</f>
        <v>3931</v>
      </c>
      <c r="J23" s="28">
        <f t="shared" si="0"/>
        <v>-0.48104807936911725</v>
      </c>
    </row>
    <row r="24" spans="1:10" x14ac:dyDescent="0.2">
      <c r="A24" s="35">
        <v>23</v>
      </c>
      <c r="B24" s="31" t="s">
        <v>53</v>
      </c>
      <c r="C24" s="31" t="s">
        <v>8</v>
      </c>
      <c r="D24" s="52" t="s">
        <v>246</v>
      </c>
      <c r="E24" s="33">
        <v>2034</v>
      </c>
      <c r="F24" s="33">
        <v>73222</v>
      </c>
      <c r="G24" s="31" t="s">
        <v>30</v>
      </c>
      <c r="H24" s="93">
        <v>43307</v>
      </c>
      <c r="I24" s="33"/>
      <c r="J24" s="97"/>
    </row>
    <row r="25" spans="1:10" x14ac:dyDescent="0.2">
      <c r="A25" s="25">
        <v>24</v>
      </c>
      <c r="B25" s="18">
        <v>24</v>
      </c>
      <c r="C25" s="18" t="s">
        <v>222</v>
      </c>
      <c r="D25" s="47" t="s">
        <v>223</v>
      </c>
      <c r="E25" s="12">
        <v>1930</v>
      </c>
      <c r="F25" s="12">
        <f>SUMIFS('Week 19 May 4 - May 10 2020'!F:F,'Week 19 May 4 - May 10 2020'!D:D,'Week 20 May 11 - May 17 2020'!D:D,'Week 19 May 4 - May 10 2020'!C:C,'Week 20 May 11 - May 17 2020'!C:C)+Table3611910135557121417525961636567[[#This Row],[Week Sales]]</f>
        <v>504936</v>
      </c>
      <c r="G25" s="18" t="str">
        <f>(VLOOKUP(D:D,'Week 19 May 4 - May 10 2020'!D:G,4,FALSE))</f>
        <v>Nintendo</v>
      </c>
      <c r="H25" s="67">
        <f>(VLOOKUP(D:D,'Week 19 May 4 - May 10 2020'!D:H,5,FALSE))</f>
        <v>42697</v>
      </c>
      <c r="I25" s="12">
        <f>_xlfn.IFNA(SUMIFS('Week 19 May 4 - May 10 2020'!E:E,'Week 19 May 4 - May 10 2020'!D:D,'Week 20 May 11 - May 17 2020'!D:D,'Week 19 May 4 - May 10 2020'!C:C,'Week 20 May 11 - May 17 2020'!C:C),"New")</f>
        <v>2889</v>
      </c>
      <c r="J25" s="28">
        <f t="shared" si="0"/>
        <v>-0.33194877120110766</v>
      </c>
    </row>
    <row r="26" spans="1:10" x14ac:dyDescent="0.2">
      <c r="A26" s="25">
        <v>25</v>
      </c>
      <c r="B26" s="18">
        <v>23</v>
      </c>
      <c r="C26" s="18" t="s">
        <v>7</v>
      </c>
      <c r="D26" s="47" t="s">
        <v>79</v>
      </c>
      <c r="E26" s="12">
        <v>1927</v>
      </c>
      <c r="F26" s="12">
        <f>SUMIFS('Week 19 May 4 - May 10 2020'!F:F,'Week 19 May 4 - May 10 2020'!D:D,'Week 20 May 11 - May 17 2020'!D:D,'Week 19 May 4 - May 10 2020'!C:C,'Week 20 May 11 - May 17 2020'!C:C)+Table3611910135557121417525961636567[[#This Row],[Week Sales]]</f>
        <v>643201</v>
      </c>
      <c r="G26" s="18" t="str">
        <f>(VLOOKUP(D:D,'Week 19 May 4 - May 10 2020'!D:G,4,FALSE))</f>
        <v>Nintendo</v>
      </c>
      <c r="H26" s="67">
        <f>(VLOOKUP(D:D,'Week 19 May 4 - May 10 2020'!D:H,5,FALSE))</f>
        <v>43769</v>
      </c>
      <c r="I26" s="12">
        <f>_xlfn.IFNA(SUMIFS('Week 19 May 4 - May 10 2020'!E:E,'Week 19 May 4 - May 10 2020'!D:D,'Week 20 May 11 - May 17 2020'!D:D,'Week 19 May 4 - May 10 2020'!C:C,'Week 20 May 11 - May 17 2020'!C:C),"New")</f>
        <v>3125</v>
      </c>
      <c r="J26" s="28">
        <f t="shared" si="0"/>
        <v>-0.38335999999999998</v>
      </c>
    </row>
    <row r="27" spans="1:10" x14ac:dyDescent="0.2">
      <c r="A27" s="25">
        <v>26</v>
      </c>
      <c r="B27" s="18">
        <v>18</v>
      </c>
      <c r="C27" s="18" t="s">
        <v>8</v>
      </c>
      <c r="D27" s="47" t="s">
        <v>232</v>
      </c>
      <c r="E27" s="12">
        <v>1875</v>
      </c>
      <c r="F27" s="12">
        <f>SUMIFS('Week 19 May 4 - May 10 2020'!F:F,'Week 19 May 4 - May 10 2020'!D:D,'Week 20 May 11 - May 17 2020'!D:D,'Week 19 May 4 - May 10 2020'!C:C,'Week 20 May 11 - May 17 2020'!C:C)+Table3611910135557121417525961636567[[#This Row],[Week Sales]]</f>
        <v>257195</v>
      </c>
      <c r="G27" s="18" t="str">
        <f>(VLOOKUP(D:D,'Week 19 May 4 - May 10 2020'!D:G,4,FALSE))</f>
        <v>Capcom</v>
      </c>
      <c r="H27" s="67">
        <f>(VLOOKUP(D:D,'Week 19 May 4 - May 10 2020'!D:H,5,FALSE))</f>
        <v>43924</v>
      </c>
      <c r="I27" s="12">
        <f>_xlfn.IFNA(SUMIFS('Week 19 May 4 - May 10 2020'!E:E,'Week 19 May 4 - May 10 2020'!D:D,'Week 20 May 11 - May 17 2020'!D:D,'Week 19 May 4 - May 10 2020'!C:C,'Week 20 May 11 - May 17 2020'!C:C),"New")</f>
        <v>3573</v>
      </c>
      <c r="J27" s="28">
        <f t="shared" si="0"/>
        <v>-0.47523089840470195</v>
      </c>
    </row>
    <row r="28" spans="1:10" x14ac:dyDescent="0.2">
      <c r="A28" s="25">
        <v>27</v>
      </c>
      <c r="B28" s="18">
        <v>16</v>
      </c>
      <c r="C28" s="18" t="s">
        <v>7</v>
      </c>
      <c r="D28" s="47" t="s">
        <v>20</v>
      </c>
      <c r="E28" s="12">
        <v>1829</v>
      </c>
      <c r="F28" s="12">
        <f>SUMIFS('Week 19 May 4 - May 10 2020'!F:F,'Week 19 May 4 - May 10 2020'!D:D,'Week 20 May 11 - May 17 2020'!D:D,'Week 19 May 4 - May 10 2020'!C:C,'Week 20 May 11 - May 17 2020'!C:C)+Table3611910135557121417525961636567[[#This Row],[Week Sales]]</f>
        <v>437480</v>
      </c>
      <c r="G28" s="18" t="str">
        <f>(VLOOKUP(D:D,'Week 19 May 4 - May 10 2020'!D:G,4,FALSE))</f>
        <v>Bandai Namco</v>
      </c>
      <c r="H28" s="67">
        <f>(VLOOKUP(D:D,'Week 19 May 4 - May 10 2020'!D:H,5,FALSE))</f>
        <v>43671</v>
      </c>
      <c r="I28" s="12">
        <f>_xlfn.IFNA(SUMIFS('Week 19 May 4 - May 10 2020'!E:E,'Week 19 May 4 - May 10 2020'!D:D,'Week 20 May 11 - May 17 2020'!D:D,'Week 19 May 4 - May 10 2020'!C:C,'Week 20 May 11 - May 17 2020'!C:C),"New")</f>
        <v>3921</v>
      </c>
      <c r="J28" s="28">
        <f t="shared" si="0"/>
        <v>-0.5335373629176231</v>
      </c>
    </row>
    <row r="29" spans="1:10" x14ac:dyDescent="0.2">
      <c r="A29" s="35">
        <v>28</v>
      </c>
      <c r="B29" s="31" t="s">
        <v>53</v>
      </c>
      <c r="C29" s="31" t="s">
        <v>7</v>
      </c>
      <c r="D29" s="91" t="s">
        <v>83</v>
      </c>
      <c r="E29" s="33">
        <v>1648</v>
      </c>
      <c r="F29" s="33">
        <v>518979</v>
      </c>
      <c r="G29" s="31" t="str">
        <f>(VLOOKUP(D:D,'Week 18 Apr 27 - May 3 2020'!D:G,4,FALSE))</f>
        <v>Square Enix</v>
      </c>
      <c r="H29" s="93">
        <f>(VLOOKUP(D:D,'Week 18 Apr 27 - May 3 2020'!D:H,5,FALSE))</f>
        <v>43735</v>
      </c>
      <c r="I29" s="33">
        <v>1816</v>
      </c>
      <c r="J29" s="97">
        <f t="shared" si="0"/>
        <v>-9.2511013215859028E-2</v>
      </c>
    </row>
    <row r="30" spans="1:10" x14ac:dyDescent="0.2">
      <c r="A30" s="25">
        <v>29</v>
      </c>
      <c r="B30" s="18">
        <v>26</v>
      </c>
      <c r="C30" s="18" t="s">
        <v>7</v>
      </c>
      <c r="D30" s="86" t="s">
        <v>26</v>
      </c>
      <c r="E30" s="12">
        <v>1564</v>
      </c>
      <c r="F30" s="12">
        <f>SUMIFS('Week 19 May 4 - May 10 2020'!F:F,'Week 19 May 4 - May 10 2020'!D:D,'Week 20 May 11 - May 17 2020'!D:D,'Week 19 May 4 - May 10 2020'!C:C,'Week 20 May 11 - May 17 2020'!C:C)+Table3611910135557121417525961636567[[#This Row],[Week Sales]]</f>
        <v>2097004</v>
      </c>
      <c r="G30" s="18" t="str">
        <f>(VLOOKUP(D:D,'Week 19 May 4 - May 10 2020'!D:G,4,FALSE))</f>
        <v>Nintendo</v>
      </c>
      <c r="H30" s="67">
        <f>(VLOOKUP(D:D,'Week 19 May 4 - May 10 2020'!D:H,5,FALSE))</f>
        <v>43035</v>
      </c>
      <c r="I30" s="12">
        <f>_xlfn.IFNA(SUMIFS('Week 19 May 4 - May 10 2020'!E:E,'Week 19 May 4 - May 10 2020'!D:D,'Week 20 May 11 - May 17 2020'!D:D,'Week 19 May 4 - May 10 2020'!C:C,'Week 20 May 11 - May 17 2020'!C:C),"New")</f>
        <v>2541</v>
      </c>
      <c r="J30" s="28">
        <f t="shared" si="0"/>
        <v>-0.38449429358520265</v>
      </c>
    </row>
    <row r="31" spans="1:10" x14ac:dyDescent="0.2">
      <c r="A31" s="25">
        <v>30</v>
      </c>
      <c r="B31" s="18">
        <v>20</v>
      </c>
      <c r="C31" s="18" t="s">
        <v>7</v>
      </c>
      <c r="D31" s="47" t="s">
        <v>80</v>
      </c>
      <c r="E31" s="12">
        <v>1561</v>
      </c>
      <c r="F31" s="12">
        <f>SUMIFS('Week 19 May 4 - May 10 2020'!F:F,'Week 19 May 4 - May 10 2020'!D:D,'Week 20 May 11 - May 17 2020'!D:D,'Week 19 May 4 - May 10 2020'!C:C,'Week 20 May 11 - May 17 2020'!C:C)+Table3611910135557121417525961636567[[#This Row],[Week Sales]]</f>
        <v>314135</v>
      </c>
      <c r="G31" s="18" t="str">
        <f>(VLOOKUP(D:D,'Week 19 May 4 - May 10 2020'!D:G,4,FALSE))</f>
        <v>Sega</v>
      </c>
      <c r="H31" s="67">
        <f>(VLOOKUP(D:D,'Week 19 May 4 - May 10 2020'!D:H,5,FALSE))</f>
        <v>43770</v>
      </c>
      <c r="I31" s="12">
        <f>_xlfn.IFNA(SUMIFS('Week 19 May 4 - May 10 2020'!E:E,'Week 19 May 4 - May 10 2020'!D:D,'Week 20 May 11 - May 17 2020'!D:D,'Week 19 May 4 - May 10 2020'!C:C,'Week 20 May 11 - May 17 2020'!C:C),"New")</f>
        <v>3490</v>
      </c>
      <c r="J31" s="28">
        <f t="shared" si="0"/>
        <v>-0.55272206303724924</v>
      </c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267758</v>
      </c>
      <c r="F33" s="2"/>
      <c r="I33" s="2"/>
      <c r="J33" s="19"/>
    </row>
    <row r="34" spans="1:10" x14ac:dyDescent="0.2">
      <c r="A34" s="3"/>
      <c r="B34" s="3"/>
      <c r="D34" s="100" t="s">
        <v>178</v>
      </c>
      <c r="E34" s="101">
        <f>SUM('Week 19 May 4 - May 10 2020'!E34,'Week 20 May 11 - May 17 2020'!E33)</f>
        <v>11095992</v>
      </c>
      <c r="F34" s="2"/>
      <c r="I34" s="2"/>
      <c r="J34" s="19"/>
    </row>
    <row r="35" spans="1:10" x14ac:dyDescent="0.2">
      <c r="A35" s="3"/>
      <c r="B35" s="3"/>
      <c r="D35" s="2" t="s">
        <v>60</v>
      </c>
      <c r="E35" s="2">
        <f>AVERAGE(E2:E31)</f>
        <v>8925.2666666666664</v>
      </c>
      <c r="F35" s="2"/>
      <c r="I35" s="2"/>
      <c r="J35" s="19"/>
    </row>
    <row r="36" spans="1:10" x14ac:dyDescent="0.2">
      <c r="A36" s="3"/>
      <c r="B36" s="3"/>
      <c r="D36" s="9" t="s">
        <v>78</v>
      </c>
      <c r="E36" s="10">
        <f>COUNTIF(B:B,"New")</f>
        <v>2</v>
      </c>
      <c r="F36" s="2"/>
      <c r="I36" s="2"/>
      <c r="J36" s="19"/>
    </row>
    <row r="37" spans="1:10" x14ac:dyDescent="0.2">
      <c r="A37" s="3"/>
      <c r="B37" s="3"/>
      <c r="E37" s="2"/>
      <c r="F37" s="2"/>
      <c r="I37" s="2"/>
      <c r="J37" s="19"/>
    </row>
    <row r="38" spans="1:10" x14ac:dyDescent="0.2">
      <c r="A38" s="3"/>
      <c r="B38" s="3"/>
      <c r="D38" t="s">
        <v>66</v>
      </c>
      <c r="E38" s="2"/>
      <c r="F38" s="2"/>
      <c r="I38" s="2"/>
      <c r="J38" s="19"/>
    </row>
    <row r="39" spans="1:10" x14ac:dyDescent="0.2">
      <c r="A39" s="3"/>
      <c r="B39" s="3"/>
      <c r="D39" s="8" t="s">
        <v>67</v>
      </c>
      <c r="E39" s="2"/>
      <c r="F39" s="2"/>
      <c r="I39" s="2"/>
      <c r="J39" s="19"/>
    </row>
    <row r="40" spans="1:10" x14ac:dyDescent="0.2">
      <c r="A40" s="3"/>
      <c r="B40" s="3"/>
      <c r="D40" s="8" t="s">
        <v>65</v>
      </c>
      <c r="E40" s="2"/>
      <c r="F40" s="2"/>
      <c r="I40" s="2"/>
      <c r="J40" s="19"/>
    </row>
    <row r="41" spans="1:10" x14ac:dyDescent="0.2">
      <c r="D41" s="8" t="s">
        <v>71</v>
      </c>
    </row>
  </sheetData>
  <hyperlinks>
    <hyperlink ref="D41" r:id="rId1" xr:uid="{A56EEB45-B1BC-9B48-A248-9B7846F74D2F}"/>
    <hyperlink ref="D40" r:id="rId2" xr:uid="{2356AE0B-49F5-664B-B172-1442011AEDDD}"/>
    <hyperlink ref="D39" r:id="rId3" xr:uid="{2D1E669F-3B44-7B48-93AC-984021461385}"/>
  </hyperlinks>
  <pageMargins left="0.7" right="0.7" top="0.75" bottom="0.75" header="0.3" footer="0.3"/>
  <pageSetup paperSize="9" orientation="portrait" horizontalDpi="0" verticalDpi="0"/>
  <ignoredErrors>
    <ignoredError sqref="F30:I31 F15 F16:I23 F10 F11:G14 F25:I28 F2:I9 G10 F29:I29 G15 F24:I24 I10 I15 I11:I14 H11:H14 H10 H15" calculatedColumn="1"/>
  </ignoredErrors>
  <tableParts count="1">
    <tablePart r:id="rId4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0079-B35A-714E-B7B7-4FFDFF7E2239}">
  <dimension ref="A1:J41"/>
  <sheetViews>
    <sheetView workbookViewId="0">
      <selection activeCell="D11" sqref="D2:E11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9.8320312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0" x14ac:dyDescent="0.2">
      <c r="A2" s="25">
        <v>1</v>
      </c>
      <c r="B2" s="18">
        <v>1</v>
      </c>
      <c r="C2" s="18" t="s">
        <v>7</v>
      </c>
      <c r="D2" s="86" t="s">
        <v>46</v>
      </c>
      <c r="E2" s="12">
        <v>102553</v>
      </c>
      <c r="F2" s="12">
        <f>SUMIFS('Week 20 May 11 - May 17 2020'!F:F,'Week 20 May 11 - May 17 2020'!D:D,'Week 21 May 18 - May 24 2020'!D:D,'Week 20 May 11 - May 17 2020'!C:C,'Week 21 May 18 - May 24 2020'!C:C)+Table361191013555712141752596163656769[[#This Row],[Week Sales]]</f>
        <v>4582670</v>
      </c>
      <c r="G2" s="18" t="str">
        <f>(VLOOKUP(D:D,'Week 20 May 11 - May 17 2020'!D:G,4,FALSE))</f>
        <v>Nintendo</v>
      </c>
      <c r="H2" s="67">
        <f>(VLOOKUP(D:D,'Week 20 May 11 - May 17 2020'!D:H,5,FALSE))</f>
        <v>43910</v>
      </c>
      <c r="I2" s="12">
        <f>_xlfn.IFNA(SUMIFS('Week 20 May 11 - May 17 2020'!E:E,'Week 20 May 11 - May 17 2020'!D:D,'Week 21 May 18 - May 24 2020'!D:D,'Week 20 May 11 - May 17 2020'!C:C,'Week 21 May 18 - May 24 2020'!C:C),"New")</f>
        <v>129659</v>
      </c>
      <c r="J2" s="28">
        <f>IFERROR((E2-I2)/I2,"New")</f>
        <v>-0.20905606244070987</v>
      </c>
    </row>
    <row r="3" spans="1:10" x14ac:dyDescent="0.2">
      <c r="A3" s="25">
        <v>2</v>
      </c>
      <c r="B3" s="18">
        <v>2</v>
      </c>
      <c r="C3" s="18" t="s">
        <v>7</v>
      </c>
      <c r="D3" s="18" t="s">
        <v>45</v>
      </c>
      <c r="E3" s="12">
        <v>11746</v>
      </c>
      <c r="F3" s="12">
        <f>SUMIFS('Week 20 May 11 - May 17 2020'!F:F,'Week 20 May 11 - May 17 2020'!D:D,'Week 21 May 18 - May 24 2020'!D:D,'Week 20 May 11 - May 17 2020'!C:C,'Week 21 May 18 - May 24 2020'!C:C)+Table361191013555712141752596163656769[[#This Row],[Week Sales]]</f>
        <v>917041</v>
      </c>
      <c r="G3" s="18" t="str">
        <f>(VLOOKUP(D:D,'Week 20 May 11 - May 17 2020'!D:G,4,FALSE))</f>
        <v>Nintendo</v>
      </c>
      <c r="H3" s="67">
        <f>(VLOOKUP(D:D,'Week 20 May 11 - May 17 2020'!D:H,5,FALSE))</f>
        <v>43756</v>
      </c>
      <c r="I3" s="12">
        <f>_xlfn.IFNA(SUMIFS('Week 20 May 11 - May 17 2020'!E:E,'Week 20 May 11 - May 17 2020'!D:D,'Week 21 May 18 - May 24 2020'!D:D,'Week 20 May 11 - May 17 2020'!C:C,'Week 21 May 18 - May 24 2020'!C:C),"New")</f>
        <v>21963</v>
      </c>
      <c r="J3" s="28">
        <f t="shared" ref="J3:J31" si="0">IFERROR((E3-I3)/I3,"New")</f>
        <v>-0.46519145836179027</v>
      </c>
    </row>
    <row r="4" spans="1:10" x14ac:dyDescent="0.2">
      <c r="A4" s="25">
        <v>3</v>
      </c>
      <c r="B4" s="18">
        <v>5</v>
      </c>
      <c r="C4" s="18" t="s">
        <v>7</v>
      </c>
      <c r="D4" s="47" t="s">
        <v>10</v>
      </c>
      <c r="E4" s="12">
        <v>10144</v>
      </c>
      <c r="F4" s="12">
        <f>SUMIFS('Week 20 May 11 - May 17 2020'!F:F,'Week 20 May 11 - May 17 2020'!D:D,'Week 21 May 18 - May 24 2020'!D:D,'Week 20 May 11 - May 17 2020'!C:C,'Week 21 May 18 - May 24 2020'!C:C)+Table361191013555712141752596163656769[[#This Row],[Week Sales]]</f>
        <v>3427383</v>
      </c>
      <c r="G4" s="18" t="str">
        <f>(VLOOKUP(D:D,'Week 20 May 11 - May 17 2020'!D:G,4,FALSE))</f>
        <v>Nintendo</v>
      </c>
      <c r="H4" s="67">
        <f>(VLOOKUP(D:D,'Week 20 May 11 - May 17 2020'!D:H,5,FALSE))</f>
        <v>42937</v>
      </c>
      <c r="I4" s="12">
        <f>_xlfn.IFNA(SUMIFS('Week 20 May 11 - May 17 2020'!E:E,'Week 20 May 11 - May 17 2020'!D:D,'Week 21 May 18 - May 24 2020'!D:D,'Week 20 May 11 - May 17 2020'!C:C,'Week 21 May 18 - May 24 2020'!C:C),"New")</f>
        <v>8079</v>
      </c>
      <c r="J4" s="28">
        <f t="shared" si="0"/>
        <v>0.25560094071048395</v>
      </c>
    </row>
    <row r="5" spans="1:10" x14ac:dyDescent="0.2">
      <c r="A5" s="25">
        <v>4</v>
      </c>
      <c r="B5" s="18">
        <v>4</v>
      </c>
      <c r="C5" s="18" t="s">
        <v>7</v>
      </c>
      <c r="D5" s="47" t="s">
        <v>49</v>
      </c>
      <c r="E5" s="12">
        <v>8974</v>
      </c>
      <c r="F5" s="12">
        <f>SUMIFS('Week 20 May 11 - May 17 2020'!F:F,'Week 20 May 11 - May 17 2020'!D:D,'Week 21 May 18 - May 24 2020'!D:D,'Week 20 May 11 - May 17 2020'!C:C,'Week 21 May 18 - May 24 2020'!C:C)+Table361191013555712141752596163656769[[#This Row],[Week Sales]]</f>
        <v>2955429</v>
      </c>
      <c r="G5" s="18" t="str">
        <f>(VLOOKUP(D:D,'Week 20 May 11 - May 17 2020'!D:G,4,FALSE))</f>
        <v>Nintendo</v>
      </c>
      <c r="H5" s="67">
        <f>(VLOOKUP(D:D,'Week 20 May 11 - May 17 2020'!D:H,5,FALSE))</f>
        <v>42853</v>
      </c>
      <c r="I5" s="12">
        <f>_xlfn.IFNA(SUMIFS('Week 20 May 11 - May 17 2020'!E:E,'Week 20 May 11 - May 17 2020'!D:D,'Week 21 May 18 - May 24 2020'!D:D,'Week 20 May 11 - May 17 2020'!C:C,'Week 21 May 18 - May 24 2020'!C:C),"New")</f>
        <v>10286</v>
      </c>
      <c r="J5" s="28">
        <f t="shared" si="0"/>
        <v>-0.12755201244409878</v>
      </c>
    </row>
    <row r="6" spans="1:10" x14ac:dyDescent="0.2">
      <c r="A6" s="25">
        <v>5</v>
      </c>
      <c r="B6" s="18">
        <v>8</v>
      </c>
      <c r="C6" s="18" t="s">
        <v>7</v>
      </c>
      <c r="D6" s="47" t="s">
        <v>12</v>
      </c>
      <c r="E6" s="12">
        <v>6107</v>
      </c>
      <c r="F6" s="12">
        <f>SUMIFS('Week 20 May 11 - May 17 2020'!F:F,'Week 20 May 11 - May 17 2020'!D:D,'Week 21 May 18 - May 24 2020'!D:D,'Week 20 May 11 - May 17 2020'!C:C,'Week 21 May 18 - May 24 2020'!C:C)+Table361191013555712141752596163656769[[#This Row],[Week Sales]]</f>
        <v>1393109</v>
      </c>
      <c r="G6" s="18" t="str">
        <f>(VLOOKUP(D:D,'Week 20 May 11 - May 17 2020'!D:G,4,FALSE))</f>
        <v>Microsoft</v>
      </c>
      <c r="H6" s="67">
        <f>(VLOOKUP(D:D,'Week 20 May 11 - May 17 2020'!D:H,5,FALSE))</f>
        <v>43272</v>
      </c>
      <c r="I6" s="12">
        <f>_xlfn.IFNA(SUMIFS('Week 20 May 11 - May 17 2020'!E:E,'Week 20 May 11 - May 17 2020'!D:D,'Week 21 May 18 - May 24 2020'!D:D,'Week 20 May 11 - May 17 2020'!C:C,'Week 21 May 18 - May 24 2020'!C:C),"New")</f>
        <v>6063</v>
      </c>
      <c r="J6" s="28">
        <f t="shared" si="0"/>
        <v>7.2571334322942436E-3</v>
      </c>
    </row>
    <row r="7" spans="1:10" x14ac:dyDescent="0.2">
      <c r="A7" s="25">
        <v>6</v>
      </c>
      <c r="B7" s="18">
        <v>3</v>
      </c>
      <c r="C7" s="18" t="s">
        <v>8</v>
      </c>
      <c r="D7" s="47" t="s">
        <v>234</v>
      </c>
      <c r="E7" s="12">
        <v>5902</v>
      </c>
      <c r="F7" s="12">
        <f>SUMIFS('Week 20 May 11 - May 17 2020'!F:F,'Week 20 May 11 - May 17 2020'!D:D,'Week 21 May 18 - May 24 2020'!D:D,'Week 20 May 11 - May 17 2020'!C:C,'Week 21 May 18 - May 24 2020'!C:C)+Table361191013555712141752596163656769[[#This Row],[Week Sales]]</f>
        <v>914239</v>
      </c>
      <c r="G7" s="18" t="str">
        <f>(VLOOKUP(D:D,'Week 20 May 11 - May 17 2020'!D:G,4,FALSE))</f>
        <v>Square Enix</v>
      </c>
      <c r="H7" s="67">
        <f>(VLOOKUP(D:D,'Week 20 May 11 - May 17 2020'!D:H,5,FALSE))</f>
        <v>43931</v>
      </c>
      <c r="I7" s="12">
        <f>_xlfn.IFNA(SUMIFS('Week 20 May 11 - May 17 2020'!E:E,'Week 20 May 11 - May 17 2020'!D:D,'Week 21 May 18 - May 24 2020'!D:D,'Week 20 May 11 - May 17 2020'!C:C,'Week 21 May 18 - May 24 2020'!C:C),"New")</f>
        <v>11229</v>
      </c>
      <c r="J7" s="28">
        <f t="shared" si="0"/>
        <v>-0.47439665152729538</v>
      </c>
    </row>
    <row r="8" spans="1:10" x14ac:dyDescent="0.2">
      <c r="A8" s="25">
        <v>7</v>
      </c>
      <c r="B8" s="18">
        <v>6</v>
      </c>
      <c r="C8" s="18" t="s">
        <v>7</v>
      </c>
      <c r="D8" s="47" t="s">
        <v>52</v>
      </c>
      <c r="E8" s="12">
        <v>5892</v>
      </c>
      <c r="F8" s="12">
        <f>SUMIFS('Week 20 May 11 - May 17 2020'!F:F,'Week 20 May 11 - May 17 2020'!D:D,'Week 21 May 18 - May 24 2020'!D:D,'Week 20 May 11 - May 17 2020'!C:C,'Week 21 May 18 - May 24 2020'!C:C)+Table361191013555712141752596163656769[[#This Row],[Week Sales]]</f>
        <v>3703810</v>
      </c>
      <c r="G8" s="18" t="str">
        <f>(VLOOKUP(D:D,'Week 20 May 11 - May 17 2020'!D:G,4,FALSE))</f>
        <v>Nintendo</v>
      </c>
      <c r="H8" s="67">
        <f>(VLOOKUP(D:D,'Week 20 May 11 - May 17 2020'!D:H,5,FALSE))</f>
        <v>43441</v>
      </c>
      <c r="I8" s="12">
        <f>_xlfn.IFNA(SUMIFS('Week 20 May 11 - May 17 2020'!E:E,'Week 20 May 11 - May 17 2020'!D:D,'Week 21 May 18 - May 24 2020'!D:D,'Week 20 May 11 - May 17 2020'!C:C,'Week 21 May 18 - May 24 2020'!C:C),"New")</f>
        <v>7216</v>
      </c>
      <c r="J8" s="28">
        <f t="shared" si="0"/>
        <v>-0.18348115299334811</v>
      </c>
    </row>
    <row r="9" spans="1:10" x14ac:dyDescent="0.2">
      <c r="A9" s="25">
        <v>8</v>
      </c>
      <c r="B9" s="18">
        <v>7</v>
      </c>
      <c r="C9" s="18" t="s">
        <v>7</v>
      </c>
      <c r="D9" s="47" t="s">
        <v>16</v>
      </c>
      <c r="E9" s="12">
        <v>5678</v>
      </c>
      <c r="F9" s="12">
        <f>SUMIFS('Week 20 May 11 - May 17 2020'!F:F,'Week 20 May 11 - May 17 2020'!D:D,'Week 21 May 18 - May 24 2020'!D:D,'Week 20 May 11 - May 17 2020'!C:C,'Week 21 May 18 - May 24 2020'!C:C)+Table361191013555712141752596163656769[[#This Row],[Week Sales]]</f>
        <v>234735</v>
      </c>
      <c r="G9" s="18" t="str">
        <f>(VLOOKUP(D:D,'Week 20 May 11 - May 17 2020'!D:G,4,FALSE))</f>
        <v>Nintendo</v>
      </c>
      <c r="H9" s="67">
        <f>(VLOOKUP(D:D,'Week 20 May 11 - May 17 2020'!D:H,5,FALSE))</f>
        <v>43826</v>
      </c>
      <c r="I9" s="12">
        <f>_xlfn.IFNA(SUMIFS('Week 20 May 11 - May 17 2020'!E:E,'Week 20 May 11 - May 17 2020'!D:D,'Week 21 May 18 - May 24 2020'!D:D,'Week 20 May 11 - May 17 2020'!C:C,'Week 21 May 18 - May 24 2020'!C:C),"New")</f>
        <v>6588</v>
      </c>
      <c r="J9" s="28">
        <f t="shared" si="0"/>
        <v>-0.13812993321190042</v>
      </c>
    </row>
    <row r="10" spans="1:10" x14ac:dyDescent="0.2">
      <c r="A10" s="25">
        <v>9</v>
      </c>
      <c r="B10" s="18">
        <v>11</v>
      </c>
      <c r="C10" s="18" t="s">
        <v>7</v>
      </c>
      <c r="D10" s="47" t="s">
        <v>13</v>
      </c>
      <c r="E10" s="12">
        <v>4830</v>
      </c>
      <c r="F10" s="12">
        <f>SUMIFS('Week 20 May 11 - May 17 2020'!F:F,'Week 20 May 11 - May 17 2020'!D:D,'Week 21 May 18 - May 24 2020'!D:D,'Week 20 May 11 - May 17 2020'!C:C,'Week 21 May 18 - May 24 2020'!C:C)+Table361191013555712141752596163656769[[#This Row],[Week Sales]]</f>
        <v>1451093</v>
      </c>
      <c r="G10" s="18" t="str">
        <f>(VLOOKUP(D:D,'Week 20 May 11 - May 17 2020'!D:G,4,FALSE))</f>
        <v>Nintendo</v>
      </c>
      <c r="H10" s="67">
        <f>(VLOOKUP(D:D,'Week 20 May 11 - May 17 2020'!D:H,5,FALSE))</f>
        <v>43378</v>
      </c>
      <c r="I10" s="12">
        <f>_xlfn.IFNA(SUMIFS('Week 20 May 11 - May 17 2020'!E:E,'Week 20 May 11 - May 17 2020'!D:D,'Week 21 May 18 - May 24 2020'!D:D,'Week 20 May 11 - May 17 2020'!C:C,'Week 21 May 18 - May 24 2020'!C:C),"New")</f>
        <v>5424</v>
      </c>
      <c r="J10" s="20">
        <f t="shared" si="0"/>
        <v>-0.10951327433628319</v>
      </c>
    </row>
    <row r="11" spans="1:10" x14ac:dyDescent="0.2">
      <c r="A11" s="25">
        <v>10</v>
      </c>
      <c r="B11" s="18">
        <v>13</v>
      </c>
      <c r="C11" s="18" t="s">
        <v>7</v>
      </c>
      <c r="D11" s="47" t="s">
        <v>62</v>
      </c>
      <c r="E11" s="12">
        <v>4497</v>
      </c>
      <c r="F11" s="12">
        <f>SUMIFS('Week 20 May 11 - May 17 2020'!F:F,'Week 20 May 11 - May 17 2020'!D:D,'Week 21 May 18 - May 24 2020'!D:D,'Week 20 May 11 - May 17 2020'!C:C,'Week 21 May 18 - May 24 2020'!C:C)+Table361191013555712141752596163656769[[#This Row],[Week Sales]]</f>
        <v>3602252</v>
      </c>
      <c r="G11" s="18" t="str">
        <f>(VLOOKUP(D:D,'Week 20 May 11 - May 17 2020'!D:G,4,FALSE))</f>
        <v>The Pokemon Company</v>
      </c>
      <c r="H11" s="67">
        <f>(VLOOKUP(D:D,'Week 20 May 11 - May 17 2020'!D:H,5,FALSE))</f>
        <v>43784</v>
      </c>
      <c r="I11" s="12">
        <f>_xlfn.IFNA(SUMIFS('Week 20 May 11 - May 17 2020'!E:E,'Week 20 May 11 - May 17 2020'!D:D,'Week 21 May 18 - May 24 2020'!D:D,'Week 20 May 11 - May 17 2020'!C:C,'Week 21 May 18 - May 24 2020'!C:C),"New")</f>
        <v>4047</v>
      </c>
      <c r="J11" s="28">
        <f t="shared" si="0"/>
        <v>0.1111934766493699</v>
      </c>
    </row>
    <row r="12" spans="1:10" x14ac:dyDescent="0.2">
      <c r="A12" s="13">
        <v>11</v>
      </c>
      <c r="B12" s="9" t="s">
        <v>36</v>
      </c>
      <c r="C12" s="9" t="s">
        <v>8</v>
      </c>
      <c r="D12" s="46" t="s">
        <v>247</v>
      </c>
      <c r="E12" s="10">
        <v>4258</v>
      </c>
      <c r="F12" s="10">
        <f>SUMIFS('Week 20 May 11 - May 17 2020'!F:F,'Week 20 May 11 - May 17 2020'!D:D,'Week 21 May 18 - May 24 2020'!D:D,'Week 20 May 11 - May 17 2020'!C:C,'Week 21 May 18 - May 24 2020'!C:C)+Table361191013555712141752596163656769[[#This Row],[Week Sales]]</f>
        <v>4258</v>
      </c>
      <c r="G12" s="9" t="s">
        <v>95</v>
      </c>
      <c r="H12" s="14">
        <v>43972</v>
      </c>
      <c r="I12" s="10" t="s">
        <v>36</v>
      </c>
      <c r="J12" s="92" t="str">
        <f t="shared" si="0"/>
        <v>New</v>
      </c>
    </row>
    <row r="13" spans="1:10" x14ac:dyDescent="0.2">
      <c r="A13" s="25">
        <v>12</v>
      </c>
      <c r="B13" s="18">
        <v>10</v>
      </c>
      <c r="C13" s="18" t="s">
        <v>8</v>
      </c>
      <c r="D13" s="47" t="s">
        <v>237</v>
      </c>
      <c r="E13" s="12">
        <v>4085</v>
      </c>
      <c r="F13" s="12">
        <f>SUMIFS('Week 20 May 11 - May 17 2020'!F:F,'Week 20 May 11 - May 17 2020'!D:D,'Week 21 May 18 - May 24 2020'!D:D,'Week 20 May 11 - May 17 2020'!C:C,'Week 21 May 18 - May 24 2020'!C:C)+Table361191013555712141752596163656769[[#This Row],[Week Sales]]</f>
        <v>126838</v>
      </c>
      <c r="G13" s="18" t="str">
        <f>(VLOOKUP(D:D,'Week 20 May 11 - May 17 2020'!D:G,4,FALSE))</f>
        <v>Square Enix</v>
      </c>
      <c r="H13" s="67">
        <f>(VLOOKUP(D:D,'Week 20 May 11 - May 17 2020'!D:H,5,FALSE))</f>
        <v>43945</v>
      </c>
      <c r="I13" s="12">
        <f>_xlfn.IFNA(SUMIFS('Week 20 May 11 - May 17 2020'!E:E,'Week 20 May 11 - May 17 2020'!D:D,'Week 21 May 18 - May 24 2020'!D:D,'Week 20 May 11 - May 17 2020'!C:C,'Week 21 May 18 - May 24 2020'!C:C),"New")</f>
        <v>5467</v>
      </c>
      <c r="J13" s="28">
        <f t="shared" si="0"/>
        <v>-0.2527894640570697</v>
      </c>
    </row>
    <row r="14" spans="1:10" x14ac:dyDescent="0.2">
      <c r="A14" s="25">
        <v>13</v>
      </c>
      <c r="B14" s="18">
        <v>12</v>
      </c>
      <c r="C14" s="18" t="s">
        <v>7</v>
      </c>
      <c r="D14" s="47" t="s">
        <v>237</v>
      </c>
      <c r="E14" s="12">
        <v>3745</v>
      </c>
      <c r="F14" s="12">
        <f>SUMIFS('Week 20 May 11 - May 17 2020'!F:F,'Week 20 May 11 - May 17 2020'!D:D,'Week 21 May 18 - May 24 2020'!D:D,'Week 20 May 11 - May 17 2020'!C:C,'Week 21 May 18 - May 24 2020'!C:C)+Table361191013555712141752596163656769[[#This Row],[Week Sales]]</f>
        <v>93813</v>
      </c>
      <c r="G14" s="18" t="str">
        <f>(VLOOKUP(D:D,'Week 20 May 11 - May 17 2020'!D:G,4,FALSE))</f>
        <v>Square Enix</v>
      </c>
      <c r="H14" s="67">
        <f>(VLOOKUP(D:D,'Week 20 May 11 - May 17 2020'!D:H,5,FALSE))</f>
        <v>43945</v>
      </c>
      <c r="I14" s="12">
        <f>_xlfn.IFNA(SUMIFS('Week 20 May 11 - May 17 2020'!E:E,'Week 20 May 11 - May 17 2020'!D:D,'Week 21 May 18 - May 24 2020'!D:D,'Week 20 May 11 - May 17 2020'!C:C,'Week 21 May 18 - May 24 2020'!C:C),"New")</f>
        <v>4951</v>
      </c>
      <c r="J14" s="28">
        <f t="shared" si="0"/>
        <v>-0.24358715411028076</v>
      </c>
    </row>
    <row r="15" spans="1:10" x14ac:dyDescent="0.2">
      <c r="A15" s="25">
        <v>14</v>
      </c>
      <c r="B15" s="26">
        <v>19</v>
      </c>
      <c r="C15" s="18" t="s">
        <v>8</v>
      </c>
      <c r="D15" s="86" t="s">
        <v>187</v>
      </c>
      <c r="E15" s="12">
        <v>3041</v>
      </c>
      <c r="F15" s="12">
        <f>SUMIFS('Week 20 May 11 - May 17 2020'!F:F,'Week 20 May 11 - May 17 2020'!D:D,'Week 21 May 18 - May 24 2020'!D:D,'Week 20 May 11 - May 17 2020'!C:C,'Week 21 May 18 - May 24 2020'!C:C)+Table361191013555712141752596163656769[[#This Row],[Week Sales]]</f>
        <v>54226</v>
      </c>
      <c r="G15" s="18" t="str">
        <f>(VLOOKUP(D:D,'Week 20 May 11 - May 17 2020'!D:G,4,FALSE))</f>
        <v>Rockstar Games</v>
      </c>
      <c r="H15" s="67">
        <f>(VLOOKUP(D:D,'Week 20 May 11 - May 17 2020'!D:H,5,FALSE))</f>
        <v>43440</v>
      </c>
      <c r="I15" s="12">
        <f>_xlfn.IFNA(SUMIFS('Week 20 May 11 - May 17 2020'!E:E,'Week 20 May 11 - May 17 2020'!D:D,'Week 21 May 18 - May 24 2020'!D:D,'Week 20 May 11 - May 17 2020'!C:C,'Week 21 May 18 - May 24 2020'!C:C),"New")</f>
        <v>2963</v>
      </c>
      <c r="J15" s="20">
        <f t="shared" si="0"/>
        <v>2.632467094161323E-2</v>
      </c>
    </row>
    <row r="16" spans="1:10" x14ac:dyDescent="0.2">
      <c r="A16" s="25">
        <v>15</v>
      </c>
      <c r="B16" s="18">
        <v>16</v>
      </c>
      <c r="C16" s="18" t="s">
        <v>7</v>
      </c>
      <c r="D16" s="47" t="s">
        <v>39</v>
      </c>
      <c r="E16" s="12">
        <v>2972</v>
      </c>
      <c r="F16" s="12">
        <f>SUMIFS('Week 20 May 11 - May 17 2020'!F:F,'Week 20 May 11 - May 17 2020'!D:D,'Week 21 May 18 - May 24 2020'!D:D,'Week 20 May 11 - May 17 2020'!C:C,'Week 21 May 18 - May 24 2020'!C:C)+Table361191013555712141752596163656769[[#This Row],[Week Sales]]</f>
        <v>1587390</v>
      </c>
      <c r="G16" s="18" t="str">
        <f>(VLOOKUP(D:D,'Week 20 May 11 - May 17 2020'!D:G,4,FALSE))</f>
        <v>Nintendo</v>
      </c>
      <c r="H16" s="67">
        <f>(VLOOKUP(D:D,'Week 20 May 11 - May 17 2020'!D:H,5,FALSE))</f>
        <v>42797</v>
      </c>
      <c r="I16" s="12">
        <f>_xlfn.IFNA(SUMIFS('Week 20 May 11 - May 17 2020'!E:E,'Week 20 May 11 - May 17 2020'!D:D,'Week 21 May 18 - May 24 2020'!D:D,'Week 20 May 11 - May 17 2020'!C:C,'Week 21 May 18 - May 24 2020'!C:C),"New")</f>
        <v>3327</v>
      </c>
      <c r="J16" s="28">
        <f t="shared" si="0"/>
        <v>-0.10670273519687407</v>
      </c>
    </row>
    <row r="17" spans="1:10" x14ac:dyDescent="0.2">
      <c r="A17" s="25">
        <v>16</v>
      </c>
      <c r="B17" s="18">
        <v>18</v>
      </c>
      <c r="C17" s="18" t="s">
        <v>7</v>
      </c>
      <c r="D17" s="47" t="s">
        <v>19</v>
      </c>
      <c r="E17" s="12">
        <v>2810</v>
      </c>
      <c r="F17" s="12">
        <f>SUMIFS('Week 20 May 11 - May 17 2020'!F:F,'Week 20 May 11 - May 17 2020'!D:D,'Week 21 May 18 - May 24 2020'!D:D,'Week 20 May 11 - May 17 2020'!C:C,'Week 21 May 18 - May 24 2020'!C:C)+Table361191013555712141752596163656769[[#This Row],[Week Sales]]</f>
        <v>915893</v>
      </c>
      <c r="G17" s="18" t="str">
        <f>(VLOOKUP(D:D,'Week 20 May 11 - May 17 2020'!D:G,4,FALSE))</f>
        <v>Nintendo</v>
      </c>
      <c r="H17" s="67">
        <f>(VLOOKUP(D:D,'Week 20 May 11 - May 17 2020'!D:H,5,FALSE))</f>
        <v>43644</v>
      </c>
      <c r="I17" s="12">
        <f>_xlfn.IFNA(SUMIFS('Week 20 May 11 - May 17 2020'!E:E,'Week 20 May 11 - May 17 2020'!D:D,'Week 21 May 18 - May 24 2020'!D:D,'Week 20 May 11 - May 17 2020'!C:C,'Week 21 May 18 - May 24 2020'!C:C),"New")</f>
        <v>3155</v>
      </c>
      <c r="J17" s="28">
        <f t="shared" si="0"/>
        <v>-0.10935023771790808</v>
      </c>
    </row>
    <row r="18" spans="1:10" x14ac:dyDescent="0.2">
      <c r="A18" s="25">
        <v>17</v>
      </c>
      <c r="B18" s="18">
        <v>9</v>
      </c>
      <c r="C18" s="18" t="s">
        <v>7</v>
      </c>
      <c r="D18" s="47" t="s">
        <v>245</v>
      </c>
      <c r="E18" s="12">
        <v>2774</v>
      </c>
      <c r="F18" s="12">
        <f>SUMIFS('Week 20 May 11 - May 17 2020'!F:F,'Week 20 May 11 - May 17 2020'!D:D,'Week 21 May 18 - May 24 2020'!D:D,'Week 20 May 11 - May 17 2020'!C:C,'Week 21 May 18 - May 24 2020'!C:C)+Table361191013555712141752596163656769[[#This Row],[Week Sales]]</f>
        <v>8431</v>
      </c>
      <c r="G18" s="18" t="str">
        <f>(VLOOKUP(D:D,'Week 20 May 11 - May 17 2020'!D:G,4,FALSE))</f>
        <v>Square Enix</v>
      </c>
      <c r="H18" s="67">
        <f>(VLOOKUP(D:D,'Week 20 May 11 - May 17 2020'!D:H,5,FALSE))</f>
        <v>43965</v>
      </c>
      <c r="I18" s="12">
        <f>_xlfn.IFNA(SUMIFS('Week 20 May 11 - May 17 2020'!E:E,'Week 20 May 11 - May 17 2020'!D:D,'Week 21 May 18 - May 24 2020'!D:D,'Week 20 May 11 - May 17 2020'!C:C,'Week 21 May 18 - May 24 2020'!C:C),"New")</f>
        <v>5657</v>
      </c>
      <c r="J18" s="28">
        <f t="shared" si="0"/>
        <v>-0.50963408166872903</v>
      </c>
    </row>
    <row r="19" spans="1:10" x14ac:dyDescent="0.2">
      <c r="A19" s="25">
        <v>18</v>
      </c>
      <c r="B19" s="18">
        <v>23</v>
      </c>
      <c r="C19" s="18" t="s">
        <v>8</v>
      </c>
      <c r="D19" s="47" t="s">
        <v>246</v>
      </c>
      <c r="E19" s="12">
        <v>2634</v>
      </c>
      <c r="F19" s="12">
        <f>SUMIFS('Week 20 May 11 - May 17 2020'!F:F,'Week 20 May 11 - May 17 2020'!D:D,'Week 21 May 18 - May 24 2020'!D:D,'Week 20 May 11 - May 17 2020'!C:C,'Week 21 May 18 - May 24 2020'!C:C)+Table361191013555712141752596163656769[[#This Row],[Week Sales]]</f>
        <v>75856</v>
      </c>
      <c r="G19" s="18" t="str">
        <f>(VLOOKUP(D:D,'Week 20 May 11 - May 17 2020'!D:G,4,FALSE))</f>
        <v>Sony</v>
      </c>
      <c r="H19" s="67">
        <f>(VLOOKUP(D:D,'Week 20 May 11 - May 17 2020'!D:H,5,FALSE))</f>
        <v>43307</v>
      </c>
      <c r="I19" s="12">
        <f>_xlfn.IFNA(SUMIFS('Week 20 May 11 - May 17 2020'!E:E,'Week 20 May 11 - May 17 2020'!D:D,'Week 21 May 18 - May 24 2020'!D:D,'Week 20 May 11 - May 17 2020'!C:C,'Week 21 May 18 - May 24 2020'!C:C),"New")</f>
        <v>2034</v>
      </c>
      <c r="J19" s="28">
        <f t="shared" si="0"/>
        <v>0.29498525073746312</v>
      </c>
    </row>
    <row r="20" spans="1:10" x14ac:dyDescent="0.2">
      <c r="A20" s="25">
        <v>19</v>
      </c>
      <c r="B20" s="18">
        <v>17</v>
      </c>
      <c r="C20" s="18" t="s">
        <v>7</v>
      </c>
      <c r="D20" s="47" t="s">
        <v>17</v>
      </c>
      <c r="E20" s="12">
        <v>2471</v>
      </c>
      <c r="F20" s="12">
        <f>SUMIFS('Week 20 May 11 - May 17 2020'!F:F,'Week 20 May 11 - May 17 2020'!D:D,'Week 21 May 18 - May 24 2020'!D:D,'Week 20 May 11 - May 17 2020'!C:C,'Week 21 May 18 - May 24 2020'!C:C)+Table361191013555712141752596163656769[[#This Row],[Week Sales]]</f>
        <v>844059</v>
      </c>
      <c r="G20" s="18" t="str">
        <f>(VLOOKUP(D:D,'Week 20 May 11 - May 17 2020'!D:G,4,FALSE))</f>
        <v>Nintendo</v>
      </c>
      <c r="H20" s="67">
        <f>(VLOOKUP(D:D,'Week 20 May 11 - May 17 2020'!D:H,5,FALSE))</f>
        <v>43476</v>
      </c>
      <c r="I20" s="12">
        <f>_xlfn.IFNA(SUMIFS('Week 20 May 11 - May 17 2020'!E:E,'Week 20 May 11 - May 17 2020'!D:D,'Week 21 May 18 - May 24 2020'!D:D,'Week 20 May 11 - May 17 2020'!C:C,'Week 21 May 18 - May 24 2020'!C:C),"New")</f>
        <v>3174</v>
      </c>
      <c r="J20" s="28">
        <f t="shared" si="0"/>
        <v>-0.22148708254568367</v>
      </c>
    </row>
    <row r="21" spans="1:10" x14ac:dyDescent="0.2">
      <c r="A21" s="25">
        <v>20</v>
      </c>
      <c r="B21" s="18">
        <v>14</v>
      </c>
      <c r="C21" s="18" t="s">
        <v>8</v>
      </c>
      <c r="D21" s="47" t="s">
        <v>245</v>
      </c>
      <c r="E21" s="12">
        <v>2127</v>
      </c>
      <c r="F21" s="12">
        <f>SUMIFS('Week 20 May 11 - May 17 2020'!F:F,'Week 20 May 11 - May 17 2020'!D:D,'Week 21 May 18 - May 24 2020'!D:D,'Week 20 May 11 - May 17 2020'!C:C,'Week 21 May 18 - May 24 2020'!C:C)+Table361191013555712141752596163656769[[#This Row],[Week Sales]]</f>
        <v>5994</v>
      </c>
      <c r="G21" s="18" t="str">
        <f>(VLOOKUP(D:D,'Week 20 May 11 - May 17 2020'!D:G,4,FALSE))</f>
        <v>Square Enix</v>
      </c>
      <c r="H21" s="67">
        <f>(VLOOKUP(D:D,'Week 20 May 11 - May 17 2020'!D:H,5,FALSE))</f>
        <v>43965</v>
      </c>
      <c r="I21" s="12">
        <f>_xlfn.IFNA(SUMIFS('Week 20 May 11 - May 17 2020'!E:E,'Week 20 May 11 - May 17 2020'!D:D,'Week 21 May 18 - May 24 2020'!D:D,'Week 20 May 11 - May 17 2020'!C:C,'Week 21 May 18 - May 24 2020'!C:C),"New")</f>
        <v>3867</v>
      </c>
      <c r="J21" s="28">
        <f t="shared" si="0"/>
        <v>-0.44996121024049651</v>
      </c>
    </row>
    <row r="22" spans="1:10" x14ac:dyDescent="0.2">
      <c r="A22" s="25">
        <v>21</v>
      </c>
      <c r="B22" s="18">
        <v>20</v>
      </c>
      <c r="C22" s="18" t="s">
        <v>8</v>
      </c>
      <c r="D22" s="47" t="s">
        <v>99</v>
      </c>
      <c r="E22" s="12">
        <v>1998</v>
      </c>
      <c r="F22" s="12">
        <f>SUMIFS('Week 20 May 11 - May 17 2020'!F:F,'Week 20 May 11 - May 17 2020'!D:D,'Week 21 May 18 - May 24 2020'!D:D,'Week 20 May 11 - May 17 2020'!C:C,'Week 21 May 18 - May 24 2020'!C:C)+Table361191013555712141752596163656769[[#This Row],[Week Sales]]</f>
        <v>471927</v>
      </c>
      <c r="G22" s="18" t="str">
        <f>(VLOOKUP(D:D,'Week 20 May 11 - May 17 2020'!D:G,4,FALSE))</f>
        <v>Capcom</v>
      </c>
      <c r="H22" s="67">
        <f>(VLOOKUP(D:D,'Week 20 May 11 - May 17 2020'!D:H,5,FALSE))</f>
        <v>43714</v>
      </c>
      <c r="I22" s="12">
        <f>_xlfn.IFNA(SUMIFS('Week 20 May 11 - May 17 2020'!E:E,'Week 20 May 11 - May 17 2020'!D:D,'Week 21 May 18 - May 24 2020'!D:D,'Week 20 May 11 - May 17 2020'!C:C,'Week 21 May 18 - May 24 2020'!C:C),"New")</f>
        <v>2596</v>
      </c>
      <c r="J22" s="28">
        <f t="shared" si="0"/>
        <v>-0.23035439137134053</v>
      </c>
    </row>
    <row r="23" spans="1:10" x14ac:dyDescent="0.2">
      <c r="A23" s="25">
        <v>22</v>
      </c>
      <c r="B23" s="18">
        <v>25</v>
      </c>
      <c r="C23" s="18" t="s">
        <v>7</v>
      </c>
      <c r="D23" s="47" t="s">
        <v>79</v>
      </c>
      <c r="E23" s="12">
        <v>1984</v>
      </c>
      <c r="F23" s="12">
        <f>SUMIFS('Week 20 May 11 - May 17 2020'!F:F,'Week 20 May 11 - May 17 2020'!D:D,'Week 21 May 18 - May 24 2020'!D:D,'Week 20 May 11 - May 17 2020'!C:C,'Week 21 May 18 - May 24 2020'!C:C)+Table361191013555712141752596163656769[[#This Row],[Week Sales]]</f>
        <v>645185</v>
      </c>
      <c r="G23" s="18" t="str">
        <f>(VLOOKUP(D:D,'Week 20 May 11 - May 17 2020'!D:G,4,FALSE))</f>
        <v>Nintendo</v>
      </c>
      <c r="H23" s="67">
        <f>(VLOOKUP(D:D,'Week 20 May 11 - May 17 2020'!D:H,5,FALSE))</f>
        <v>43769</v>
      </c>
      <c r="I23" s="12">
        <f>_xlfn.IFNA(SUMIFS('Week 20 May 11 - May 17 2020'!E:E,'Week 20 May 11 - May 17 2020'!D:D,'Week 21 May 18 - May 24 2020'!D:D,'Week 20 May 11 - May 17 2020'!C:C,'Week 21 May 18 - May 24 2020'!C:C),"New")</f>
        <v>1927</v>
      </c>
      <c r="J23" s="28">
        <f t="shared" si="0"/>
        <v>2.9579657498702647E-2</v>
      </c>
    </row>
    <row r="24" spans="1:10" x14ac:dyDescent="0.2">
      <c r="A24" s="13">
        <v>23</v>
      </c>
      <c r="B24" s="9" t="s">
        <v>36</v>
      </c>
      <c r="C24" s="9" t="s">
        <v>7</v>
      </c>
      <c r="D24" s="46" t="s">
        <v>248</v>
      </c>
      <c r="E24" s="10">
        <v>1898</v>
      </c>
      <c r="F24" s="10">
        <f>SUMIFS('Week 20 May 11 - May 17 2020'!F:F,'Week 20 May 11 - May 17 2020'!D:D,'Week 21 May 18 - May 24 2020'!D:D,'Week 20 May 11 - May 17 2020'!C:C,'Week 21 May 18 - May 24 2020'!C:C)+Table361191013555712141752596163656769[[#This Row],[Week Sales]]</f>
        <v>1898</v>
      </c>
      <c r="G24" s="9" t="s">
        <v>95</v>
      </c>
      <c r="H24" s="14">
        <v>43972</v>
      </c>
      <c r="I24" s="10" t="s">
        <v>36</v>
      </c>
      <c r="J24" s="92" t="str">
        <f t="shared" si="0"/>
        <v>New</v>
      </c>
    </row>
    <row r="25" spans="1:10" x14ac:dyDescent="0.2">
      <c r="A25" s="25">
        <v>24</v>
      </c>
      <c r="B25" s="18">
        <v>21</v>
      </c>
      <c r="C25" s="18" t="s">
        <v>7</v>
      </c>
      <c r="D25" s="47" t="s">
        <v>209</v>
      </c>
      <c r="E25" s="12">
        <v>1839</v>
      </c>
      <c r="F25" s="12">
        <f>SUMIFS('Week 20 May 11 - May 17 2020'!F:F,'Week 20 May 11 - May 17 2020'!D:D,'Week 21 May 18 - May 24 2020'!D:D,'Week 20 May 11 - May 17 2020'!C:C,'Week 21 May 18 - May 24 2020'!C:C)+Table361191013555712141752596163656769[[#This Row],[Week Sales]]</f>
        <v>253399</v>
      </c>
      <c r="G25" s="18" t="str">
        <f>(VLOOKUP(D:D,'Week 20 May 11 - May 17 2020'!D:G,4,FALSE))</f>
        <v>The Pokemon Company</v>
      </c>
      <c r="H25" s="67">
        <f>(VLOOKUP(D:D,'Week 20 May 11 - May 17 2020'!D:H,5,FALSE))</f>
        <v>43896</v>
      </c>
      <c r="I25" s="12">
        <f>_xlfn.IFNA(SUMIFS('Week 20 May 11 - May 17 2020'!E:E,'Week 20 May 11 - May 17 2020'!D:D,'Week 21 May 18 - May 24 2020'!D:D,'Week 20 May 11 - May 17 2020'!C:C,'Week 21 May 18 - May 24 2020'!C:C),"New")</f>
        <v>2137</v>
      </c>
      <c r="J25" s="28">
        <f t="shared" si="0"/>
        <v>-0.13944782405240991</v>
      </c>
    </row>
    <row r="26" spans="1:10" x14ac:dyDescent="0.2">
      <c r="A26" s="25">
        <v>25</v>
      </c>
      <c r="B26" s="18">
        <v>24</v>
      </c>
      <c r="C26" s="18" t="s">
        <v>222</v>
      </c>
      <c r="D26" s="47" t="s">
        <v>223</v>
      </c>
      <c r="E26" s="12">
        <v>1832</v>
      </c>
      <c r="F26" s="12">
        <f>SUMIFS('Week 20 May 11 - May 17 2020'!F:F,'Week 20 May 11 - May 17 2020'!D:D,'Week 21 May 18 - May 24 2020'!D:D,'Week 20 May 11 - May 17 2020'!C:C,'Week 21 May 18 - May 24 2020'!C:C)+Table361191013555712141752596163656769[[#This Row],[Week Sales]]</f>
        <v>506768</v>
      </c>
      <c r="G26" s="18" t="str">
        <f>(VLOOKUP(D:D,'Week 20 May 11 - May 17 2020'!D:G,4,FALSE))</f>
        <v>Nintendo</v>
      </c>
      <c r="H26" s="67">
        <f>(VLOOKUP(D:D,'Week 20 May 11 - May 17 2020'!D:H,5,FALSE))</f>
        <v>42697</v>
      </c>
      <c r="I26" s="12">
        <f>_xlfn.IFNA(SUMIFS('Week 20 May 11 - May 17 2020'!E:E,'Week 20 May 11 - May 17 2020'!D:D,'Week 21 May 18 - May 24 2020'!D:D,'Week 20 May 11 - May 17 2020'!C:C,'Week 21 May 18 - May 24 2020'!C:C),"New")</f>
        <v>1930</v>
      </c>
      <c r="J26" s="28">
        <f t="shared" si="0"/>
        <v>-5.0777202072538857E-2</v>
      </c>
    </row>
    <row r="27" spans="1:10" x14ac:dyDescent="0.2">
      <c r="A27" s="25">
        <v>26</v>
      </c>
      <c r="B27" s="18">
        <v>15</v>
      </c>
      <c r="C27" s="18" t="s">
        <v>7</v>
      </c>
      <c r="D27" s="47" t="s">
        <v>228</v>
      </c>
      <c r="E27" s="12">
        <v>1752</v>
      </c>
      <c r="F27" s="12">
        <f>SUMIFS('Week 20 May 11 - May 17 2020'!F:F,'Week 20 May 11 - May 17 2020'!D:D,'Week 21 May 18 - May 24 2020'!D:D,'Week 20 May 11 - May 17 2020'!C:C,'Week 21 May 18 - May 24 2020'!C:C)+Table361191013555712141752596163656769[[#This Row],[Week Sales]]</f>
        <v>108688</v>
      </c>
      <c r="G27" s="18" t="str">
        <f>(VLOOKUP(D:D,'Week 20 May 11 - May 17 2020'!D:G,4,FALSE))</f>
        <v>Imagineer</v>
      </c>
      <c r="H27" s="67">
        <f>(VLOOKUP(D:D,'Week 20 May 11 - May 17 2020'!D:H,5,FALSE))</f>
        <v>43454</v>
      </c>
      <c r="I27" s="12">
        <f>_xlfn.IFNA(SUMIFS('Week 20 May 11 - May 17 2020'!E:E,'Week 20 May 11 - May 17 2020'!D:D,'Week 21 May 18 - May 24 2020'!D:D,'Week 20 May 11 - May 17 2020'!C:C,'Week 21 May 18 - May 24 2020'!C:C),"New")</f>
        <v>3502</v>
      </c>
      <c r="J27" s="28">
        <f t="shared" si="0"/>
        <v>-0.49971444888635064</v>
      </c>
    </row>
    <row r="28" spans="1:10" x14ac:dyDescent="0.2">
      <c r="A28" s="25">
        <v>27</v>
      </c>
      <c r="B28" s="18">
        <v>28</v>
      </c>
      <c r="C28" s="18" t="s">
        <v>7</v>
      </c>
      <c r="D28" s="86" t="s">
        <v>83</v>
      </c>
      <c r="E28" s="12">
        <v>1714</v>
      </c>
      <c r="F28" s="12">
        <f>SUMIFS('Week 20 May 11 - May 17 2020'!F:F,'Week 20 May 11 - May 17 2020'!D:D,'Week 21 May 18 - May 24 2020'!D:D,'Week 20 May 11 - May 17 2020'!C:C,'Week 21 May 18 - May 24 2020'!C:C)+Table361191013555712141752596163656769[[#This Row],[Week Sales]]</f>
        <v>520693</v>
      </c>
      <c r="G28" s="18" t="str">
        <f>(VLOOKUP(D:D,'Week 20 May 11 - May 17 2020'!D:G,4,FALSE))</f>
        <v>Square Enix</v>
      </c>
      <c r="H28" s="67">
        <f>(VLOOKUP(D:D,'Week 20 May 11 - May 17 2020'!D:H,5,FALSE))</f>
        <v>43735</v>
      </c>
      <c r="I28" s="12">
        <f>_xlfn.IFNA(SUMIFS('Week 20 May 11 - May 17 2020'!E:E,'Week 20 May 11 - May 17 2020'!D:D,'Week 21 May 18 - May 24 2020'!D:D,'Week 20 May 11 - May 17 2020'!C:C,'Week 21 May 18 - May 24 2020'!C:C),"New")</f>
        <v>1648</v>
      </c>
      <c r="J28" s="28">
        <f t="shared" si="0"/>
        <v>4.0048543689320391E-2</v>
      </c>
    </row>
    <row r="29" spans="1:10" x14ac:dyDescent="0.2">
      <c r="A29" s="25">
        <v>28</v>
      </c>
      <c r="B29" s="18">
        <v>27</v>
      </c>
      <c r="C29" s="18" t="s">
        <v>7</v>
      </c>
      <c r="D29" s="47" t="s">
        <v>20</v>
      </c>
      <c r="E29" s="12">
        <v>1651</v>
      </c>
      <c r="F29" s="12">
        <f>SUMIFS('Week 20 May 11 - May 17 2020'!F:F,'Week 20 May 11 - May 17 2020'!D:D,'Week 21 May 18 - May 24 2020'!D:D,'Week 20 May 11 - May 17 2020'!C:C,'Week 21 May 18 - May 24 2020'!C:C)+Table361191013555712141752596163656769[[#This Row],[Week Sales]]</f>
        <v>439131</v>
      </c>
      <c r="G29" s="18" t="str">
        <f>(VLOOKUP(D:D,'Week 20 May 11 - May 17 2020'!D:G,4,FALSE))</f>
        <v>Bandai Namco</v>
      </c>
      <c r="H29" s="67">
        <f>(VLOOKUP(D:D,'Week 20 May 11 - May 17 2020'!D:H,5,FALSE))</f>
        <v>43671</v>
      </c>
      <c r="I29" s="12">
        <f>_xlfn.IFNA(SUMIFS('Week 20 May 11 - May 17 2020'!E:E,'Week 20 May 11 - May 17 2020'!D:D,'Week 21 May 18 - May 24 2020'!D:D,'Week 20 May 11 - May 17 2020'!C:C,'Week 21 May 18 - May 24 2020'!C:C),"New")</f>
        <v>1829</v>
      </c>
      <c r="J29" s="28">
        <f t="shared" si="0"/>
        <v>-9.7320940404592673E-2</v>
      </c>
    </row>
    <row r="30" spans="1:10" x14ac:dyDescent="0.2">
      <c r="A30" s="25">
        <v>29</v>
      </c>
      <c r="B30" s="18">
        <v>22</v>
      </c>
      <c r="C30" s="18" t="s">
        <v>7</v>
      </c>
      <c r="D30" s="47" t="s">
        <v>221</v>
      </c>
      <c r="E30" s="12">
        <v>1526</v>
      </c>
      <c r="F30" s="12">
        <f>SUMIFS('Week 20 May 11 - May 17 2020'!F:F,'Week 20 May 11 - May 17 2020'!D:D,'Week 21 May 18 - May 24 2020'!D:D,'Week 20 May 11 - May 17 2020'!C:C,'Week 21 May 18 - May 24 2020'!C:C)+Table361191013555712141752596163656769[[#This Row],[Week Sales]]</f>
        <v>117954</v>
      </c>
      <c r="G30" s="18" t="str">
        <f>(VLOOKUP(D:D,'Week 20 May 11 - May 17 2020'!D:G,4,FALSE))</f>
        <v>Bandai Namco</v>
      </c>
      <c r="H30" s="67">
        <f>(VLOOKUP(D:D,'Week 20 May 11 - May 17 2020'!D:H,5,FALSE))</f>
        <v>43916</v>
      </c>
      <c r="I30" s="12">
        <f>_xlfn.IFNA(SUMIFS('Week 20 May 11 - May 17 2020'!E:E,'Week 20 May 11 - May 17 2020'!D:D,'Week 21 May 18 - May 24 2020'!D:D,'Week 20 May 11 - May 17 2020'!C:C,'Week 21 May 18 - May 24 2020'!C:C),"New")</f>
        <v>2040</v>
      </c>
      <c r="J30" s="28">
        <f t="shared" si="0"/>
        <v>-0.25196078431372548</v>
      </c>
    </row>
    <row r="31" spans="1:10" x14ac:dyDescent="0.2">
      <c r="A31" s="25">
        <v>30</v>
      </c>
      <c r="B31" s="18">
        <v>26</v>
      </c>
      <c r="C31" s="18" t="s">
        <v>8</v>
      </c>
      <c r="D31" s="47" t="s">
        <v>232</v>
      </c>
      <c r="E31" s="12">
        <v>1481</v>
      </c>
      <c r="F31" s="12">
        <f>SUMIFS('Week 20 May 11 - May 17 2020'!F:F,'Week 20 May 11 - May 17 2020'!D:D,'Week 21 May 18 - May 24 2020'!D:D,'Week 20 May 11 - May 17 2020'!C:C,'Week 21 May 18 - May 24 2020'!C:C)+Table361191013555712141752596163656769[[#This Row],[Week Sales]]</f>
        <v>258676</v>
      </c>
      <c r="G31" s="18" t="str">
        <f>(VLOOKUP(D:D,'Week 20 May 11 - May 17 2020'!D:G,4,FALSE))</f>
        <v>Capcom</v>
      </c>
      <c r="H31" s="67">
        <f>(VLOOKUP(D:D,'Week 20 May 11 - May 17 2020'!D:H,5,FALSE))</f>
        <v>43924</v>
      </c>
      <c r="I31" s="12">
        <f>_xlfn.IFNA(SUMIFS('Week 20 May 11 - May 17 2020'!E:E,'Week 20 May 11 - May 17 2020'!D:D,'Week 21 May 18 - May 24 2020'!D:D,'Week 20 May 11 - May 17 2020'!C:C,'Week 21 May 18 - May 24 2020'!C:C),"New")</f>
        <v>1875</v>
      </c>
      <c r="J31" s="28">
        <f t="shared" si="0"/>
        <v>-0.21013333333333334</v>
      </c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214915</v>
      </c>
      <c r="F33" s="2"/>
      <c r="I33" s="2"/>
      <c r="J33" s="19"/>
    </row>
    <row r="34" spans="1:10" x14ac:dyDescent="0.2">
      <c r="A34" s="3"/>
      <c r="B34" s="3"/>
      <c r="D34" s="100" t="s">
        <v>178</v>
      </c>
      <c r="E34" s="101">
        <f>SUM('Week 20 May 11 - May 17 2020'!E34,'Week 21 May 18 - May 24 2020'!E33)</f>
        <v>11310907</v>
      </c>
      <c r="F34" s="2"/>
      <c r="I34" s="2"/>
      <c r="J34" s="19"/>
    </row>
    <row r="35" spans="1:10" x14ac:dyDescent="0.2">
      <c r="A35" s="3"/>
      <c r="B35" s="3"/>
      <c r="D35" s="2" t="s">
        <v>60</v>
      </c>
      <c r="E35" s="2">
        <f>AVERAGE(E2:E31)</f>
        <v>7163.833333333333</v>
      </c>
      <c r="F35" s="2"/>
      <c r="I35" s="2"/>
      <c r="J35" s="19"/>
    </row>
    <row r="36" spans="1:10" x14ac:dyDescent="0.2">
      <c r="A36" s="3"/>
      <c r="B36" s="3"/>
      <c r="D36" s="9" t="s">
        <v>78</v>
      </c>
      <c r="E36" s="10">
        <f>COUNTIF(B:B,"New")</f>
        <v>2</v>
      </c>
      <c r="F36" s="2"/>
      <c r="I36" s="2"/>
      <c r="J36" s="19"/>
    </row>
    <row r="37" spans="1:10" x14ac:dyDescent="0.2">
      <c r="A37" s="3"/>
      <c r="B37" s="3"/>
      <c r="E37" s="2"/>
      <c r="F37" s="2"/>
      <c r="I37" s="2"/>
      <c r="J37" s="19"/>
    </row>
    <row r="38" spans="1:10" x14ac:dyDescent="0.2">
      <c r="A38" s="3"/>
      <c r="B38" s="3"/>
      <c r="D38" t="s">
        <v>66</v>
      </c>
      <c r="E38" s="2"/>
      <c r="F38" s="2"/>
      <c r="I38" s="2"/>
      <c r="J38" s="19"/>
    </row>
    <row r="39" spans="1:10" x14ac:dyDescent="0.2">
      <c r="A39" s="3"/>
      <c r="B39" s="3"/>
      <c r="D39" s="8" t="s">
        <v>67</v>
      </c>
      <c r="E39" s="2"/>
      <c r="F39" s="2"/>
      <c r="I39" s="2"/>
      <c r="J39" s="19"/>
    </row>
    <row r="40" spans="1:10" x14ac:dyDescent="0.2">
      <c r="A40" s="3"/>
      <c r="B40" s="3"/>
      <c r="D40" s="8" t="s">
        <v>65</v>
      </c>
      <c r="E40" s="2"/>
      <c r="F40" s="2"/>
      <c r="I40" s="2"/>
      <c r="J40" s="19"/>
    </row>
    <row r="41" spans="1:10" x14ac:dyDescent="0.2">
      <c r="D41" s="8" t="s">
        <v>71</v>
      </c>
    </row>
  </sheetData>
  <hyperlinks>
    <hyperlink ref="D41" r:id="rId1" xr:uid="{64F63F2B-4111-2E46-B1CD-7B0A9A2AAC52}"/>
    <hyperlink ref="D40" r:id="rId2" xr:uid="{20717508-C027-5E4B-8BA8-0E210B892FA5}"/>
    <hyperlink ref="D39" r:id="rId3" xr:uid="{373E9619-C319-CE47-9FFE-CE4EBBC30F18}"/>
  </hyperlinks>
  <pageMargins left="0.7" right="0.7" top="0.75" bottom="0.75" header="0.3" footer="0.3"/>
  <pageSetup paperSize="9" orientation="portrait" horizontalDpi="0" verticalDpi="0"/>
  <ignoredErrors>
    <ignoredError sqref="G2:I31" calculatedColumn="1"/>
  </ignoredErrors>
  <tableParts count="1">
    <tablePart r:id="rId4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EFF8D-12A9-F445-874D-F8C6444F775E}">
  <dimension ref="A1:J42"/>
  <sheetViews>
    <sheetView workbookViewId="0">
      <selection activeCell="D12" sqref="D12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68.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0" x14ac:dyDescent="0.2">
      <c r="A2" s="25">
        <v>1</v>
      </c>
      <c r="B2" s="18">
        <v>1</v>
      </c>
      <c r="C2" s="18" t="s">
        <v>7</v>
      </c>
      <c r="D2" s="86" t="s">
        <v>46</v>
      </c>
      <c r="E2" s="12">
        <v>102749</v>
      </c>
      <c r="F2" s="12">
        <f>SUMIFS('Week 21 May 18 - May 24 2020'!F:F,'Week 21 May 18 - May 24 2020'!D:D,'Week 22 May 25 - May 31 2020'!D:D,'Week 21 May 18 - May 24 2020'!C:C,'Week 22 May 25 - May 31 2020'!C:C)+Table36119101355571214175259616365676971[[#This Row],[Week Sales]]</f>
        <v>4685419</v>
      </c>
      <c r="G2" s="18" t="str">
        <f>(VLOOKUP(D:D,'Week 21 May 18 - May 24 2020'!D:G,4,FALSE))</f>
        <v>Nintendo</v>
      </c>
      <c r="H2" s="67">
        <f>(VLOOKUP(D:D,'Week 21 May 18 - May 24 2020'!D:H,5,FALSE))</f>
        <v>43910</v>
      </c>
      <c r="I2" s="12">
        <f>_xlfn.IFNA(SUMIFS('Week 21 May 18 - May 24 2020'!E:E,'Week 21 May 18 - May 24 2020'!D:D,'Week 22 May 25 - May 31 2020'!D:D,'Week 21 May 18 - May 24 2020'!C:C,'Week 22 May 25 - May 31 2020'!C:C),"New")</f>
        <v>102553</v>
      </c>
      <c r="J2" s="28">
        <f>IFERROR((E2-I2)/I2,"New")</f>
        <v>1.9112068881456418E-3</v>
      </c>
    </row>
    <row r="3" spans="1:10" x14ac:dyDescent="0.2">
      <c r="A3" s="13">
        <v>2</v>
      </c>
      <c r="B3" s="9" t="s">
        <v>36</v>
      </c>
      <c r="C3" s="9" t="s">
        <v>7</v>
      </c>
      <c r="D3" s="9" t="s">
        <v>250</v>
      </c>
      <c r="E3" s="10">
        <v>90789</v>
      </c>
      <c r="F3" s="10">
        <f>SUMIFS('Week 21 May 18 - May 24 2020'!F:F,'Week 21 May 18 - May 24 2020'!D:D,'Week 22 May 25 - May 31 2020'!D:D,'Week 21 May 18 - May 24 2020'!C:C,'Week 22 May 25 - May 31 2020'!C:C)+Table36119101355571214175259616365676971[[#This Row],[Week Sales]]</f>
        <v>90789</v>
      </c>
      <c r="G3" s="9" t="s">
        <v>9</v>
      </c>
      <c r="H3" s="14">
        <v>43980</v>
      </c>
      <c r="I3" s="10" t="s">
        <v>36</v>
      </c>
      <c r="J3" s="92" t="str">
        <f>IFERROR((E4-I3)/I3,"New")</f>
        <v>New</v>
      </c>
    </row>
    <row r="4" spans="1:10" x14ac:dyDescent="0.2">
      <c r="A4" s="25">
        <v>3</v>
      </c>
      <c r="B4" s="18">
        <v>2</v>
      </c>
      <c r="C4" s="18" t="s">
        <v>7</v>
      </c>
      <c r="D4" s="18" t="s">
        <v>45</v>
      </c>
      <c r="E4" s="12">
        <v>39518</v>
      </c>
      <c r="F4" s="12">
        <f>SUMIFS('Week 21 May 18 - May 24 2020'!F:F,'Week 21 May 18 - May 24 2020'!D:D,'Week 22 May 25 - May 31 2020'!D:D,'Week 21 May 18 - May 24 2020'!C:C,'Week 22 May 25 - May 31 2020'!C:C)+Table36119101355571214175259616365676971[[#This Row],[Week Sales]]</f>
        <v>956559</v>
      </c>
      <c r="G4" s="18" t="str">
        <f>(VLOOKUP(D:D,'Week 21 May 18 - May 24 2020'!D:G,4,FALSE))</f>
        <v>Nintendo</v>
      </c>
      <c r="H4" s="67">
        <f>(VLOOKUP(D:D,'Week 21 May 18 - May 24 2020'!D:H,5,FALSE))</f>
        <v>43756</v>
      </c>
      <c r="I4" s="12">
        <f>_xlfn.IFNA(SUMIFS('Week 21 May 18 - May 24 2020'!E:E,'Week 21 May 18 - May 24 2020'!D:D,'Week 22 May 25 - May 31 2020'!D:D,'Week 21 May 18 - May 24 2020'!C:C,'Week 22 May 25 - May 31 2020'!C:C),"New")</f>
        <v>11746</v>
      </c>
      <c r="J4" s="28" t="str">
        <f>IFERROR((#REF!-I4)/I4,"New")</f>
        <v>New</v>
      </c>
    </row>
    <row r="5" spans="1:10" x14ac:dyDescent="0.2">
      <c r="A5" s="13">
        <v>4</v>
      </c>
      <c r="B5" s="9" t="s">
        <v>36</v>
      </c>
      <c r="C5" s="9" t="s">
        <v>8</v>
      </c>
      <c r="D5" s="46" t="s">
        <v>251</v>
      </c>
      <c r="E5" s="10">
        <v>12047</v>
      </c>
      <c r="F5" s="10">
        <f>SUMIFS('Week 21 May 18 - May 24 2020'!F:F,'Week 21 May 18 - May 24 2020'!D:D,'Week 22 May 25 - May 31 2020'!D:D,'Week 21 May 18 - May 24 2020'!C:C,'Week 22 May 25 - May 31 2020'!C:C)+Table36119101355571214175259616365676971[[#This Row],[Week Sales]]</f>
        <v>12047</v>
      </c>
      <c r="G5" s="9" t="s">
        <v>44</v>
      </c>
      <c r="H5" s="14">
        <v>43979</v>
      </c>
      <c r="I5" s="10" t="s">
        <v>36</v>
      </c>
      <c r="J5" s="92" t="str">
        <f t="shared" ref="J5:J31" si="0">IFERROR((E5-I5)/I5,"New")</f>
        <v>New</v>
      </c>
    </row>
    <row r="6" spans="1:10" x14ac:dyDescent="0.2">
      <c r="A6" s="25">
        <v>5</v>
      </c>
      <c r="B6" s="18">
        <v>4</v>
      </c>
      <c r="C6" s="18" t="s">
        <v>7</v>
      </c>
      <c r="D6" s="47" t="s">
        <v>49</v>
      </c>
      <c r="E6" s="12">
        <v>10415</v>
      </c>
      <c r="F6" s="12">
        <f>SUMIFS('Week 21 May 18 - May 24 2020'!F:F,'Week 21 May 18 - May 24 2020'!D:D,'Week 22 May 25 - May 31 2020'!D:D,'Week 21 May 18 - May 24 2020'!C:C,'Week 22 May 25 - May 31 2020'!C:C)+Table36119101355571214175259616365676971[[#This Row],[Week Sales]]</f>
        <v>2965844</v>
      </c>
      <c r="G6" s="18" t="str">
        <f>(VLOOKUP(D:D,'Week 21 May 18 - May 24 2020'!D:G,4,FALSE))</f>
        <v>Nintendo</v>
      </c>
      <c r="H6" s="67">
        <f>(VLOOKUP(D:D,'Week 21 May 18 - May 24 2020'!D:H,5,FALSE))</f>
        <v>42853</v>
      </c>
      <c r="I6" s="12">
        <f>_xlfn.IFNA(SUMIFS('Week 21 May 18 - May 24 2020'!E:E,'Week 21 May 18 - May 24 2020'!D:D,'Week 22 May 25 - May 31 2020'!D:D,'Week 21 May 18 - May 24 2020'!C:C,'Week 22 May 25 - May 31 2020'!C:C),"New")</f>
        <v>8974</v>
      </c>
      <c r="J6" s="28">
        <f t="shared" si="0"/>
        <v>0.16057499442834855</v>
      </c>
    </row>
    <row r="7" spans="1:10" x14ac:dyDescent="0.2">
      <c r="A7" s="25">
        <v>6</v>
      </c>
      <c r="B7" s="18">
        <v>3</v>
      </c>
      <c r="C7" s="18" t="s">
        <v>7</v>
      </c>
      <c r="D7" s="47" t="s">
        <v>10</v>
      </c>
      <c r="E7" s="12">
        <v>10041</v>
      </c>
      <c r="F7" s="12">
        <f>SUMIFS('Week 21 May 18 - May 24 2020'!F:F,'Week 21 May 18 - May 24 2020'!D:D,'Week 22 May 25 - May 31 2020'!D:D,'Week 21 May 18 - May 24 2020'!C:C,'Week 22 May 25 - May 31 2020'!C:C)+Table36119101355571214175259616365676971[[#This Row],[Week Sales]]</f>
        <v>3437424</v>
      </c>
      <c r="G7" s="18" t="str">
        <f>(VLOOKUP(D:D,'Week 21 May 18 - May 24 2020'!D:G,4,FALSE))</f>
        <v>Nintendo</v>
      </c>
      <c r="H7" s="67">
        <f>(VLOOKUP(D:D,'Week 21 May 18 - May 24 2020'!D:H,5,FALSE))</f>
        <v>42937</v>
      </c>
      <c r="I7" s="12">
        <f>_xlfn.IFNA(SUMIFS('Week 21 May 18 - May 24 2020'!E:E,'Week 21 May 18 - May 24 2020'!D:D,'Week 22 May 25 - May 31 2020'!D:D,'Week 21 May 18 - May 24 2020'!C:C,'Week 22 May 25 - May 31 2020'!C:C),"New")</f>
        <v>10144</v>
      </c>
      <c r="J7" s="28">
        <f t="shared" si="0"/>
        <v>-1.015378548895899E-2</v>
      </c>
    </row>
    <row r="8" spans="1:10" x14ac:dyDescent="0.2">
      <c r="A8" s="13">
        <v>7</v>
      </c>
      <c r="B8" s="9" t="s">
        <v>36</v>
      </c>
      <c r="C8" s="9" t="s">
        <v>7</v>
      </c>
      <c r="D8" s="46" t="s">
        <v>252</v>
      </c>
      <c r="E8" s="10">
        <v>9216</v>
      </c>
      <c r="F8" s="10">
        <f>SUMIFS('Week 21 May 18 - May 24 2020'!F:F,'Week 21 May 18 - May 24 2020'!D:D,'Week 22 May 25 - May 31 2020'!D:D,'Week 21 May 18 - May 24 2020'!C:C,'Week 22 May 25 - May 31 2020'!C:C)+Table36119101355571214175259616365676971[[#This Row],[Week Sales]]</f>
        <v>9216</v>
      </c>
      <c r="G8" s="9" t="s">
        <v>255</v>
      </c>
      <c r="H8" s="14">
        <v>43979</v>
      </c>
      <c r="I8" s="10" t="s">
        <v>36</v>
      </c>
      <c r="J8" s="92" t="str">
        <f t="shared" si="0"/>
        <v>New</v>
      </c>
    </row>
    <row r="9" spans="1:10" x14ac:dyDescent="0.2">
      <c r="A9" s="13">
        <v>8</v>
      </c>
      <c r="B9" s="9" t="s">
        <v>36</v>
      </c>
      <c r="C9" s="9" t="s">
        <v>8</v>
      </c>
      <c r="D9" s="46" t="s">
        <v>253</v>
      </c>
      <c r="E9" s="10">
        <v>7397</v>
      </c>
      <c r="F9" s="10">
        <f>SUMIFS('Week 21 May 18 - May 24 2020'!F:F,'Week 21 May 18 - May 24 2020'!D:D,'Week 22 May 25 - May 31 2020'!D:D,'Week 21 May 18 - May 24 2020'!C:C,'Week 22 May 25 - May 31 2020'!C:C)+Table36119101355571214175259616365676971[[#This Row],[Week Sales]]</f>
        <v>7397</v>
      </c>
      <c r="G9" s="9" t="s">
        <v>95</v>
      </c>
      <c r="H9" s="14">
        <v>43979</v>
      </c>
      <c r="I9" s="10" t="s">
        <v>36</v>
      </c>
      <c r="J9" s="92" t="str">
        <f t="shared" si="0"/>
        <v>New</v>
      </c>
    </row>
    <row r="10" spans="1:10" x14ac:dyDescent="0.2">
      <c r="A10" s="25">
        <v>9</v>
      </c>
      <c r="B10" s="18">
        <v>7</v>
      </c>
      <c r="C10" s="18" t="s">
        <v>7</v>
      </c>
      <c r="D10" s="47" t="s">
        <v>52</v>
      </c>
      <c r="E10" s="12">
        <v>7262</v>
      </c>
      <c r="F10" s="12">
        <f>SUMIFS('Week 21 May 18 - May 24 2020'!F:F,'Week 21 May 18 - May 24 2020'!D:D,'Week 22 May 25 - May 31 2020'!D:D,'Week 21 May 18 - May 24 2020'!C:C,'Week 22 May 25 - May 31 2020'!C:C)+Table36119101355571214175259616365676971[[#This Row],[Week Sales]]</f>
        <v>3711072</v>
      </c>
      <c r="G10" s="18" t="str">
        <f>(VLOOKUP(D:D,'Week 21 May 18 - May 24 2020'!D:G,4,FALSE))</f>
        <v>Nintendo</v>
      </c>
      <c r="H10" s="67">
        <f>(VLOOKUP(D:D,'Week 21 May 18 - May 24 2020'!D:H,5,FALSE))</f>
        <v>43441</v>
      </c>
      <c r="I10" s="12">
        <f>_xlfn.IFNA(SUMIFS('Week 21 May 18 - May 24 2020'!E:E,'Week 21 May 18 - May 24 2020'!D:D,'Week 22 May 25 - May 31 2020'!D:D,'Week 21 May 18 - May 24 2020'!C:C,'Week 22 May 25 - May 31 2020'!C:C),"New")</f>
        <v>5892</v>
      </c>
      <c r="J10" s="28">
        <f t="shared" si="0"/>
        <v>0.23251866938221316</v>
      </c>
    </row>
    <row r="11" spans="1:10" x14ac:dyDescent="0.2">
      <c r="A11" s="25">
        <v>10</v>
      </c>
      <c r="B11" s="18">
        <v>5</v>
      </c>
      <c r="C11" s="18" t="s">
        <v>7</v>
      </c>
      <c r="D11" s="47" t="s">
        <v>12</v>
      </c>
      <c r="E11" s="12">
        <v>6741</v>
      </c>
      <c r="F11" s="12">
        <f>SUMIFS('Week 21 May 18 - May 24 2020'!F:F,'Week 21 May 18 - May 24 2020'!D:D,'Week 22 May 25 - May 31 2020'!D:D,'Week 21 May 18 - May 24 2020'!C:C,'Week 22 May 25 - May 31 2020'!C:C)+Table36119101355571214175259616365676971[[#This Row],[Week Sales]]</f>
        <v>1399850</v>
      </c>
      <c r="G11" s="18" t="str">
        <f>(VLOOKUP(D:D,'Week 21 May 18 - May 24 2020'!D:G,4,FALSE))</f>
        <v>Microsoft</v>
      </c>
      <c r="H11" s="67">
        <f>(VLOOKUP(D:D,'Week 21 May 18 - May 24 2020'!D:H,5,FALSE))</f>
        <v>43272</v>
      </c>
      <c r="I11" s="12">
        <f>_xlfn.IFNA(SUMIFS('Week 21 May 18 - May 24 2020'!E:E,'Week 21 May 18 - May 24 2020'!D:D,'Week 22 May 25 - May 31 2020'!D:D,'Week 21 May 18 - May 24 2020'!C:C,'Week 22 May 25 - May 31 2020'!C:C),"New")</f>
        <v>6107</v>
      </c>
      <c r="J11" s="28">
        <f t="shared" si="0"/>
        <v>0.10381529392500409</v>
      </c>
    </row>
    <row r="12" spans="1:10" x14ac:dyDescent="0.2">
      <c r="A12" s="25">
        <v>11</v>
      </c>
      <c r="B12" s="18">
        <v>9</v>
      </c>
      <c r="C12" s="18" t="s">
        <v>7</v>
      </c>
      <c r="D12" s="47" t="s">
        <v>13</v>
      </c>
      <c r="E12" s="12">
        <v>5827</v>
      </c>
      <c r="F12" s="12">
        <f>SUMIFS('Week 21 May 18 - May 24 2020'!F:F,'Week 21 May 18 - May 24 2020'!D:D,'Week 22 May 25 - May 31 2020'!D:D,'Week 21 May 18 - May 24 2020'!C:C,'Week 22 May 25 - May 31 2020'!C:C)+Table36119101355571214175259616365676971[[#This Row],[Week Sales]]</f>
        <v>1456920</v>
      </c>
      <c r="G12" s="18" t="str">
        <f>(VLOOKUP(D:D,'Week 21 May 18 - May 24 2020'!D:G,4,FALSE))</f>
        <v>Nintendo</v>
      </c>
      <c r="H12" s="67">
        <f>(VLOOKUP(D:D,'Week 21 May 18 - May 24 2020'!D:H,5,FALSE))</f>
        <v>43378</v>
      </c>
      <c r="I12" s="12">
        <f>_xlfn.IFNA(SUMIFS('Week 21 May 18 - May 24 2020'!E:E,'Week 21 May 18 - May 24 2020'!D:D,'Week 22 May 25 - May 31 2020'!D:D,'Week 21 May 18 - May 24 2020'!C:C,'Week 22 May 25 - May 31 2020'!C:C),"New")</f>
        <v>4830</v>
      </c>
      <c r="J12" s="28">
        <f t="shared" si="0"/>
        <v>0.20641821946169772</v>
      </c>
    </row>
    <row r="13" spans="1:10" x14ac:dyDescent="0.2">
      <c r="A13" s="25">
        <v>12</v>
      </c>
      <c r="B13" s="18">
        <v>10</v>
      </c>
      <c r="C13" s="18" t="s">
        <v>7</v>
      </c>
      <c r="D13" s="47" t="s">
        <v>62</v>
      </c>
      <c r="E13" s="12">
        <v>5707</v>
      </c>
      <c r="F13" s="12">
        <f>SUMIFS('Week 21 May 18 - May 24 2020'!F:F,'Week 21 May 18 - May 24 2020'!D:D,'Week 22 May 25 - May 31 2020'!D:D,'Week 21 May 18 - May 24 2020'!C:C,'Week 22 May 25 - May 31 2020'!C:C)+Table36119101355571214175259616365676971[[#This Row],[Week Sales]]</f>
        <v>3607959</v>
      </c>
      <c r="G13" s="18" t="str">
        <f>(VLOOKUP(D:D,'Week 21 May 18 - May 24 2020'!D:G,4,FALSE))</f>
        <v>The Pokemon Company</v>
      </c>
      <c r="H13" s="67">
        <f>(VLOOKUP(D:D,'Week 21 May 18 - May 24 2020'!D:H,5,FALSE))</f>
        <v>43784</v>
      </c>
      <c r="I13" s="12">
        <f>_xlfn.IFNA(SUMIFS('Week 21 May 18 - May 24 2020'!E:E,'Week 21 May 18 - May 24 2020'!D:D,'Week 22 May 25 - May 31 2020'!D:D,'Week 21 May 18 - May 24 2020'!C:C,'Week 22 May 25 - May 31 2020'!C:C),"New")</f>
        <v>4497</v>
      </c>
      <c r="J13" s="28">
        <f t="shared" si="0"/>
        <v>0.26906826773404491</v>
      </c>
    </row>
    <row r="14" spans="1:10" x14ac:dyDescent="0.2">
      <c r="A14" s="25">
        <v>13</v>
      </c>
      <c r="B14" s="18">
        <v>6</v>
      </c>
      <c r="C14" s="18" t="s">
        <v>8</v>
      </c>
      <c r="D14" s="47" t="s">
        <v>234</v>
      </c>
      <c r="E14" s="12">
        <v>5048</v>
      </c>
      <c r="F14" s="12">
        <f>SUMIFS('Week 21 May 18 - May 24 2020'!F:F,'Week 21 May 18 - May 24 2020'!D:D,'Week 22 May 25 - May 31 2020'!D:D,'Week 21 May 18 - May 24 2020'!C:C,'Week 22 May 25 - May 31 2020'!C:C)+Table36119101355571214175259616365676971[[#This Row],[Week Sales]]</f>
        <v>919287</v>
      </c>
      <c r="G14" s="18" t="str">
        <f>(VLOOKUP(D:D,'Week 21 May 18 - May 24 2020'!D:G,4,FALSE))</f>
        <v>Square Enix</v>
      </c>
      <c r="H14" s="67">
        <f>(VLOOKUP(D:D,'Week 21 May 18 - May 24 2020'!D:H,5,FALSE))</f>
        <v>43931</v>
      </c>
      <c r="I14" s="12">
        <f>_xlfn.IFNA(SUMIFS('Week 21 May 18 - May 24 2020'!E:E,'Week 21 May 18 - May 24 2020'!D:D,'Week 22 May 25 - May 31 2020'!D:D,'Week 21 May 18 - May 24 2020'!C:C,'Week 22 May 25 - May 31 2020'!C:C),"New")</f>
        <v>5902</v>
      </c>
      <c r="J14" s="28">
        <f t="shared" si="0"/>
        <v>-0.1446967129786513</v>
      </c>
    </row>
    <row r="15" spans="1:10" x14ac:dyDescent="0.2">
      <c r="A15" s="25">
        <v>14</v>
      </c>
      <c r="B15" s="18">
        <v>8</v>
      </c>
      <c r="C15" s="18" t="s">
        <v>7</v>
      </c>
      <c r="D15" s="47" t="s">
        <v>16</v>
      </c>
      <c r="E15" s="12">
        <v>4964</v>
      </c>
      <c r="F15" s="12">
        <f>SUMIFS('Week 21 May 18 - May 24 2020'!F:F,'Week 21 May 18 - May 24 2020'!D:D,'Week 22 May 25 - May 31 2020'!D:D,'Week 21 May 18 - May 24 2020'!C:C,'Week 22 May 25 - May 31 2020'!C:C)+Table36119101355571214175259616365676971[[#This Row],[Week Sales]]</f>
        <v>239699</v>
      </c>
      <c r="G15" s="18" t="str">
        <f>(VLOOKUP(D:D,'Week 21 May 18 - May 24 2020'!D:G,4,FALSE))</f>
        <v>Nintendo</v>
      </c>
      <c r="H15" s="67">
        <f>(VLOOKUP(D:D,'Week 21 May 18 - May 24 2020'!D:H,5,FALSE))</f>
        <v>43826</v>
      </c>
      <c r="I15" s="12">
        <f>_xlfn.IFNA(SUMIFS('Week 21 May 18 - May 24 2020'!E:E,'Week 21 May 18 - May 24 2020'!D:D,'Week 22 May 25 - May 31 2020'!D:D,'Week 21 May 18 - May 24 2020'!C:C,'Week 22 May 25 - May 31 2020'!C:C),"New")</f>
        <v>5678</v>
      </c>
      <c r="J15" s="28">
        <f t="shared" si="0"/>
        <v>-0.12574850299401197</v>
      </c>
    </row>
    <row r="16" spans="1:10" x14ac:dyDescent="0.2">
      <c r="A16" s="25">
        <v>15</v>
      </c>
      <c r="B16" s="18">
        <v>15</v>
      </c>
      <c r="C16" s="18" t="s">
        <v>7</v>
      </c>
      <c r="D16" s="47" t="s">
        <v>39</v>
      </c>
      <c r="E16" s="12">
        <v>3338</v>
      </c>
      <c r="F16" s="12">
        <f>SUMIFS('Week 21 May 18 - May 24 2020'!F:F,'Week 21 May 18 - May 24 2020'!D:D,'Week 22 May 25 - May 31 2020'!D:D,'Week 21 May 18 - May 24 2020'!C:C,'Week 22 May 25 - May 31 2020'!C:C)+Table36119101355571214175259616365676971[[#This Row],[Week Sales]]</f>
        <v>1590728</v>
      </c>
      <c r="G16" s="18" t="str">
        <f>(VLOOKUP(D:D,'Week 21 May 18 - May 24 2020'!D:G,4,FALSE))</f>
        <v>Nintendo</v>
      </c>
      <c r="H16" s="67">
        <f>(VLOOKUP(D:D,'Week 21 May 18 - May 24 2020'!D:H,5,FALSE))</f>
        <v>42797</v>
      </c>
      <c r="I16" s="12">
        <f>_xlfn.IFNA(SUMIFS('Week 21 May 18 - May 24 2020'!E:E,'Week 21 May 18 - May 24 2020'!D:D,'Week 22 May 25 - May 31 2020'!D:D,'Week 21 May 18 - May 24 2020'!C:C,'Week 22 May 25 - May 31 2020'!C:C),"New")</f>
        <v>2972</v>
      </c>
      <c r="J16" s="28">
        <f t="shared" si="0"/>
        <v>0.12314939434724091</v>
      </c>
    </row>
    <row r="17" spans="1:10" x14ac:dyDescent="0.2">
      <c r="A17" s="25">
        <v>16</v>
      </c>
      <c r="B17" s="18">
        <v>16</v>
      </c>
      <c r="C17" s="18" t="s">
        <v>7</v>
      </c>
      <c r="D17" s="47" t="s">
        <v>19</v>
      </c>
      <c r="E17" s="12">
        <v>3108</v>
      </c>
      <c r="F17" s="12">
        <f>SUMIFS('Week 21 May 18 - May 24 2020'!F:F,'Week 21 May 18 - May 24 2020'!D:D,'Week 22 May 25 - May 31 2020'!D:D,'Week 21 May 18 - May 24 2020'!C:C,'Week 22 May 25 - May 31 2020'!C:C)+Table36119101355571214175259616365676971[[#This Row],[Week Sales]]</f>
        <v>919001</v>
      </c>
      <c r="G17" s="18" t="str">
        <f>(VLOOKUP(D:D,'Week 21 May 18 - May 24 2020'!D:G,4,FALSE))</f>
        <v>Nintendo</v>
      </c>
      <c r="H17" s="67">
        <f>(VLOOKUP(D:D,'Week 21 May 18 - May 24 2020'!D:H,5,FALSE))</f>
        <v>43644</v>
      </c>
      <c r="I17" s="12">
        <f>_xlfn.IFNA(SUMIFS('Week 21 May 18 - May 24 2020'!E:E,'Week 21 May 18 - May 24 2020'!D:D,'Week 22 May 25 - May 31 2020'!D:D,'Week 21 May 18 - May 24 2020'!C:C,'Week 22 May 25 - May 31 2020'!C:C),"New")</f>
        <v>2810</v>
      </c>
      <c r="J17" s="28">
        <f t="shared" si="0"/>
        <v>0.10604982206405694</v>
      </c>
    </row>
    <row r="18" spans="1:10" x14ac:dyDescent="0.2">
      <c r="A18" s="25">
        <v>17</v>
      </c>
      <c r="B18" s="18">
        <v>14</v>
      </c>
      <c r="C18" s="18" t="s">
        <v>8</v>
      </c>
      <c r="D18" s="86" t="s">
        <v>187</v>
      </c>
      <c r="E18" s="12">
        <v>3062</v>
      </c>
      <c r="F18" s="12">
        <f>SUMIFS('Week 21 May 18 - May 24 2020'!F:F,'Week 21 May 18 - May 24 2020'!D:D,'Week 22 May 25 - May 31 2020'!D:D,'Week 21 May 18 - May 24 2020'!C:C,'Week 22 May 25 - May 31 2020'!C:C)+Table36119101355571214175259616365676971[[#This Row],[Week Sales]]</f>
        <v>57288</v>
      </c>
      <c r="G18" s="18" t="str">
        <f>(VLOOKUP(D:D,'Week 21 May 18 - May 24 2020'!D:G,4,FALSE))</f>
        <v>Rockstar Games</v>
      </c>
      <c r="H18" s="67">
        <f>(VLOOKUP(D:D,'Week 21 May 18 - May 24 2020'!D:H,5,FALSE))</f>
        <v>43440</v>
      </c>
      <c r="I18" s="12">
        <f>_xlfn.IFNA(SUMIFS('Week 21 May 18 - May 24 2020'!E:E,'Week 21 May 18 - May 24 2020'!D:D,'Week 22 May 25 - May 31 2020'!D:D,'Week 21 May 18 - May 24 2020'!C:C,'Week 22 May 25 - May 31 2020'!C:C),"New")</f>
        <v>3041</v>
      </c>
      <c r="J18" s="28">
        <f t="shared" si="0"/>
        <v>6.9056231502795133E-3</v>
      </c>
    </row>
    <row r="19" spans="1:10" x14ac:dyDescent="0.2">
      <c r="A19" s="25">
        <v>18</v>
      </c>
      <c r="B19" s="18">
        <v>19</v>
      </c>
      <c r="C19" s="18" t="s">
        <v>7</v>
      </c>
      <c r="D19" s="47" t="s">
        <v>17</v>
      </c>
      <c r="E19" s="12">
        <v>3031</v>
      </c>
      <c r="F19" s="12">
        <f>SUMIFS('Week 21 May 18 - May 24 2020'!F:F,'Week 21 May 18 - May 24 2020'!D:D,'Week 22 May 25 - May 31 2020'!D:D,'Week 21 May 18 - May 24 2020'!C:C,'Week 22 May 25 - May 31 2020'!C:C)+Table36119101355571214175259616365676971[[#This Row],[Week Sales]]</f>
        <v>847090</v>
      </c>
      <c r="G19" s="18" t="str">
        <f>(VLOOKUP(D:D,'Week 21 May 18 - May 24 2020'!D:G,4,FALSE))</f>
        <v>Nintendo</v>
      </c>
      <c r="H19" s="67">
        <f>(VLOOKUP(D:D,'Week 21 May 18 - May 24 2020'!D:H,5,FALSE))</f>
        <v>43476</v>
      </c>
      <c r="I19" s="12">
        <f>_xlfn.IFNA(SUMIFS('Week 21 May 18 - May 24 2020'!E:E,'Week 21 May 18 - May 24 2020'!D:D,'Week 22 May 25 - May 31 2020'!D:D,'Week 21 May 18 - May 24 2020'!C:C,'Week 22 May 25 - May 31 2020'!C:C),"New")</f>
        <v>2471</v>
      </c>
      <c r="J19" s="28">
        <f t="shared" si="0"/>
        <v>0.22662889518413598</v>
      </c>
    </row>
    <row r="20" spans="1:10" x14ac:dyDescent="0.2">
      <c r="A20" s="25">
        <v>19</v>
      </c>
      <c r="B20" s="18">
        <v>13</v>
      </c>
      <c r="C20" s="18" t="s">
        <v>7</v>
      </c>
      <c r="D20" s="47" t="s">
        <v>237</v>
      </c>
      <c r="E20" s="12">
        <v>2996</v>
      </c>
      <c r="F20" s="12">
        <f>SUMIFS('Week 21 May 18 - May 24 2020'!F:F,'Week 21 May 18 - May 24 2020'!D:D,'Week 22 May 25 - May 31 2020'!D:D,'Week 21 May 18 - May 24 2020'!C:C,'Week 22 May 25 - May 31 2020'!C:C)+Table36119101355571214175259616365676971[[#This Row],[Week Sales]]</f>
        <v>96809</v>
      </c>
      <c r="G20" s="18" t="str">
        <f>(VLOOKUP(D:D,'Week 21 May 18 - May 24 2020'!D:G,4,FALSE))</f>
        <v>Square Enix</v>
      </c>
      <c r="H20" s="67">
        <f>(VLOOKUP(D:D,'Week 21 May 18 - May 24 2020'!D:H,5,FALSE))</f>
        <v>43945</v>
      </c>
      <c r="I20" s="12">
        <f>_xlfn.IFNA(SUMIFS('Week 21 May 18 - May 24 2020'!E:E,'Week 21 May 18 - May 24 2020'!D:D,'Week 22 May 25 - May 31 2020'!D:D,'Week 21 May 18 - May 24 2020'!C:C,'Week 22 May 25 - May 31 2020'!C:C),"New")</f>
        <v>3745</v>
      </c>
      <c r="J20" s="28">
        <f t="shared" si="0"/>
        <v>-0.2</v>
      </c>
    </row>
    <row r="21" spans="1:10" x14ac:dyDescent="0.2">
      <c r="A21" s="25">
        <v>20</v>
      </c>
      <c r="B21" s="18">
        <v>12</v>
      </c>
      <c r="C21" s="18" t="s">
        <v>8</v>
      </c>
      <c r="D21" s="47" t="s">
        <v>237</v>
      </c>
      <c r="E21" s="12">
        <v>2973</v>
      </c>
      <c r="F21" s="12">
        <f>SUMIFS('Week 21 May 18 - May 24 2020'!F:F,'Week 21 May 18 - May 24 2020'!D:D,'Week 22 May 25 - May 31 2020'!D:D,'Week 21 May 18 - May 24 2020'!C:C,'Week 22 May 25 - May 31 2020'!C:C)+Table36119101355571214175259616365676971[[#This Row],[Week Sales]]</f>
        <v>129811</v>
      </c>
      <c r="G21" s="18" t="str">
        <f>(VLOOKUP(D:D,'Week 21 May 18 - May 24 2020'!D:G,4,FALSE))</f>
        <v>Square Enix</v>
      </c>
      <c r="H21" s="67">
        <f>(VLOOKUP(D:D,'Week 21 May 18 - May 24 2020'!D:H,5,FALSE))</f>
        <v>43945</v>
      </c>
      <c r="I21" s="12">
        <f>_xlfn.IFNA(SUMIFS('Week 21 May 18 - May 24 2020'!E:E,'Week 21 May 18 - May 24 2020'!D:D,'Week 22 May 25 - May 31 2020'!D:D,'Week 21 May 18 - May 24 2020'!C:C,'Week 22 May 25 - May 31 2020'!C:C),"New")</f>
        <v>4085</v>
      </c>
      <c r="J21" s="28">
        <f t="shared" si="0"/>
        <v>-0.27221542227662177</v>
      </c>
    </row>
    <row r="22" spans="1:10" x14ac:dyDescent="0.2">
      <c r="A22" s="13">
        <v>21</v>
      </c>
      <c r="B22" s="9" t="s">
        <v>36</v>
      </c>
      <c r="C22" s="9" t="s">
        <v>7</v>
      </c>
      <c r="D22" s="46" t="s">
        <v>254</v>
      </c>
      <c r="E22" s="10">
        <v>2457</v>
      </c>
      <c r="F22" s="10">
        <f>SUMIFS('Week 21 May 18 - May 24 2020'!F:F,'Week 21 May 18 - May 24 2020'!D:D,'Week 22 May 25 - May 31 2020'!D:D,'Week 21 May 18 - May 24 2020'!C:C,'Week 22 May 25 - May 31 2020'!C:C)+Table36119101355571214175259616365676971[[#This Row],[Week Sales]]</f>
        <v>2457</v>
      </c>
      <c r="G22" s="9" t="s">
        <v>43</v>
      </c>
      <c r="H22" s="14">
        <v>43979</v>
      </c>
      <c r="I22" s="10" t="s">
        <v>36</v>
      </c>
      <c r="J22" s="92" t="str">
        <f t="shared" si="0"/>
        <v>New</v>
      </c>
    </row>
    <row r="23" spans="1:10" x14ac:dyDescent="0.2">
      <c r="A23" s="25">
        <v>22</v>
      </c>
      <c r="B23" s="18">
        <v>27</v>
      </c>
      <c r="C23" s="18" t="s">
        <v>7</v>
      </c>
      <c r="D23" s="86" t="s">
        <v>83</v>
      </c>
      <c r="E23" s="12">
        <v>2277</v>
      </c>
      <c r="F23" s="12">
        <f>SUMIFS('Week 21 May 18 - May 24 2020'!F:F,'Week 21 May 18 - May 24 2020'!D:D,'Week 22 May 25 - May 31 2020'!D:D,'Week 21 May 18 - May 24 2020'!C:C,'Week 22 May 25 - May 31 2020'!C:C)+Table36119101355571214175259616365676971[[#This Row],[Week Sales]]</f>
        <v>522970</v>
      </c>
      <c r="G23" s="18" t="str">
        <f>(VLOOKUP(D:D,'Week 21 May 18 - May 24 2020'!D:G,4,FALSE))</f>
        <v>Square Enix</v>
      </c>
      <c r="H23" s="67">
        <f>(VLOOKUP(D:D,'Week 21 May 18 - May 24 2020'!D:H,5,FALSE))</f>
        <v>43735</v>
      </c>
      <c r="I23" s="12">
        <f>_xlfn.IFNA(SUMIFS('Week 21 May 18 - May 24 2020'!E:E,'Week 21 May 18 - May 24 2020'!D:D,'Week 22 May 25 - May 31 2020'!D:D,'Week 21 May 18 - May 24 2020'!C:C,'Week 22 May 25 - May 31 2020'!C:C),"New")</f>
        <v>1714</v>
      </c>
      <c r="J23" s="28">
        <f t="shared" si="0"/>
        <v>0.32847141190198365</v>
      </c>
    </row>
    <row r="24" spans="1:10" x14ac:dyDescent="0.2">
      <c r="A24" s="25">
        <v>23</v>
      </c>
      <c r="B24" s="18">
        <v>22</v>
      </c>
      <c r="C24" s="18" t="s">
        <v>7</v>
      </c>
      <c r="D24" s="47" t="s">
        <v>79</v>
      </c>
      <c r="E24" s="12">
        <v>2249</v>
      </c>
      <c r="F24" s="12">
        <f>SUMIFS('Week 21 May 18 - May 24 2020'!F:F,'Week 21 May 18 - May 24 2020'!D:D,'Week 22 May 25 - May 31 2020'!D:D,'Week 21 May 18 - May 24 2020'!C:C,'Week 22 May 25 - May 31 2020'!C:C)+Table36119101355571214175259616365676971[[#This Row],[Week Sales]]</f>
        <v>647434</v>
      </c>
      <c r="G24" s="18" t="str">
        <f>(VLOOKUP(D:D,'Week 21 May 18 - May 24 2020'!D:G,4,FALSE))</f>
        <v>Nintendo</v>
      </c>
      <c r="H24" s="67">
        <f>(VLOOKUP(D:D,'Week 21 May 18 - May 24 2020'!D:H,5,FALSE))</f>
        <v>43769</v>
      </c>
      <c r="I24" s="12">
        <f>_xlfn.IFNA(SUMIFS('Week 21 May 18 - May 24 2020'!E:E,'Week 21 May 18 - May 24 2020'!D:D,'Week 22 May 25 - May 31 2020'!D:D,'Week 21 May 18 - May 24 2020'!C:C,'Week 22 May 25 - May 31 2020'!C:C),"New")</f>
        <v>1984</v>
      </c>
      <c r="J24" s="28">
        <f t="shared" si="0"/>
        <v>0.13356854838709678</v>
      </c>
    </row>
    <row r="25" spans="1:10" x14ac:dyDescent="0.2">
      <c r="A25" s="25">
        <v>24</v>
      </c>
      <c r="B25" s="18">
        <v>25</v>
      </c>
      <c r="C25" s="18" t="s">
        <v>222</v>
      </c>
      <c r="D25" s="47" t="s">
        <v>223</v>
      </c>
      <c r="E25" s="12">
        <v>2155</v>
      </c>
      <c r="F25" s="12">
        <f>SUMIFS('Week 21 May 18 - May 24 2020'!F:F,'Week 21 May 18 - May 24 2020'!D:D,'Week 22 May 25 - May 31 2020'!D:D,'Week 21 May 18 - May 24 2020'!C:C,'Week 22 May 25 - May 31 2020'!C:C)+Table36119101355571214175259616365676971[[#This Row],[Week Sales]]</f>
        <v>508923</v>
      </c>
      <c r="G25" s="18" t="str">
        <f>(VLOOKUP(D:D,'Week 21 May 18 - May 24 2020'!D:G,4,FALSE))</f>
        <v>Nintendo</v>
      </c>
      <c r="H25" s="67">
        <f>(VLOOKUP(D:D,'Week 21 May 18 - May 24 2020'!D:H,5,FALSE))</f>
        <v>42697</v>
      </c>
      <c r="I25" s="12">
        <f>_xlfn.IFNA(SUMIFS('Week 21 May 18 - May 24 2020'!E:E,'Week 21 May 18 - May 24 2020'!D:D,'Week 22 May 25 - May 31 2020'!D:D,'Week 21 May 18 - May 24 2020'!C:C,'Week 22 May 25 - May 31 2020'!C:C),"New")</f>
        <v>1832</v>
      </c>
      <c r="J25" s="28">
        <f t="shared" si="0"/>
        <v>0.17631004366812228</v>
      </c>
    </row>
    <row r="26" spans="1:10" x14ac:dyDescent="0.2">
      <c r="A26" s="25">
        <v>25</v>
      </c>
      <c r="B26" s="18">
        <v>21</v>
      </c>
      <c r="C26" s="18" t="s">
        <v>8</v>
      </c>
      <c r="D26" s="47" t="s">
        <v>99</v>
      </c>
      <c r="E26" s="12">
        <v>1968</v>
      </c>
      <c r="F26" s="12">
        <f>SUMIFS('Week 21 May 18 - May 24 2020'!F:F,'Week 21 May 18 - May 24 2020'!D:D,'Week 22 May 25 - May 31 2020'!D:D,'Week 21 May 18 - May 24 2020'!C:C,'Week 22 May 25 - May 31 2020'!C:C)+Table36119101355571214175259616365676971[[#This Row],[Week Sales]]</f>
        <v>473895</v>
      </c>
      <c r="G26" s="18" t="str">
        <f>(VLOOKUP(D:D,'Week 21 May 18 - May 24 2020'!D:G,4,FALSE))</f>
        <v>Capcom</v>
      </c>
      <c r="H26" s="67">
        <f>(VLOOKUP(D:D,'Week 21 May 18 - May 24 2020'!D:H,5,FALSE))</f>
        <v>43714</v>
      </c>
      <c r="I26" s="12">
        <f>_xlfn.IFNA(SUMIFS('Week 21 May 18 - May 24 2020'!E:E,'Week 21 May 18 - May 24 2020'!D:D,'Week 22 May 25 - May 31 2020'!D:D,'Week 21 May 18 - May 24 2020'!C:C,'Week 22 May 25 - May 31 2020'!C:C),"New")</f>
        <v>1998</v>
      </c>
      <c r="J26" s="28">
        <f t="shared" si="0"/>
        <v>-1.5015015015015015E-2</v>
      </c>
    </row>
    <row r="27" spans="1:10" x14ac:dyDescent="0.2">
      <c r="A27" s="25">
        <v>26</v>
      </c>
      <c r="B27" s="18">
        <v>17</v>
      </c>
      <c r="C27" s="18" t="s">
        <v>7</v>
      </c>
      <c r="D27" s="47" t="s">
        <v>245</v>
      </c>
      <c r="E27" s="12">
        <v>1954</v>
      </c>
      <c r="F27" s="12">
        <f>SUMIFS('Week 21 May 18 - May 24 2020'!F:F,'Week 21 May 18 - May 24 2020'!D:D,'Week 22 May 25 - May 31 2020'!D:D,'Week 21 May 18 - May 24 2020'!C:C,'Week 22 May 25 - May 31 2020'!C:C)+Table36119101355571214175259616365676971[[#This Row],[Week Sales]]</f>
        <v>10385</v>
      </c>
      <c r="G27" s="18" t="str">
        <f>(VLOOKUP(D:D,'Week 21 May 18 - May 24 2020'!D:G,4,FALSE))</f>
        <v>Square Enix</v>
      </c>
      <c r="H27" s="67">
        <f>(VLOOKUP(D:D,'Week 21 May 18 - May 24 2020'!D:H,5,FALSE))</f>
        <v>43965</v>
      </c>
      <c r="I27" s="12">
        <f>_xlfn.IFNA(SUMIFS('Week 21 May 18 - May 24 2020'!E:E,'Week 21 May 18 - May 24 2020'!D:D,'Week 22 May 25 - May 31 2020'!D:D,'Week 21 May 18 - May 24 2020'!C:C,'Week 22 May 25 - May 31 2020'!C:C),"New")</f>
        <v>2774</v>
      </c>
      <c r="J27" s="28">
        <f t="shared" si="0"/>
        <v>-0.29560201874549386</v>
      </c>
    </row>
    <row r="28" spans="1:10" x14ac:dyDescent="0.2">
      <c r="A28" s="25">
        <v>27</v>
      </c>
      <c r="B28" s="18">
        <v>18</v>
      </c>
      <c r="C28" s="18" t="s">
        <v>8</v>
      </c>
      <c r="D28" s="47" t="s">
        <v>246</v>
      </c>
      <c r="E28" s="12">
        <v>1905</v>
      </c>
      <c r="F28" s="12">
        <f>SUMIFS('Week 21 May 18 - May 24 2020'!F:F,'Week 21 May 18 - May 24 2020'!D:D,'Week 22 May 25 - May 31 2020'!D:D,'Week 21 May 18 - May 24 2020'!C:C,'Week 22 May 25 - May 31 2020'!C:C)+Table36119101355571214175259616365676971[[#This Row],[Week Sales]]</f>
        <v>77761</v>
      </c>
      <c r="G28" s="18" t="str">
        <f>(VLOOKUP(D:D,'Week 21 May 18 - May 24 2020'!D:G,4,FALSE))</f>
        <v>Sony</v>
      </c>
      <c r="H28" s="67">
        <f>(VLOOKUP(D:D,'Week 21 May 18 - May 24 2020'!D:H,5,FALSE))</f>
        <v>43307</v>
      </c>
      <c r="I28" s="12">
        <f>_xlfn.IFNA(SUMIFS('Week 21 May 18 - May 24 2020'!E:E,'Week 21 May 18 - May 24 2020'!D:D,'Week 22 May 25 - May 31 2020'!D:D,'Week 21 May 18 - May 24 2020'!C:C,'Week 22 May 25 - May 31 2020'!C:C),"New")</f>
        <v>2634</v>
      </c>
      <c r="J28" s="28">
        <f t="shared" si="0"/>
        <v>-0.27676537585421412</v>
      </c>
    </row>
    <row r="29" spans="1:10" x14ac:dyDescent="0.2">
      <c r="A29" s="25">
        <v>28</v>
      </c>
      <c r="B29" s="18">
        <v>28</v>
      </c>
      <c r="C29" s="18" t="s">
        <v>7</v>
      </c>
      <c r="D29" s="47" t="s">
        <v>20</v>
      </c>
      <c r="E29" s="12">
        <v>1838</v>
      </c>
      <c r="F29" s="12">
        <f>SUMIFS('Week 21 May 18 - May 24 2020'!F:F,'Week 21 May 18 - May 24 2020'!D:D,'Week 22 May 25 - May 31 2020'!D:D,'Week 21 May 18 - May 24 2020'!C:C,'Week 22 May 25 - May 31 2020'!C:C)+Table36119101355571214175259616365676971[[#This Row],[Week Sales]]</f>
        <v>440969</v>
      </c>
      <c r="G29" s="18" t="str">
        <f>(VLOOKUP(D:D,'Week 21 May 18 - May 24 2020'!D:G,4,FALSE))</f>
        <v>Bandai Namco</v>
      </c>
      <c r="H29" s="67">
        <f>(VLOOKUP(D:D,'Week 21 May 18 - May 24 2020'!D:H,5,FALSE))</f>
        <v>43671</v>
      </c>
      <c r="I29" s="12">
        <f>_xlfn.IFNA(SUMIFS('Week 21 May 18 - May 24 2020'!E:E,'Week 21 May 18 - May 24 2020'!D:D,'Week 22 May 25 - May 31 2020'!D:D,'Week 21 May 18 - May 24 2020'!C:C,'Week 22 May 25 - May 31 2020'!C:C),"New")</f>
        <v>1651</v>
      </c>
      <c r="J29" s="28">
        <f t="shared" si="0"/>
        <v>0.11326468806783767</v>
      </c>
    </row>
    <row r="30" spans="1:10" x14ac:dyDescent="0.2">
      <c r="A30" s="25">
        <v>29</v>
      </c>
      <c r="B30" s="18">
        <v>26</v>
      </c>
      <c r="C30" s="18" t="s">
        <v>7</v>
      </c>
      <c r="D30" s="47" t="s">
        <v>228</v>
      </c>
      <c r="E30" s="12">
        <v>1833</v>
      </c>
      <c r="F30" s="12">
        <f>SUMIFS('Week 21 May 18 - May 24 2020'!F:F,'Week 21 May 18 - May 24 2020'!D:D,'Week 22 May 25 - May 31 2020'!D:D,'Week 21 May 18 - May 24 2020'!C:C,'Week 22 May 25 - May 31 2020'!C:C)+Table36119101355571214175259616365676971[[#This Row],[Week Sales]]</f>
        <v>110521</v>
      </c>
      <c r="G30" s="18" t="str">
        <f>(VLOOKUP(D:D,'Week 21 May 18 - May 24 2020'!D:G,4,FALSE))</f>
        <v>Imagineer</v>
      </c>
      <c r="H30" s="67">
        <f>(VLOOKUP(D:D,'Week 21 May 18 - May 24 2020'!D:H,5,FALSE))</f>
        <v>43454</v>
      </c>
      <c r="I30" s="12">
        <f>_xlfn.IFNA(SUMIFS('Week 21 May 18 - May 24 2020'!E:E,'Week 21 May 18 - May 24 2020'!D:D,'Week 22 May 25 - May 31 2020'!D:D,'Week 21 May 18 - May 24 2020'!C:C,'Week 22 May 25 - May 31 2020'!C:C),"New")</f>
        <v>1752</v>
      </c>
      <c r="J30" s="28">
        <f t="shared" si="0"/>
        <v>4.6232876712328765E-2</v>
      </c>
    </row>
    <row r="31" spans="1:10" x14ac:dyDescent="0.2">
      <c r="A31" s="25">
        <v>30</v>
      </c>
      <c r="B31" s="18">
        <v>24</v>
      </c>
      <c r="C31" s="18" t="s">
        <v>7</v>
      </c>
      <c r="D31" s="47" t="s">
        <v>209</v>
      </c>
      <c r="E31" s="12">
        <v>1778</v>
      </c>
      <c r="F31" s="12">
        <f>SUMIFS('Week 21 May 18 - May 24 2020'!F:F,'Week 21 May 18 - May 24 2020'!D:D,'Week 22 May 25 - May 31 2020'!D:D,'Week 21 May 18 - May 24 2020'!C:C,'Week 22 May 25 - May 31 2020'!C:C)+Table36119101355571214175259616365676971[[#This Row],[Week Sales]]</f>
        <v>255177</v>
      </c>
      <c r="G31" s="18" t="str">
        <f>(VLOOKUP(D:D,'Week 21 May 18 - May 24 2020'!D:G,4,FALSE))</f>
        <v>The Pokemon Company</v>
      </c>
      <c r="H31" s="67">
        <f>(VLOOKUP(D:D,'Week 21 May 18 - May 24 2020'!D:H,5,FALSE))</f>
        <v>43896</v>
      </c>
      <c r="I31" s="12">
        <f>_xlfn.IFNA(SUMIFS('Week 21 May 18 - May 24 2020'!E:E,'Week 21 May 18 - May 24 2020'!D:D,'Week 22 May 25 - May 31 2020'!D:D,'Week 21 May 18 - May 24 2020'!C:C,'Week 22 May 25 - May 31 2020'!C:C),"New")</f>
        <v>1839</v>
      </c>
      <c r="J31" s="28">
        <f t="shared" si="0"/>
        <v>-3.3170201196302339E-2</v>
      </c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356643</v>
      </c>
      <c r="F33" s="2"/>
      <c r="I33" s="2"/>
      <c r="J33" s="19"/>
    </row>
    <row r="34" spans="1:10" x14ac:dyDescent="0.2">
      <c r="A34" s="3"/>
      <c r="B34" s="3"/>
      <c r="D34" s="100" t="s">
        <v>178</v>
      </c>
      <c r="E34" s="101">
        <f>SUM('Week 21 May 18 - May 24 2020'!E34,'Week 22 May 25 - May 31 2020'!E33)</f>
        <v>11667550</v>
      </c>
      <c r="F34" s="2"/>
      <c r="I34" s="2"/>
      <c r="J34" s="19"/>
    </row>
    <row r="35" spans="1:10" x14ac:dyDescent="0.2">
      <c r="A35" s="3"/>
      <c r="B35" s="3"/>
      <c r="D35" s="98" t="s">
        <v>249</v>
      </c>
      <c r="E35" s="99">
        <f>(E33+'Week 21 May 18 - May 24 2020'!E33+'Week 20 May 11 - May 17 2020'!E33+'Week 19 May 4 - May 10 2020'!E33)</f>
        <v>1234964</v>
      </c>
      <c r="F35" s="2"/>
      <c r="I35" s="2"/>
      <c r="J35" s="19"/>
    </row>
    <row r="36" spans="1:10" x14ac:dyDescent="0.2">
      <c r="A36" s="3"/>
      <c r="B36" s="3"/>
      <c r="D36" s="2" t="s">
        <v>60</v>
      </c>
      <c r="E36" s="2">
        <f>AVERAGE(E2:E31)</f>
        <v>11888.1</v>
      </c>
      <c r="F36" s="2"/>
      <c r="I36" s="2"/>
      <c r="J36" s="19"/>
    </row>
    <row r="37" spans="1:10" x14ac:dyDescent="0.2">
      <c r="A37" s="3"/>
      <c r="B37" s="3"/>
      <c r="D37" s="9" t="s">
        <v>78</v>
      </c>
      <c r="E37" s="10">
        <f>COUNTIF(B:B,"New")</f>
        <v>5</v>
      </c>
      <c r="F37" s="2"/>
      <c r="I37" s="2"/>
      <c r="J37" s="19"/>
    </row>
    <row r="38" spans="1:10" x14ac:dyDescent="0.2">
      <c r="A38" s="3"/>
      <c r="B38" s="3"/>
      <c r="E38" s="2"/>
      <c r="F38" s="2"/>
      <c r="I38" s="2"/>
      <c r="J38" s="19"/>
    </row>
    <row r="39" spans="1:10" x14ac:dyDescent="0.2">
      <c r="A39" s="3"/>
      <c r="B39" s="3"/>
      <c r="D39" t="s">
        <v>66</v>
      </c>
      <c r="E39" s="2"/>
      <c r="F39" s="2"/>
      <c r="I39" s="2"/>
      <c r="J39" s="19"/>
    </row>
    <row r="40" spans="1:10" x14ac:dyDescent="0.2">
      <c r="A40" s="3"/>
      <c r="B40" s="3"/>
      <c r="D40" s="8" t="s">
        <v>67</v>
      </c>
      <c r="E40" s="2"/>
      <c r="F40" s="2"/>
      <c r="I40" s="2"/>
      <c r="J40" s="19"/>
    </row>
    <row r="41" spans="1:10" x14ac:dyDescent="0.2">
      <c r="A41" s="3"/>
      <c r="B41" s="3"/>
      <c r="D41" s="8" t="s">
        <v>65</v>
      </c>
      <c r="E41" s="2"/>
      <c r="F41" s="2"/>
      <c r="I41" s="2"/>
      <c r="J41" s="19"/>
    </row>
    <row r="42" spans="1:10" x14ac:dyDescent="0.2">
      <c r="D42" s="8" t="s">
        <v>71</v>
      </c>
    </row>
  </sheetData>
  <hyperlinks>
    <hyperlink ref="D42" r:id="rId1" xr:uid="{BE4EBB4C-68AD-3E41-8891-E60FB0102B67}"/>
    <hyperlink ref="D41" r:id="rId2" xr:uid="{8C3EAB33-F107-2C48-9B69-3C471CCA6CDC}"/>
    <hyperlink ref="D40" r:id="rId3" xr:uid="{47D1FAF0-9725-EB42-BBC8-9A333AB3B737}"/>
  </hyperlinks>
  <pageMargins left="0.7" right="0.7" top="0.75" bottom="0.75" header="0.3" footer="0.3"/>
  <pageSetup paperSize="9" orientation="portrait" horizontalDpi="0" verticalDpi="0"/>
  <ignoredErrors>
    <ignoredError sqref="G3:I22" calculatedColumn="1"/>
  </ignoredErrors>
  <tableParts count="1">
    <tablePart r:id="rId4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35E33-6F4D-3644-A2E8-F88ED258CEB3}">
  <dimension ref="A1:J41"/>
  <sheetViews>
    <sheetView workbookViewId="0">
      <selection activeCell="D12" sqref="D12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9.8320312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0" x14ac:dyDescent="0.2">
      <c r="A2" s="25">
        <v>1</v>
      </c>
      <c r="B2" s="18">
        <v>1</v>
      </c>
      <c r="C2" s="18" t="s">
        <v>7</v>
      </c>
      <c r="D2" s="86" t="s">
        <v>46</v>
      </c>
      <c r="E2" s="12">
        <v>97810</v>
      </c>
      <c r="F2" s="12">
        <f>SUMIFS('Week 22 May 25 - May 31 2020'!F:F,'Week 22 May 25 - May 31 2020'!D:D,'Week 23 June 1 - June 7 2020'!D:D,'Week 22 May 25 - May 31 2020'!C:C,'Week 23 June 1 - June 7 2020'!C:C)+Table3611910135557121417525961636567697173[[#This Row],[Week Sales]]</f>
        <v>4783229</v>
      </c>
      <c r="G2" s="18" t="str">
        <f>(VLOOKUP(D:D,'Week 22 May 25 - May 31 2020'!D:G,4,FALSE))</f>
        <v>Nintendo</v>
      </c>
      <c r="H2" s="67">
        <f>(VLOOKUP(D:D,'Week 22 May 25 - May 31 2020'!D:H,5,FALSE))</f>
        <v>43910</v>
      </c>
      <c r="I2" s="12">
        <f>_xlfn.IFNA(SUMIFS('Week 22 May 25 - May 31 2020'!E:E,'Week 22 May 25 - May 31 2020'!D:D,'Week 23 June 1 - June 7 2020'!D:D,'Week 22 May 25 - May 31 2020'!C:C,'Week 23 June 1 - June 7 2020'!C:C),"New")</f>
        <v>102749</v>
      </c>
      <c r="J2" s="28">
        <f>IFERROR((E2-I2)/I2,"New")</f>
        <v>-4.8068594341550766E-2</v>
      </c>
    </row>
    <row r="3" spans="1:10" x14ac:dyDescent="0.2">
      <c r="A3" s="13">
        <v>2</v>
      </c>
      <c r="B3" s="9" t="s">
        <v>36</v>
      </c>
      <c r="C3" s="9" t="s">
        <v>7</v>
      </c>
      <c r="D3" s="9" t="s">
        <v>50</v>
      </c>
      <c r="E3" s="10">
        <v>64443</v>
      </c>
      <c r="F3" s="10">
        <f>SUMIFS('Week 22 May 25 - May 31 2020'!F:F,'Week 22 May 25 - May 31 2020'!D:D,'Week 23 June 1 - June 7 2020'!D:D,'Week 22 May 25 - May 31 2020'!C:C,'Week 23 June 1 - June 7 2020'!C:C)+Table3611910135557121417525961636567697173[[#This Row],[Week Sales]]</f>
        <v>64443</v>
      </c>
      <c r="G3" s="9" t="s">
        <v>9</v>
      </c>
      <c r="H3" s="14">
        <v>43987</v>
      </c>
      <c r="I3" s="10" t="s">
        <v>36</v>
      </c>
      <c r="J3" s="92" t="str">
        <f>IFERROR((E4-I3)/I3,"New")</f>
        <v>New</v>
      </c>
    </row>
    <row r="4" spans="1:10" x14ac:dyDescent="0.2">
      <c r="A4" s="25">
        <v>3</v>
      </c>
      <c r="B4" s="18">
        <v>3</v>
      </c>
      <c r="C4" s="18" t="s">
        <v>7</v>
      </c>
      <c r="D4" s="47" t="s">
        <v>45</v>
      </c>
      <c r="E4" s="12">
        <v>29487</v>
      </c>
      <c r="F4" s="12">
        <f>SUMIFS('Week 22 May 25 - May 31 2020'!F:F,'Week 22 May 25 - May 31 2020'!D:D,'Week 23 June 1 - June 7 2020'!D:D,'Week 22 May 25 - May 31 2020'!C:C,'Week 23 June 1 - June 7 2020'!C:C)+Table3611910135557121417525961636567697173[[#This Row],[Week Sales]]</f>
        <v>986046</v>
      </c>
      <c r="G4" s="18" t="str">
        <f>(VLOOKUP(D:D,'Week 22 May 25 - May 31 2020'!D:G,4,FALSE))</f>
        <v>Nintendo</v>
      </c>
      <c r="H4" s="67">
        <f>(VLOOKUP(D:D,'Week 22 May 25 - May 31 2020'!D:H,5,FALSE))</f>
        <v>43756</v>
      </c>
      <c r="I4" s="12">
        <f>_xlfn.IFNA(SUMIFS('Week 22 May 25 - May 31 2020'!E:E,'Week 22 May 25 - May 31 2020'!D:D,'Week 23 June 1 - June 7 2020'!D:D,'Week 22 May 25 - May 31 2020'!C:C,'Week 23 June 1 - June 7 2020'!C:C),"New")</f>
        <v>39518</v>
      </c>
      <c r="J4" s="28" t="str">
        <f>IFERROR((#REF!-I4)/I4,"New")</f>
        <v>New</v>
      </c>
    </row>
    <row r="5" spans="1:10" x14ac:dyDescent="0.2">
      <c r="A5" s="25">
        <v>4</v>
      </c>
      <c r="B5" s="18">
        <v>2</v>
      </c>
      <c r="C5" s="18" t="s">
        <v>7</v>
      </c>
      <c r="D5" s="47" t="s">
        <v>250</v>
      </c>
      <c r="E5" s="12">
        <v>16786</v>
      </c>
      <c r="F5" s="12">
        <f>SUMIFS('Week 22 May 25 - May 31 2020'!F:F,'Week 22 May 25 - May 31 2020'!D:D,'Week 23 June 1 - June 7 2020'!D:D,'Week 22 May 25 - May 31 2020'!C:C,'Week 23 June 1 - June 7 2020'!C:C)+Table3611910135557121417525961636567697173[[#This Row],[Week Sales]]</f>
        <v>107575</v>
      </c>
      <c r="G5" s="18" t="str">
        <f>(VLOOKUP(D:D,'Week 22 May 25 - May 31 2020'!D:G,4,FALSE))</f>
        <v>Nintendo</v>
      </c>
      <c r="H5" s="67">
        <f>(VLOOKUP(D:D,'Week 22 May 25 - May 31 2020'!D:H,5,FALSE))</f>
        <v>43980</v>
      </c>
      <c r="I5" s="12">
        <f>_xlfn.IFNA(SUMIFS('Week 22 May 25 - May 31 2020'!E:E,'Week 22 May 25 - May 31 2020'!D:D,'Week 23 June 1 - June 7 2020'!D:D,'Week 22 May 25 - May 31 2020'!C:C,'Week 23 June 1 - June 7 2020'!C:C),"New")</f>
        <v>90789</v>
      </c>
      <c r="J5" s="28">
        <f t="shared" ref="J5:J31" si="0">IFERROR((E5-I5)/I5,"New")</f>
        <v>-0.81510975999295066</v>
      </c>
    </row>
    <row r="6" spans="1:10" x14ac:dyDescent="0.2">
      <c r="A6" s="13">
        <v>5</v>
      </c>
      <c r="B6" s="9" t="s">
        <v>36</v>
      </c>
      <c r="C6" s="9" t="s">
        <v>7</v>
      </c>
      <c r="D6" s="46" t="s">
        <v>257</v>
      </c>
      <c r="E6" s="10">
        <v>11774</v>
      </c>
      <c r="F6" s="10">
        <f>SUMIFS('Week 22 May 25 - May 31 2020'!F:F,'Week 22 May 25 - May 31 2020'!D:D,'Week 23 June 1 - June 7 2020'!D:D,'Week 22 May 25 - May 31 2020'!C:C,'Week 23 June 1 - June 7 2020'!C:C)+Table3611910135557121417525961636567697173[[#This Row],[Week Sales]]</f>
        <v>11774</v>
      </c>
      <c r="G6" s="9" t="s">
        <v>261</v>
      </c>
      <c r="H6" s="14">
        <v>43986</v>
      </c>
      <c r="I6" s="10" t="s">
        <v>36</v>
      </c>
      <c r="J6" s="92" t="str">
        <f t="shared" si="0"/>
        <v>New</v>
      </c>
    </row>
    <row r="7" spans="1:10" x14ac:dyDescent="0.2">
      <c r="A7" s="25">
        <v>6</v>
      </c>
      <c r="B7" s="18">
        <v>5</v>
      </c>
      <c r="C7" s="18" t="s">
        <v>7</v>
      </c>
      <c r="D7" s="47" t="s">
        <v>49</v>
      </c>
      <c r="E7" s="12">
        <v>10883</v>
      </c>
      <c r="F7" s="12">
        <f>SUMIFS('Week 22 May 25 - May 31 2020'!F:F,'Week 22 May 25 - May 31 2020'!D:D,'Week 23 June 1 - June 7 2020'!D:D,'Week 22 May 25 - May 31 2020'!C:C,'Week 23 June 1 - June 7 2020'!C:C)+Table3611910135557121417525961636567697173[[#This Row],[Week Sales]]</f>
        <v>2976727</v>
      </c>
      <c r="G7" s="18" t="str">
        <f>(VLOOKUP(D:D,'Week 22 May 25 - May 31 2020'!D:G,4,FALSE))</f>
        <v>Nintendo</v>
      </c>
      <c r="H7" s="67">
        <f>(VLOOKUP(D:D,'Week 22 May 25 - May 31 2020'!D:H,5,FALSE))</f>
        <v>42853</v>
      </c>
      <c r="I7" s="12">
        <f>_xlfn.IFNA(SUMIFS('Week 22 May 25 - May 31 2020'!E:E,'Week 22 May 25 - May 31 2020'!D:D,'Week 23 June 1 - June 7 2020'!D:D,'Week 22 May 25 - May 31 2020'!C:C,'Week 23 June 1 - June 7 2020'!C:C),"New")</f>
        <v>10415</v>
      </c>
      <c r="J7" s="28">
        <f t="shared" si="0"/>
        <v>4.4935189630340856E-2</v>
      </c>
    </row>
    <row r="8" spans="1:10" x14ac:dyDescent="0.2">
      <c r="A8" s="25">
        <v>7</v>
      </c>
      <c r="B8" s="18">
        <v>6</v>
      </c>
      <c r="C8" s="18" t="s">
        <v>7</v>
      </c>
      <c r="D8" s="47" t="s">
        <v>10</v>
      </c>
      <c r="E8" s="12">
        <v>9226</v>
      </c>
      <c r="F8" s="12">
        <f>SUMIFS('Week 22 May 25 - May 31 2020'!F:F,'Week 22 May 25 - May 31 2020'!D:D,'Week 23 June 1 - June 7 2020'!D:D,'Week 22 May 25 - May 31 2020'!C:C,'Week 23 June 1 - June 7 2020'!C:C)+Table3611910135557121417525961636567697173[[#This Row],[Week Sales]]</f>
        <v>3446650</v>
      </c>
      <c r="G8" s="18" t="str">
        <f>(VLOOKUP(D:D,'Week 22 May 25 - May 31 2020'!D:G,4,FALSE))</f>
        <v>Nintendo</v>
      </c>
      <c r="H8" s="67">
        <f>(VLOOKUP(D:D,'Week 22 May 25 - May 31 2020'!D:H,5,FALSE))</f>
        <v>42937</v>
      </c>
      <c r="I8" s="12">
        <f>_xlfn.IFNA(SUMIFS('Week 22 May 25 - May 31 2020'!E:E,'Week 22 May 25 - May 31 2020'!D:D,'Week 23 June 1 - June 7 2020'!D:D,'Week 22 May 25 - May 31 2020'!C:C,'Week 23 June 1 - June 7 2020'!C:C),"New")</f>
        <v>10041</v>
      </c>
      <c r="J8" s="28">
        <f t="shared" si="0"/>
        <v>-8.116721442087442E-2</v>
      </c>
    </row>
    <row r="9" spans="1:10" x14ac:dyDescent="0.2">
      <c r="A9" s="25">
        <v>8</v>
      </c>
      <c r="B9" s="18">
        <v>9</v>
      </c>
      <c r="C9" s="18" t="s">
        <v>7</v>
      </c>
      <c r="D9" s="47" t="s">
        <v>52</v>
      </c>
      <c r="E9" s="12">
        <v>7610</v>
      </c>
      <c r="F9" s="12">
        <f>SUMIFS('Week 22 May 25 - May 31 2020'!F:F,'Week 22 May 25 - May 31 2020'!D:D,'Week 23 June 1 - June 7 2020'!D:D,'Week 22 May 25 - May 31 2020'!C:C,'Week 23 June 1 - June 7 2020'!C:C)+Table3611910135557121417525961636567697173[[#This Row],[Week Sales]]</f>
        <v>3718682</v>
      </c>
      <c r="G9" s="18" t="str">
        <f>(VLOOKUP(D:D,'Week 22 May 25 - May 31 2020'!D:G,4,FALSE))</f>
        <v>Nintendo</v>
      </c>
      <c r="H9" s="67">
        <f>(VLOOKUP(D:D,'Week 22 May 25 - May 31 2020'!D:H,5,FALSE))</f>
        <v>43441</v>
      </c>
      <c r="I9" s="12">
        <f>_xlfn.IFNA(SUMIFS('Week 22 May 25 - May 31 2020'!E:E,'Week 22 May 25 - May 31 2020'!D:D,'Week 23 June 1 - June 7 2020'!D:D,'Week 22 May 25 - May 31 2020'!C:C,'Week 23 June 1 - June 7 2020'!C:C),"New")</f>
        <v>7262</v>
      </c>
      <c r="J9" s="28">
        <f t="shared" si="0"/>
        <v>4.7920683007435967E-2</v>
      </c>
    </row>
    <row r="10" spans="1:10" x14ac:dyDescent="0.2">
      <c r="A10" s="25">
        <v>9</v>
      </c>
      <c r="B10" s="18">
        <v>27</v>
      </c>
      <c r="C10" s="18" t="s">
        <v>8</v>
      </c>
      <c r="D10" s="47" t="s">
        <v>246</v>
      </c>
      <c r="E10" s="12">
        <v>7210</v>
      </c>
      <c r="F10" s="12">
        <f>SUMIFS('Week 22 May 25 - May 31 2020'!F:F,'Week 22 May 25 - May 31 2020'!D:D,'Week 23 June 1 - June 7 2020'!D:D,'Week 22 May 25 - May 31 2020'!C:C,'Week 23 June 1 - June 7 2020'!C:C)+Table3611910135557121417525961636567697173[[#This Row],[Week Sales]]</f>
        <v>84971</v>
      </c>
      <c r="G10" s="18" t="str">
        <f>(VLOOKUP(D:D,'Week 22 May 25 - May 31 2020'!D:G,4,FALSE))</f>
        <v>Sony</v>
      </c>
      <c r="H10" s="67">
        <f>(VLOOKUP(D:D,'Week 22 May 25 - May 31 2020'!D:H,5,FALSE))</f>
        <v>43307</v>
      </c>
      <c r="I10" s="12">
        <f>_xlfn.IFNA(SUMIFS('Week 22 May 25 - May 31 2020'!E:E,'Week 22 May 25 - May 31 2020'!D:D,'Week 23 June 1 - June 7 2020'!D:D,'Week 22 May 25 - May 31 2020'!C:C,'Week 23 June 1 - June 7 2020'!C:C),"New")</f>
        <v>1905</v>
      </c>
      <c r="J10" s="28">
        <f t="shared" si="0"/>
        <v>2.7847769028871392</v>
      </c>
    </row>
    <row r="11" spans="1:10" x14ac:dyDescent="0.2">
      <c r="A11" s="25">
        <v>10</v>
      </c>
      <c r="B11" s="18">
        <v>10</v>
      </c>
      <c r="C11" s="18" t="s">
        <v>7</v>
      </c>
      <c r="D11" s="47" t="s">
        <v>12</v>
      </c>
      <c r="E11" s="12">
        <v>7082</v>
      </c>
      <c r="F11" s="12">
        <f>SUMIFS('Week 22 May 25 - May 31 2020'!F:F,'Week 22 May 25 - May 31 2020'!D:D,'Week 23 June 1 - June 7 2020'!D:D,'Week 22 May 25 - May 31 2020'!C:C,'Week 23 June 1 - June 7 2020'!C:C)+Table3611910135557121417525961636567697173[[#This Row],[Week Sales]]</f>
        <v>1406932</v>
      </c>
      <c r="G11" s="18" t="str">
        <f>(VLOOKUP(D:D,'Week 22 May 25 - May 31 2020'!D:G,4,FALSE))</f>
        <v>Microsoft</v>
      </c>
      <c r="H11" s="67">
        <f>(VLOOKUP(D:D,'Week 22 May 25 - May 31 2020'!D:H,5,FALSE))</f>
        <v>43272</v>
      </c>
      <c r="I11" s="12">
        <f>_xlfn.IFNA(SUMIFS('Week 22 May 25 - May 31 2020'!E:E,'Week 22 May 25 - May 31 2020'!D:D,'Week 23 June 1 - June 7 2020'!D:D,'Week 22 May 25 - May 31 2020'!C:C,'Week 23 June 1 - June 7 2020'!C:C),"New")</f>
        <v>6741</v>
      </c>
      <c r="J11" s="28">
        <f t="shared" si="0"/>
        <v>5.058596647381694E-2</v>
      </c>
    </row>
    <row r="12" spans="1:10" x14ac:dyDescent="0.2">
      <c r="A12" s="25">
        <v>11</v>
      </c>
      <c r="B12" s="18">
        <v>12</v>
      </c>
      <c r="C12" s="18" t="s">
        <v>7</v>
      </c>
      <c r="D12" s="47" t="s">
        <v>62</v>
      </c>
      <c r="E12" s="12">
        <v>6368</v>
      </c>
      <c r="F12" s="12">
        <f>SUMIFS('Week 22 May 25 - May 31 2020'!F:F,'Week 22 May 25 - May 31 2020'!D:D,'Week 23 June 1 - June 7 2020'!D:D,'Week 22 May 25 - May 31 2020'!C:C,'Week 23 June 1 - June 7 2020'!C:C)+Table3611910135557121417525961636567697173[[#This Row],[Week Sales]]</f>
        <v>3614327</v>
      </c>
      <c r="G12" s="18" t="str">
        <f>(VLOOKUP(D:D,'Week 22 May 25 - May 31 2020'!D:G,4,FALSE))</f>
        <v>The Pokemon Company</v>
      </c>
      <c r="H12" s="67">
        <f>(VLOOKUP(D:D,'Week 22 May 25 - May 31 2020'!D:H,5,FALSE))</f>
        <v>43784</v>
      </c>
      <c r="I12" s="12">
        <f>_xlfn.IFNA(SUMIFS('Week 22 May 25 - May 31 2020'!E:E,'Week 22 May 25 - May 31 2020'!D:D,'Week 23 June 1 - June 7 2020'!D:D,'Week 22 May 25 - May 31 2020'!C:C,'Week 23 June 1 - June 7 2020'!C:C),"New")</f>
        <v>5707</v>
      </c>
      <c r="J12" s="28">
        <f t="shared" si="0"/>
        <v>0.11582267390923427</v>
      </c>
    </row>
    <row r="13" spans="1:10" x14ac:dyDescent="0.2">
      <c r="A13" s="25">
        <v>12</v>
      </c>
      <c r="B13" s="18">
        <v>11</v>
      </c>
      <c r="C13" s="18" t="s">
        <v>7</v>
      </c>
      <c r="D13" s="47" t="s">
        <v>13</v>
      </c>
      <c r="E13" s="12">
        <v>5563</v>
      </c>
      <c r="F13" s="12">
        <f>SUMIFS('Week 22 May 25 - May 31 2020'!F:F,'Week 22 May 25 - May 31 2020'!D:D,'Week 23 June 1 - June 7 2020'!D:D,'Week 22 May 25 - May 31 2020'!C:C,'Week 23 June 1 - June 7 2020'!C:C)+Table3611910135557121417525961636567697173[[#This Row],[Week Sales]]</f>
        <v>1462483</v>
      </c>
      <c r="G13" s="18" t="str">
        <f>(VLOOKUP(D:D,'Week 22 May 25 - May 31 2020'!D:G,4,FALSE))</f>
        <v>Nintendo</v>
      </c>
      <c r="H13" s="67">
        <f>(VLOOKUP(D:D,'Week 22 May 25 - May 31 2020'!D:H,5,FALSE))</f>
        <v>43378</v>
      </c>
      <c r="I13" s="12">
        <f>_xlfn.IFNA(SUMIFS('Week 22 May 25 - May 31 2020'!E:E,'Week 22 May 25 - May 31 2020'!D:D,'Week 23 June 1 - June 7 2020'!D:D,'Week 22 May 25 - May 31 2020'!C:C,'Week 23 June 1 - June 7 2020'!C:C),"New")</f>
        <v>5827</v>
      </c>
      <c r="J13" s="28">
        <f t="shared" si="0"/>
        <v>-4.5306332589668784E-2</v>
      </c>
    </row>
    <row r="14" spans="1:10" x14ac:dyDescent="0.2">
      <c r="A14" s="35">
        <v>13</v>
      </c>
      <c r="B14" s="31" t="s">
        <v>53</v>
      </c>
      <c r="C14" s="31" t="s">
        <v>8</v>
      </c>
      <c r="D14" s="52" t="s">
        <v>258</v>
      </c>
      <c r="E14" s="33">
        <v>4529</v>
      </c>
      <c r="F14" s="33">
        <v>108879</v>
      </c>
      <c r="G14" s="31" t="s">
        <v>30</v>
      </c>
      <c r="H14" s="93">
        <v>42656</v>
      </c>
      <c r="I14" s="33"/>
      <c r="J14" s="97"/>
    </row>
    <row r="15" spans="1:10" x14ac:dyDescent="0.2">
      <c r="A15" s="25">
        <v>14</v>
      </c>
      <c r="B15" s="18">
        <v>13</v>
      </c>
      <c r="C15" s="18" t="s">
        <v>8</v>
      </c>
      <c r="D15" s="47" t="s">
        <v>234</v>
      </c>
      <c r="E15" s="12">
        <v>4404</v>
      </c>
      <c r="F15" s="12">
        <f>SUMIFS('Week 22 May 25 - May 31 2020'!F:F,'Week 22 May 25 - May 31 2020'!D:D,'Week 23 June 1 - June 7 2020'!D:D,'Week 22 May 25 - May 31 2020'!C:C,'Week 23 June 1 - June 7 2020'!C:C)+Table3611910135557121417525961636567697173[[#This Row],[Week Sales]]</f>
        <v>923691</v>
      </c>
      <c r="G15" s="18" t="str">
        <f>(VLOOKUP(D:D,'Week 22 May 25 - May 31 2020'!D:G,4,FALSE))</f>
        <v>Square Enix</v>
      </c>
      <c r="H15" s="67">
        <f>(VLOOKUP(D:D,'Week 22 May 25 - May 31 2020'!D:H,5,FALSE))</f>
        <v>43931</v>
      </c>
      <c r="I15" s="12">
        <f>_xlfn.IFNA(SUMIFS('Week 22 May 25 - May 31 2020'!E:E,'Week 22 May 25 - May 31 2020'!D:D,'Week 23 June 1 - June 7 2020'!D:D,'Week 22 May 25 - May 31 2020'!C:C,'Week 23 June 1 - June 7 2020'!C:C),"New")</f>
        <v>5048</v>
      </c>
      <c r="J15" s="28">
        <f t="shared" si="0"/>
        <v>-0.12757527733755944</v>
      </c>
    </row>
    <row r="16" spans="1:10" x14ac:dyDescent="0.2">
      <c r="A16" s="35">
        <v>15</v>
      </c>
      <c r="B16" s="31" t="s">
        <v>53</v>
      </c>
      <c r="C16" s="31" t="s">
        <v>8</v>
      </c>
      <c r="D16" s="52" t="s">
        <v>259</v>
      </c>
      <c r="E16" s="33">
        <v>4220</v>
      </c>
      <c r="F16" s="33">
        <v>35865</v>
      </c>
      <c r="G16" s="31" t="s">
        <v>30</v>
      </c>
      <c r="H16" s="93">
        <v>43027</v>
      </c>
      <c r="I16" s="33"/>
      <c r="J16" s="97"/>
    </row>
    <row r="17" spans="1:10" x14ac:dyDescent="0.2">
      <c r="A17" s="25">
        <v>16</v>
      </c>
      <c r="B17" s="18">
        <v>14</v>
      </c>
      <c r="C17" s="18" t="s">
        <v>7</v>
      </c>
      <c r="D17" s="47" t="s">
        <v>16</v>
      </c>
      <c r="E17" s="12">
        <v>3793</v>
      </c>
      <c r="F17" s="12">
        <f>SUMIFS('Week 22 May 25 - May 31 2020'!F:F,'Week 22 May 25 - May 31 2020'!D:D,'Week 23 June 1 - June 7 2020'!D:D,'Week 22 May 25 - May 31 2020'!C:C,'Week 23 June 1 - June 7 2020'!C:C)+Table3611910135557121417525961636567697173[[#This Row],[Week Sales]]</f>
        <v>243492</v>
      </c>
      <c r="G17" s="18" t="str">
        <f>(VLOOKUP(D:D,'Week 22 May 25 - May 31 2020'!D:G,4,FALSE))</f>
        <v>Nintendo</v>
      </c>
      <c r="H17" s="67">
        <f>(VLOOKUP(D:D,'Week 22 May 25 - May 31 2020'!D:H,5,FALSE))</f>
        <v>43826</v>
      </c>
      <c r="I17" s="12">
        <f>_xlfn.IFNA(SUMIFS('Week 22 May 25 - May 31 2020'!E:E,'Week 22 May 25 - May 31 2020'!D:D,'Week 23 June 1 - June 7 2020'!D:D,'Week 22 May 25 - May 31 2020'!C:C,'Week 23 June 1 - June 7 2020'!C:C),"New")</f>
        <v>4964</v>
      </c>
      <c r="J17" s="28">
        <f t="shared" si="0"/>
        <v>-0.23589846897663175</v>
      </c>
    </row>
    <row r="18" spans="1:10" x14ac:dyDescent="0.2">
      <c r="A18" s="25">
        <v>17</v>
      </c>
      <c r="B18" s="18">
        <v>15</v>
      </c>
      <c r="C18" s="18" t="s">
        <v>7</v>
      </c>
      <c r="D18" s="47" t="s">
        <v>39</v>
      </c>
      <c r="E18" s="12">
        <v>3416</v>
      </c>
      <c r="F18" s="12">
        <f>SUMIFS('Week 22 May 25 - May 31 2020'!F:F,'Week 22 May 25 - May 31 2020'!D:D,'Week 23 June 1 - June 7 2020'!D:D,'Week 22 May 25 - May 31 2020'!C:C,'Week 23 June 1 - June 7 2020'!C:C)+Table3611910135557121417525961636567697173[[#This Row],[Week Sales]]</f>
        <v>1594144</v>
      </c>
      <c r="G18" s="18" t="str">
        <f>(VLOOKUP(D:D,'Week 22 May 25 - May 31 2020'!D:G,4,FALSE))</f>
        <v>Nintendo</v>
      </c>
      <c r="H18" s="67">
        <f>(VLOOKUP(D:D,'Week 22 May 25 - May 31 2020'!D:H,5,FALSE))</f>
        <v>42797</v>
      </c>
      <c r="I18" s="12">
        <f>_xlfn.IFNA(SUMIFS('Week 22 May 25 - May 31 2020'!E:E,'Week 22 May 25 - May 31 2020'!D:D,'Week 23 June 1 - June 7 2020'!D:D,'Week 22 May 25 - May 31 2020'!C:C,'Week 23 June 1 - June 7 2020'!C:C),"New")</f>
        <v>3338</v>
      </c>
      <c r="J18" s="28">
        <f t="shared" si="0"/>
        <v>2.3367285799880167E-2</v>
      </c>
    </row>
    <row r="19" spans="1:10" x14ac:dyDescent="0.2">
      <c r="A19" s="25">
        <v>18</v>
      </c>
      <c r="B19" s="18">
        <v>23</v>
      </c>
      <c r="C19" s="18" t="s">
        <v>7</v>
      </c>
      <c r="D19" s="47" t="s">
        <v>79</v>
      </c>
      <c r="E19" s="12">
        <v>3280</v>
      </c>
      <c r="F19" s="12">
        <f>SUMIFS('Week 22 May 25 - May 31 2020'!F:F,'Week 22 May 25 - May 31 2020'!D:D,'Week 23 June 1 - June 7 2020'!D:D,'Week 22 May 25 - May 31 2020'!C:C,'Week 23 June 1 - June 7 2020'!C:C)+Table3611910135557121417525961636567697173[[#This Row],[Week Sales]]</f>
        <v>650714</v>
      </c>
      <c r="G19" s="18" t="str">
        <f>(VLOOKUP(D:D,'Week 22 May 25 - May 31 2020'!D:G,4,FALSE))</f>
        <v>Nintendo</v>
      </c>
      <c r="H19" s="67">
        <f>(VLOOKUP(D:D,'Week 22 May 25 - May 31 2020'!D:H,5,FALSE))</f>
        <v>43769</v>
      </c>
      <c r="I19" s="12">
        <f>_xlfn.IFNA(SUMIFS('Week 22 May 25 - May 31 2020'!E:E,'Week 22 May 25 - May 31 2020'!D:D,'Week 23 June 1 - June 7 2020'!D:D,'Week 22 May 25 - May 31 2020'!C:C,'Week 23 June 1 - June 7 2020'!C:C),"New")</f>
        <v>2249</v>
      </c>
      <c r="J19" s="28">
        <f t="shared" si="0"/>
        <v>0.45842596709648731</v>
      </c>
    </row>
    <row r="20" spans="1:10" x14ac:dyDescent="0.2">
      <c r="A20" s="25">
        <v>19</v>
      </c>
      <c r="B20" s="18">
        <v>16</v>
      </c>
      <c r="C20" s="18" t="s">
        <v>7</v>
      </c>
      <c r="D20" s="47" t="s">
        <v>19</v>
      </c>
      <c r="E20" s="12">
        <v>3203</v>
      </c>
      <c r="F20" s="12">
        <f>SUMIFS('Week 22 May 25 - May 31 2020'!F:F,'Week 22 May 25 - May 31 2020'!D:D,'Week 23 June 1 - June 7 2020'!D:D,'Week 22 May 25 - May 31 2020'!C:C,'Week 23 June 1 - June 7 2020'!C:C)+Table3611910135557121417525961636567697173[[#This Row],[Week Sales]]</f>
        <v>922204</v>
      </c>
      <c r="G20" s="18" t="str">
        <f>(VLOOKUP(D:D,'Week 22 May 25 - May 31 2020'!D:G,4,FALSE))</f>
        <v>Nintendo</v>
      </c>
      <c r="H20" s="67">
        <f>(VLOOKUP(D:D,'Week 22 May 25 - May 31 2020'!D:H,5,FALSE))</f>
        <v>43644</v>
      </c>
      <c r="I20" s="12">
        <f>_xlfn.IFNA(SUMIFS('Week 22 May 25 - May 31 2020'!E:E,'Week 22 May 25 - May 31 2020'!D:D,'Week 23 June 1 - June 7 2020'!D:D,'Week 22 May 25 - May 31 2020'!C:C,'Week 23 June 1 - June 7 2020'!C:C),"New")</f>
        <v>3108</v>
      </c>
      <c r="J20" s="28">
        <f t="shared" si="0"/>
        <v>3.0566280566280565E-2</v>
      </c>
    </row>
    <row r="21" spans="1:10" x14ac:dyDescent="0.2">
      <c r="A21" s="25">
        <v>20</v>
      </c>
      <c r="B21" s="18">
        <v>17</v>
      </c>
      <c r="C21" s="18" t="s">
        <v>8</v>
      </c>
      <c r="D21" s="86" t="s">
        <v>187</v>
      </c>
      <c r="E21" s="12">
        <v>2908</v>
      </c>
      <c r="F21" s="12">
        <f>SUMIFS('Week 22 May 25 - May 31 2020'!F:F,'Week 22 May 25 - May 31 2020'!D:D,'Week 23 June 1 - June 7 2020'!D:D,'Week 22 May 25 - May 31 2020'!C:C,'Week 23 June 1 - June 7 2020'!C:C)+Table3611910135557121417525961636567697173[[#This Row],[Week Sales]]</f>
        <v>60196</v>
      </c>
      <c r="G21" s="18" t="str">
        <f>(VLOOKUP(D:D,'Week 22 May 25 - May 31 2020'!D:G,4,FALSE))</f>
        <v>Rockstar Games</v>
      </c>
      <c r="H21" s="67">
        <f>(VLOOKUP(D:D,'Week 22 May 25 - May 31 2020'!D:H,5,FALSE))</f>
        <v>43440</v>
      </c>
      <c r="I21" s="12">
        <f>_xlfn.IFNA(SUMIFS('Week 22 May 25 - May 31 2020'!E:E,'Week 22 May 25 - May 31 2020'!D:D,'Week 23 June 1 - June 7 2020'!D:D,'Week 22 May 25 - May 31 2020'!C:C,'Week 23 June 1 - June 7 2020'!C:C),"New")</f>
        <v>3062</v>
      </c>
      <c r="J21" s="28">
        <f t="shared" si="0"/>
        <v>-5.0293925538863485E-2</v>
      </c>
    </row>
    <row r="22" spans="1:10" x14ac:dyDescent="0.2">
      <c r="A22" s="25">
        <v>21</v>
      </c>
      <c r="B22" s="18">
        <v>18</v>
      </c>
      <c r="C22" s="18" t="s">
        <v>7</v>
      </c>
      <c r="D22" s="47" t="s">
        <v>17</v>
      </c>
      <c r="E22" s="12">
        <v>2584</v>
      </c>
      <c r="F22" s="12">
        <f>SUMIFS('Week 22 May 25 - May 31 2020'!F:F,'Week 22 May 25 - May 31 2020'!D:D,'Week 23 June 1 - June 7 2020'!D:D,'Week 22 May 25 - May 31 2020'!C:C,'Week 23 June 1 - June 7 2020'!C:C)+Table3611910135557121417525961636567697173[[#This Row],[Week Sales]]</f>
        <v>849674</v>
      </c>
      <c r="G22" s="18" t="str">
        <f>(VLOOKUP(D:D,'Week 22 May 25 - May 31 2020'!D:G,4,FALSE))</f>
        <v>Nintendo</v>
      </c>
      <c r="H22" s="67">
        <f>(VLOOKUP(D:D,'Week 22 May 25 - May 31 2020'!D:H,5,FALSE))</f>
        <v>43476</v>
      </c>
      <c r="I22" s="12">
        <f>_xlfn.IFNA(SUMIFS('Week 22 May 25 - May 31 2020'!E:E,'Week 22 May 25 - May 31 2020'!D:D,'Week 23 June 1 - June 7 2020'!D:D,'Week 22 May 25 - May 31 2020'!C:C,'Week 23 June 1 - June 7 2020'!C:C),"New")</f>
        <v>3031</v>
      </c>
      <c r="J22" s="28">
        <f t="shared" si="0"/>
        <v>-0.14747608050148467</v>
      </c>
    </row>
    <row r="23" spans="1:10" x14ac:dyDescent="0.2">
      <c r="A23" s="25">
        <v>22</v>
      </c>
      <c r="B23" s="18">
        <v>8</v>
      </c>
      <c r="C23" s="18" t="s">
        <v>8</v>
      </c>
      <c r="D23" s="47" t="s">
        <v>253</v>
      </c>
      <c r="E23" s="12">
        <v>2505</v>
      </c>
      <c r="F23" s="12">
        <f>SUMIFS('Week 22 May 25 - May 31 2020'!F:F,'Week 22 May 25 - May 31 2020'!D:D,'Week 23 June 1 - June 7 2020'!D:D,'Week 22 May 25 - May 31 2020'!C:C,'Week 23 June 1 - June 7 2020'!C:C)+Table3611910135557121417525961636567697173[[#This Row],[Week Sales]]</f>
        <v>9902</v>
      </c>
      <c r="G23" s="18" t="str">
        <f>(VLOOKUP(D:D,'Week 22 May 25 - May 31 2020'!D:G,4,FALSE))</f>
        <v>Sega</v>
      </c>
      <c r="H23" s="67">
        <f>(VLOOKUP(D:D,'Week 22 May 25 - May 31 2020'!D:H,5,FALSE))</f>
        <v>43979</v>
      </c>
      <c r="I23" s="12">
        <f>_xlfn.IFNA(SUMIFS('Week 22 May 25 - May 31 2020'!E:E,'Week 22 May 25 - May 31 2020'!D:D,'Week 23 June 1 - June 7 2020'!D:D,'Week 22 May 25 - May 31 2020'!C:C,'Week 23 June 1 - June 7 2020'!C:C),"New")</f>
        <v>7397</v>
      </c>
      <c r="J23" s="28">
        <f t="shared" si="0"/>
        <v>-0.66134919561984584</v>
      </c>
    </row>
    <row r="24" spans="1:10" x14ac:dyDescent="0.2">
      <c r="A24" s="35">
        <v>23</v>
      </c>
      <c r="B24" s="31" t="s">
        <v>53</v>
      </c>
      <c r="C24" s="31" t="s">
        <v>8</v>
      </c>
      <c r="D24" s="52" t="s">
        <v>260</v>
      </c>
      <c r="E24" s="33">
        <v>2256</v>
      </c>
      <c r="F24" s="33">
        <v>40293</v>
      </c>
      <c r="G24" s="31" t="s">
        <v>30</v>
      </c>
      <c r="H24" s="93">
        <v>43643</v>
      </c>
      <c r="I24" s="33"/>
      <c r="J24" s="97"/>
    </row>
    <row r="25" spans="1:10" x14ac:dyDescent="0.2">
      <c r="A25" s="25">
        <v>24</v>
      </c>
      <c r="B25" s="18">
        <v>20</v>
      </c>
      <c r="C25" s="18" t="s">
        <v>8</v>
      </c>
      <c r="D25" s="47" t="s">
        <v>237</v>
      </c>
      <c r="E25" s="12">
        <v>2175</v>
      </c>
      <c r="F25" s="12">
        <f>SUMIFS('Week 22 May 25 - May 31 2020'!F:F,'Week 22 May 25 - May 31 2020'!D:D,'Week 23 June 1 - June 7 2020'!D:D,'Week 22 May 25 - May 31 2020'!C:C,'Week 23 June 1 - June 7 2020'!C:C)+Table3611910135557121417525961636567697173[[#This Row],[Week Sales]]</f>
        <v>131986</v>
      </c>
      <c r="G25" s="18" t="str">
        <f>(VLOOKUP(D:D,'Week 22 May 25 - May 31 2020'!D:G,4,FALSE))</f>
        <v>Square Enix</v>
      </c>
      <c r="H25" s="67">
        <f>(VLOOKUP(D:D,'Week 22 May 25 - May 31 2020'!D:H,5,FALSE))</f>
        <v>43945</v>
      </c>
      <c r="I25" s="12">
        <f>_xlfn.IFNA(SUMIFS('Week 22 May 25 - May 31 2020'!E:E,'Week 22 May 25 - May 31 2020'!D:D,'Week 23 June 1 - June 7 2020'!D:D,'Week 22 May 25 - May 31 2020'!C:C,'Week 23 June 1 - June 7 2020'!C:C),"New")</f>
        <v>2973</v>
      </c>
      <c r="J25" s="28">
        <f t="shared" si="0"/>
        <v>-0.2684157416750757</v>
      </c>
    </row>
    <row r="26" spans="1:10" x14ac:dyDescent="0.2">
      <c r="A26" s="25">
        <v>25</v>
      </c>
      <c r="B26" s="18">
        <v>22</v>
      </c>
      <c r="C26" s="18" t="s">
        <v>7</v>
      </c>
      <c r="D26" s="86" t="s">
        <v>83</v>
      </c>
      <c r="E26" s="12">
        <v>2174</v>
      </c>
      <c r="F26" s="12">
        <f>SUMIFS('Week 22 May 25 - May 31 2020'!F:F,'Week 22 May 25 - May 31 2020'!D:D,'Week 23 June 1 - June 7 2020'!D:D,'Week 22 May 25 - May 31 2020'!C:C,'Week 23 June 1 - June 7 2020'!C:C)+Table3611910135557121417525961636567697173[[#This Row],[Week Sales]]</f>
        <v>525144</v>
      </c>
      <c r="G26" s="18" t="str">
        <f>(VLOOKUP(D:D,'Week 22 May 25 - May 31 2020'!D:G,4,FALSE))</f>
        <v>Square Enix</v>
      </c>
      <c r="H26" s="67">
        <f>(VLOOKUP(D:D,'Week 22 May 25 - May 31 2020'!D:H,5,FALSE))</f>
        <v>43735</v>
      </c>
      <c r="I26" s="12">
        <f>_xlfn.IFNA(SUMIFS('Week 22 May 25 - May 31 2020'!E:E,'Week 22 May 25 - May 31 2020'!D:D,'Week 23 June 1 - June 7 2020'!D:D,'Week 22 May 25 - May 31 2020'!C:C,'Week 23 June 1 - June 7 2020'!C:C),"New")</f>
        <v>2277</v>
      </c>
      <c r="J26" s="28">
        <f t="shared" si="0"/>
        <v>-4.5234958278436536E-2</v>
      </c>
    </row>
    <row r="27" spans="1:10" x14ac:dyDescent="0.2">
      <c r="A27" s="25">
        <v>26</v>
      </c>
      <c r="B27" s="18">
        <v>19</v>
      </c>
      <c r="C27" s="18" t="s">
        <v>7</v>
      </c>
      <c r="D27" s="47" t="s">
        <v>237</v>
      </c>
      <c r="E27" s="12">
        <v>2080</v>
      </c>
      <c r="F27" s="12">
        <f>SUMIFS('Week 22 May 25 - May 31 2020'!F:F,'Week 22 May 25 - May 31 2020'!D:D,'Week 23 June 1 - June 7 2020'!D:D,'Week 22 May 25 - May 31 2020'!C:C,'Week 23 June 1 - June 7 2020'!C:C)+Table3611910135557121417525961636567697173[[#This Row],[Week Sales]]</f>
        <v>98889</v>
      </c>
      <c r="G27" s="18" t="str">
        <f>(VLOOKUP(D:D,'Week 22 May 25 - May 31 2020'!D:G,4,FALSE))</f>
        <v>Square Enix</v>
      </c>
      <c r="H27" s="67">
        <f>(VLOOKUP(D:D,'Week 22 May 25 - May 31 2020'!D:H,5,FALSE))</f>
        <v>43945</v>
      </c>
      <c r="I27" s="12">
        <f>_xlfn.IFNA(SUMIFS('Week 22 May 25 - May 31 2020'!E:E,'Week 22 May 25 - May 31 2020'!D:D,'Week 23 June 1 - June 7 2020'!D:D,'Week 22 May 25 - May 31 2020'!C:C,'Week 23 June 1 - June 7 2020'!C:C),"New")</f>
        <v>2996</v>
      </c>
      <c r="J27" s="28">
        <f t="shared" si="0"/>
        <v>-0.30574098798397864</v>
      </c>
    </row>
    <row r="28" spans="1:10" x14ac:dyDescent="0.2">
      <c r="A28" s="25">
        <v>27</v>
      </c>
      <c r="B28" s="18">
        <v>4</v>
      </c>
      <c r="C28" s="18" t="s">
        <v>8</v>
      </c>
      <c r="D28" s="47" t="s">
        <v>251</v>
      </c>
      <c r="E28" s="12">
        <v>1905</v>
      </c>
      <c r="F28" s="12">
        <f>SUMIFS('Week 22 May 25 - May 31 2020'!F:F,'Week 22 May 25 - May 31 2020'!D:D,'Week 23 June 1 - June 7 2020'!D:D,'Week 22 May 25 - May 31 2020'!C:C,'Week 23 June 1 - June 7 2020'!C:C)+Table3611910135557121417525961636567697173[[#This Row],[Week Sales]]</f>
        <v>13952</v>
      </c>
      <c r="G28" s="18" t="str">
        <f>(VLOOKUP(D:D,'Week 22 May 25 - May 31 2020'!D:G,4,FALSE))</f>
        <v>Falcom</v>
      </c>
      <c r="H28" s="67">
        <f>(VLOOKUP(D:D,'Week 22 May 25 - May 31 2020'!D:H,5,FALSE))</f>
        <v>43979</v>
      </c>
      <c r="I28" s="12">
        <f>_xlfn.IFNA(SUMIFS('Week 22 May 25 - May 31 2020'!E:E,'Week 22 May 25 - May 31 2020'!D:D,'Week 23 June 1 - June 7 2020'!D:D,'Week 22 May 25 - May 31 2020'!C:C,'Week 23 June 1 - June 7 2020'!C:C),"New")</f>
        <v>12047</v>
      </c>
      <c r="J28" s="28">
        <f t="shared" si="0"/>
        <v>-0.84186934506516142</v>
      </c>
    </row>
    <row r="29" spans="1:10" x14ac:dyDescent="0.2">
      <c r="A29" s="25">
        <v>28</v>
      </c>
      <c r="B29" s="18">
        <v>24</v>
      </c>
      <c r="C29" s="18" t="s">
        <v>222</v>
      </c>
      <c r="D29" s="47" t="s">
        <v>223</v>
      </c>
      <c r="E29" s="12">
        <v>1782</v>
      </c>
      <c r="F29" s="12">
        <f>SUMIFS('Week 22 May 25 - May 31 2020'!F:F,'Week 22 May 25 - May 31 2020'!D:D,'Week 23 June 1 - June 7 2020'!D:D,'Week 22 May 25 - May 31 2020'!C:C,'Week 23 June 1 - June 7 2020'!C:C)+Table3611910135557121417525961636567697173[[#This Row],[Week Sales]]</f>
        <v>510705</v>
      </c>
      <c r="G29" s="18" t="str">
        <f>(VLOOKUP(D:D,'Week 22 May 25 - May 31 2020'!D:G,4,FALSE))</f>
        <v>Nintendo</v>
      </c>
      <c r="H29" s="67">
        <f>(VLOOKUP(D:D,'Week 22 May 25 - May 31 2020'!D:H,5,FALSE))</f>
        <v>42697</v>
      </c>
      <c r="I29" s="12">
        <f>_xlfn.IFNA(SUMIFS('Week 22 May 25 - May 31 2020'!E:E,'Week 22 May 25 - May 31 2020'!D:D,'Week 23 June 1 - June 7 2020'!D:D,'Week 22 May 25 - May 31 2020'!C:C,'Week 23 June 1 - June 7 2020'!C:C),"New")</f>
        <v>2155</v>
      </c>
      <c r="J29" s="28">
        <f t="shared" si="0"/>
        <v>-0.17308584686774942</v>
      </c>
    </row>
    <row r="30" spans="1:10" x14ac:dyDescent="0.2">
      <c r="A30" s="25">
        <v>29</v>
      </c>
      <c r="B30" s="18">
        <v>25</v>
      </c>
      <c r="C30" s="18" t="s">
        <v>8</v>
      </c>
      <c r="D30" s="47" t="s">
        <v>99</v>
      </c>
      <c r="E30" s="12">
        <v>1748</v>
      </c>
      <c r="F30" s="12">
        <f>SUMIFS('Week 22 May 25 - May 31 2020'!F:F,'Week 22 May 25 - May 31 2020'!D:D,'Week 23 June 1 - June 7 2020'!D:D,'Week 22 May 25 - May 31 2020'!C:C,'Week 23 June 1 - June 7 2020'!C:C)+Table3611910135557121417525961636567697173[[#This Row],[Week Sales]]</f>
        <v>475643</v>
      </c>
      <c r="G30" s="18" t="str">
        <f>(VLOOKUP(D:D,'Week 22 May 25 - May 31 2020'!D:G,4,FALSE))</f>
        <v>Capcom</v>
      </c>
      <c r="H30" s="67">
        <f>(VLOOKUP(D:D,'Week 22 May 25 - May 31 2020'!D:H,5,FALSE))</f>
        <v>43714</v>
      </c>
      <c r="I30" s="12">
        <f>_xlfn.IFNA(SUMIFS('Week 22 May 25 - May 31 2020'!E:E,'Week 22 May 25 - May 31 2020'!D:D,'Week 23 June 1 - June 7 2020'!D:D,'Week 22 May 25 - May 31 2020'!C:C,'Week 23 June 1 - June 7 2020'!C:C),"New")</f>
        <v>1968</v>
      </c>
      <c r="J30" s="28">
        <f t="shared" si="0"/>
        <v>-0.11178861788617886</v>
      </c>
    </row>
    <row r="31" spans="1:10" x14ac:dyDescent="0.2">
      <c r="A31" s="25">
        <v>30</v>
      </c>
      <c r="B31" s="18">
        <v>28</v>
      </c>
      <c r="C31" s="18" t="s">
        <v>7</v>
      </c>
      <c r="D31" s="47" t="s">
        <v>20</v>
      </c>
      <c r="E31" s="12">
        <v>1737</v>
      </c>
      <c r="F31" s="12">
        <f>SUMIFS('Week 22 May 25 - May 31 2020'!F:F,'Week 22 May 25 - May 31 2020'!D:D,'Week 23 June 1 - June 7 2020'!D:D,'Week 22 May 25 - May 31 2020'!C:C,'Week 23 June 1 - June 7 2020'!C:C)+Table3611910135557121417525961636567697173[[#This Row],[Week Sales]]</f>
        <v>442706</v>
      </c>
      <c r="G31" s="18" t="str">
        <f>(VLOOKUP(D:D,'Week 22 May 25 - May 31 2020'!D:G,4,FALSE))</f>
        <v>Bandai Namco</v>
      </c>
      <c r="H31" s="67">
        <f>(VLOOKUP(D:D,'Week 22 May 25 - May 31 2020'!D:H,5,FALSE))</f>
        <v>43671</v>
      </c>
      <c r="I31" s="12">
        <f>_xlfn.IFNA(SUMIFS('Week 22 May 25 - May 31 2020'!E:E,'Week 22 May 25 - May 31 2020'!D:D,'Week 23 June 1 - June 7 2020'!D:D,'Week 22 May 25 - May 31 2020'!C:C,'Week 23 June 1 - June 7 2020'!C:C),"New")</f>
        <v>1838</v>
      </c>
      <c r="J31" s="28">
        <f t="shared" si="0"/>
        <v>-5.4951033732317738E-2</v>
      </c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324941</v>
      </c>
      <c r="F33" s="2"/>
      <c r="I33" s="2"/>
      <c r="J33" s="19"/>
    </row>
    <row r="34" spans="1:10" x14ac:dyDescent="0.2">
      <c r="A34" s="3"/>
      <c r="B34" s="3"/>
      <c r="D34" s="100" t="s">
        <v>178</v>
      </c>
      <c r="E34" s="101">
        <f>SUM('Week 22 May 25 - May 31 2020'!E34,'Week 23 June 1 - June 7 2020'!E33)</f>
        <v>11992491</v>
      </c>
      <c r="F34" s="2"/>
      <c r="I34" s="2"/>
      <c r="J34" s="19"/>
    </row>
    <row r="35" spans="1:10" x14ac:dyDescent="0.2">
      <c r="A35" s="3"/>
      <c r="B35" s="3"/>
      <c r="D35" s="2" t="s">
        <v>60</v>
      </c>
      <c r="E35" s="2">
        <f>AVERAGE(E2:E31)</f>
        <v>10831.366666666667</v>
      </c>
      <c r="F35" s="2"/>
      <c r="I35" s="2"/>
      <c r="J35" s="19"/>
    </row>
    <row r="36" spans="1:10" x14ac:dyDescent="0.2">
      <c r="A36" s="3"/>
      <c r="B36" s="3"/>
      <c r="D36" s="9" t="s">
        <v>78</v>
      </c>
      <c r="E36" s="10">
        <f>COUNTIF(B:B,"New")</f>
        <v>2</v>
      </c>
      <c r="F36" s="2"/>
      <c r="I36" s="2"/>
      <c r="J36" s="19"/>
    </row>
    <row r="37" spans="1:10" x14ac:dyDescent="0.2">
      <c r="A37" s="3"/>
      <c r="B37" s="3"/>
      <c r="E37" s="2"/>
      <c r="F37" s="2"/>
      <c r="I37" s="2"/>
      <c r="J37" s="19"/>
    </row>
    <row r="38" spans="1:10" x14ac:dyDescent="0.2">
      <c r="A38" s="3"/>
      <c r="B38" s="3"/>
      <c r="D38" t="s">
        <v>256</v>
      </c>
      <c r="E38" s="2"/>
      <c r="F38" s="2"/>
      <c r="I38" s="2"/>
      <c r="J38" s="19"/>
    </row>
    <row r="39" spans="1:10" x14ac:dyDescent="0.2">
      <c r="A39" s="3"/>
      <c r="B39" s="3"/>
      <c r="D39" s="8" t="s">
        <v>67</v>
      </c>
      <c r="E39" s="2"/>
      <c r="F39" s="2"/>
      <c r="I39" s="2"/>
      <c r="J39" s="19"/>
    </row>
    <row r="40" spans="1:10" x14ac:dyDescent="0.2">
      <c r="D40" s="8" t="s">
        <v>65</v>
      </c>
    </row>
    <row r="41" spans="1:10" x14ac:dyDescent="0.2">
      <c r="D41" s="8" t="s">
        <v>71</v>
      </c>
    </row>
  </sheetData>
  <hyperlinks>
    <hyperlink ref="D41" r:id="rId1" xr:uid="{E1F4303B-FA3B-0247-8B5B-E55791044893}"/>
    <hyperlink ref="D40" r:id="rId2" xr:uid="{9E8CEFAB-9EC0-644F-9DF2-9E6EF4BA19A6}"/>
    <hyperlink ref="D39" r:id="rId3" xr:uid="{2B678AFD-F11E-C848-9F77-0D7176CDDB7E}"/>
  </hyperlinks>
  <pageMargins left="0.7" right="0.7" top="0.75" bottom="0.75" header="0.3" footer="0.3"/>
  <pageSetup paperSize="9" orientation="portrait" horizontalDpi="0" verticalDpi="0"/>
  <ignoredErrors>
    <ignoredError sqref="G3:J30 F14:F31" calculatedColumn="1"/>
  </ignoredErrors>
  <tableParts count="1">
    <tablePart r:id="rId4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509E6-D0E1-3147-B530-E7F0DD196356}">
  <dimension ref="A1:J41"/>
  <sheetViews>
    <sheetView workbookViewId="0">
      <selection activeCell="D11" sqref="D2:E11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9.8320312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0" x14ac:dyDescent="0.2">
      <c r="A2" s="25">
        <v>1</v>
      </c>
      <c r="B2" s="18">
        <v>1</v>
      </c>
      <c r="C2" s="18" t="s">
        <v>7</v>
      </c>
      <c r="D2" s="86" t="s">
        <v>46</v>
      </c>
      <c r="E2" s="12">
        <v>77259</v>
      </c>
      <c r="F2" s="12">
        <f>SUMIFS('Week 23 June 1 - June 7 2020'!F:F,'Week 23 June 1 - June 7 2020'!D:D,'Week 24 June 8 - June 14 2020'!D:D,'Week 23 June 1 - June 7 2020'!C:C,'Week 24 June 8 - June 14 2020'!C:C)+Table361191013555712141752596163656769717375[[#This Row],[Week Sales]]</f>
        <v>4860488</v>
      </c>
      <c r="G2" s="18" t="str">
        <f>(VLOOKUP(D:D,'Week 23 June 1 - June 7 2020'!D:G,4,FALSE))</f>
        <v>Nintendo</v>
      </c>
      <c r="H2" s="67">
        <f>(VLOOKUP(D:D,'Week 23 June 1 - June 7 2020'!D:H,5,FALSE))</f>
        <v>43910</v>
      </c>
      <c r="I2" s="12">
        <f>_xlfn.IFNA(SUMIFS('Week 23 June 1 - June 7 2020'!E:E,'Week 23 June 1 - June 7 2020'!D:D,'Week 24 June 8 - June 14 2020'!D:D,'Week 23 June 1 - June 7 2020'!C:C,'Week 24 June 8 - June 14 2020'!C:C),"New")</f>
        <v>97810</v>
      </c>
      <c r="J2" s="28">
        <f>IFERROR((E2-I2)/I2,"New")</f>
        <v>-0.21011144054800124</v>
      </c>
    </row>
    <row r="3" spans="1:10" x14ac:dyDescent="0.2">
      <c r="A3" s="25">
        <v>2</v>
      </c>
      <c r="B3" s="18">
        <v>2</v>
      </c>
      <c r="C3" s="18" t="s">
        <v>7</v>
      </c>
      <c r="D3" s="18" t="s">
        <v>50</v>
      </c>
      <c r="E3" s="12">
        <v>47181</v>
      </c>
      <c r="F3" s="12">
        <f>SUMIFS('Week 23 June 1 - June 7 2020'!F:F,'Week 23 June 1 - June 7 2020'!D:D,'Week 24 June 8 - June 14 2020'!D:D,'Week 23 June 1 - June 7 2020'!C:C,'Week 24 June 8 - June 14 2020'!C:C)+Table361191013555712141752596163656769717375[[#This Row],[Week Sales]]</f>
        <v>111624</v>
      </c>
      <c r="G3" s="18" t="str">
        <f>(VLOOKUP(D:D,'Week 23 June 1 - June 7 2020'!D:G,4,FALSE))</f>
        <v>Nintendo</v>
      </c>
      <c r="H3" s="67">
        <f>(VLOOKUP(D:D,'Week 23 June 1 - June 7 2020'!D:H,5,FALSE))</f>
        <v>43987</v>
      </c>
      <c r="I3" s="12">
        <f>_xlfn.IFNA(SUMIFS('Week 23 June 1 - June 7 2020'!E:E,'Week 23 June 1 - June 7 2020'!D:D,'Week 24 June 8 - June 14 2020'!D:D,'Week 23 June 1 - June 7 2020'!C:C,'Week 24 June 8 - June 14 2020'!C:C),"New")</f>
        <v>64443</v>
      </c>
      <c r="J3" s="28">
        <f>IFERROR((E4-I3)/I3,"New")</f>
        <v>-0.68929131170181401</v>
      </c>
    </row>
    <row r="4" spans="1:10" x14ac:dyDescent="0.2">
      <c r="A4" s="25">
        <v>3</v>
      </c>
      <c r="B4" s="18">
        <v>3</v>
      </c>
      <c r="C4" s="18" t="s">
        <v>7</v>
      </c>
      <c r="D4" s="47" t="s">
        <v>45</v>
      </c>
      <c r="E4" s="12">
        <v>20023</v>
      </c>
      <c r="F4" s="11">
        <f>SUMIFS('Week 23 June 1 - June 7 2020'!F:F,'Week 23 June 1 - June 7 2020'!D:D,'Week 24 June 8 - June 14 2020'!D:D,'Week 23 June 1 - June 7 2020'!C:C,'Week 24 June 8 - June 14 2020'!C:C)+Table361191013555712141752596163656769717375[[#This Row],[Week Sales]]</f>
        <v>1006069</v>
      </c>
      <c r="G4" s="18" t="str">
        <f>(VLOOKUP(D:D,'Week 23 June 1 - June 7 2020'!D:G,4,FALSE))</f>
        <v>Nintendo</v>
      </c>
      <c r="H4" s="67">
        <f>(VLOOKUP(D:D,'Week 23 June 1 - June 7 2020'!D:H,5,FALSE))</f>
        <v>43756</v>
      </c>
      <c r="I4" s="12">
        <f>_xlfn.IFNA(SUMIFS('Week 23 June 1 - June 7 2020'!E:E,'Week 23 June 1 - June 7 2020'!D:D,'Week 24 June 8 - June 14 2020'!D:D,'Week 23 June 1 - June 7 2020'!C:C,'Week 24 June 8 - June 14 2020'!C:C),"New")</f>
        <v>29487</v>
      </c>
      <c r="J4" s="28">
        <f t="shared" ref="J4:J22" si="0">IFERROR((E5-I4)/I4,"New")</f>
        <v>-0.670125818157154</v>
      </c>
    </row>
    <row r="5" spans="1:10" x14ac:dyDescent="0.2">
      <c r="A5" s="25">
        <v>4</v>
      </c>
      <c r="B5" s="18">
        <v>6</v>
      </c>
      <c r="C5" s="18" t="s">
        <v>7</v>
      </c>
      <c r="D5" s="47" t="s">
        <v>49</v>
      </c>
      <c r="E5" s="12">
        <v>9727</v>
      </c>
      <c r="F5" s="12">
        <f>SUMIFS('Week 23 June 1 - June 7 2020'!F:F,'Week 23 June 1 - June 7 2020'!D:D,'Week 24 June 8 - June 14 2020'!D:D,'Week 23 June 1 - June 7 2020'!C:C,'Week 24 June 8 - June 14 2020'!C:C)+Table361191013555712141752596163656769717375[[#This Row],[Week Sales]]</f>
        <v>2986454</v>
      </c>
      <c r="G5" s="18" t="str">
        <f>(VLOOKUP(D:D,'Week 23 June 1 - June 7 2020'!D:G,4,FALSE))</f>
        <v>Nintendo</v>
      </c>
      <c r="H5" s="67">
        <f>(VLOOKUP(D:D,'Week 23 June 1 - June 7 2020'!D:H,5,FALSE))</f>
        <v>42853</v>
      </c>
      <c r="I5" s="12">
        <f>_xlfn.IFNA(SUMIFS('Week 23 June 1 - June 7 2020'!E:E,'Week 23 June 1 - June 7 2020'!D:D,'Week 24 June 8 - June 14 2020'!D:D,'Week 23 June 1 - June 7 2020'!C:C,'Week 24 June 8 - June 14 2020'!C:C),"New")</f>
        <v>10883</v>
      </c>
      <c r="J5" s="28">
        <f t="shared" si="0"/>
        <v>-0.20132316456859323</v>
      </c>
    </row>
    <row r="6" spans="1:10" x14ac:dyDescent="0.2">
      <c r="A6" s="25">
        <v>5</v>
      </c>
      <c r="B6" s="18">
        <v>7</v>
      </c>
      <c r="C6" s="18" t="s">
        <v>7</v>
      </c>
      <c r="D6" s="47" t="s">
        <v>10</v>
      </c>
      <c r="E6" s="12">
        <v>8692</v>
      </c>
      <c r="F6" s="12">
        <f>SUMIFS('Week 23 June 1 - June 7 2020'!F:F,'Week 23 June 1 - June 7 2020'!D:D,'Week 24 June 8 - June 14 2020'!D:D,'Week 23 June 1 - June 7 2020'!C:C,'Week 24 June 8 - June 14 2020'!C:C)+Table361191013555712141752596163656769717375[[#This Row],[Week Sales]]</f>
        <v>3455342</v>
      </c>
      <c r="G6" s="18" t="str">
        <f>(VLOOKUP(D:D,'Week 23 June 1 - June 7 2020'!D:G,4,FALSE))</f>
        <v>Nintendo</v>
      </c>
      <c r="H6" s="67">
        <f>(VLOOKUP(D:D,'Week 23 June 1 - June 7 2020'!D:H,5,FALSE))</f>
        <v>42937</v>
      </c>
      <c r="I6" s="12">
        <f>_xlfn.IFNA(SUMIFS('Week 23 June 1 - June 7 2020'!E:E,'Week 23 June 1 - June 7 2020'!D:D,'Week 24 June 8 - June 14 2020'!D:D,'Week 23 June 1 - June 7 2020'!C:C,'Week 24 June 8 - June 14 2020'!C:C),"New")</f>
        <v>9226</v>
      </c>
      <c r="J6" s="28">
        <f t="shared" si="0"/>
        <v>-0.13830479080858443</v>
      </c>
    </row>
    <row r="7" spans="1:10" x14ac:dyDescent="0.2">
      <c r="A7" s="25">
        <v>6</v>
      </c>
      <c r="B7" s="18">
        <v>4</v>
      </c>
      <c r="C7" s="18" t="s">
        <v>7</v>
      </c>
      <c r="D7" s="47" t="s">
        <v>250</v>
      </c>
      <c r="E7" s="12">
        <v>7950</v>
      </c>
      <c r="F7" s="12">
        <f>SUMIFS('Week 23 June 1 - June 7 2020'!F:F,'Week 23 June 1 - June 7 2020'!D:D,'Week 24 June 8 - June 14 2020'!D:D,'Week 23 June 1 - June 7 2020'!C:C,'Week 24 June 8 - June 14 2020'!C:C)+Table361191013555712141752596163656769717375[[#This Row],[Week Sales]]</f>
        <v>115525</v>
      </c>
      <c r="G7" s="18" t="str">
        <f>(VLOOKUP(D:D,'Week 23 June 1 - June 7 2020'!D:G,4,FALSE))</f>
        <v>Nintendo</v>
      </c>
      <c r="H7" s="67">
        <f>(VLOOKUP(D:D,'Week 23 June 1 - June 7 2020'!D:H,5,FALSE))</f>
        <v>43980</v>
      </c>
      <c r="I7" s="12">
        <f>_xlfn.IFNA(SUMIFS('Week 23 June 1 - June 7 2020'!E:E,'Week 23 June 1 - June 7 2020'!D:D,'Week 24 June 8 - June 14 2020'!D:D,'Week 23 June 1 - June 7 2020'!C:C,'Week 24 June 8 - June 14 2020'!C:C),"New")</f>
        <v>16786</v>
      </c>
      <c r="J7" s="28">
        <f t="shared" si="0"/>
        <v>-0.58489217204813537</v>
      </c>
    </row>
    <row r="8" spans="1:10" x14ac:dyDescent="0.2">
      <c r="A8" s="25">
        <v>7</v>
      </c>
      <c r="B8" s="18">
        <v>10</v>
      </c>
      <c r="C8" s="18" t="s">
        <v>7</v>
      </c>
      <c r="D8" s="47" t="s">
        <v>12</v>
      </c>
      <c r="E8" s="12">
        <v>6968</v>
      </c>
      <c r="F8" s="12">
        <f>SUMIFS('Week 23 June 1 - June 7 2020'!F:F,'Week 23 June 1 - June 7 2020'!D:D,'Week 24 June 8 - June 14 2020'!D:D,'Week 23 June 1 - June 7 2020'!C:C,'Week 24 June 8 - June 14 2020'!C:C)+Table361191013555712141752596163656769717375[[#This Row],[Week Sales]]</f>
        <v>1413900</v>
      </c>
      <c r="G8" s="18" t="str">
        <f>(VLOOKUP(D:D,'Week 23 June 1 - June 7 2020'!D:G,4,FALSE))</f>
        <v>Microsoft</v>
      </c>
      <c r="H8" s="67">
        <f>(VLOOKUP(D:D,'Week 23 June 1 - June 7 2020'!D:H,5,FALSE))</f>
        <v>43272</v>
      </c>
      <c r="I8" s="12">
        <f>_xlfn.IFNA(SUMIFS('Week 23 June 1 - June 7 2020'!E:E,'Week 23 June 1 - June 7 2020'!D:D,'Week 24 June 8 - June 14 2020'!D:D,'Week 23 June 1 - June 7 2020'!C:C,'Week 24 June 8 - June 14 2020'!C:C),"New")</f>
        <v>7082</v>
      </c>
      <c r="J8" s="28">
        <f t="shared" si="0"/>
        <v>-4.8150240045184978E-2</v>
      </c>
    </row>
    <row r="9" spans="1:10" x14ac:dyDescent="0.2">
      <c r="A9" s="25">
        <v>8</v>
      </c>
      <c r="B9" s="18">
        <v>11</v>
      </c>
      <c r="C9" s="18" t="s">
        <v>7</v>
      </c>
      <c r="D9" s="47" t="s">
        <v>62</v>
      </c>
      <c r="E9" s="12">
        <v>6741</v>
      </c>
      <c r="F9" s="12">
        <f>SUMIFS('Week 23 June 1 - June 7 2020'!F:F,'Week 23 June 1 - June 7 2020'!D:D,'Week 24 June 8 - June 14 2020'!D:D,'Week 23 June 1 - June 7 2020'!C:C,'Week 24 June 8 - June 14 2020'!C:C)+Table361191013555712141752596163656769717375[[#This Row],[Week Sales]]</f>
        <v>3621068</v>
      </c>
      <c r="G9" s="18" t="str">
        <f>(VLOOKUP(D:D,'Week 23 June 1 - June 7 2020'!D:G,4,FALSE))</f>
        <v>The Pokemon Company</v>
      </c>
      <c r="H9" s="67">
        <f>(VLOOKUP(D:D,'Week 23 June 1 - June 7 2020'!D:H,5,FALSE))</f>
        <v>43784</v>
      </c>
      <c r="I9" s="12">
        <f>_xlfn.IFNA(SUMIFS('Week 23 June 1 - June 7 2020'!E:E,'Week 23 June 1 - June 7 2020'!D:D,'Week 24 June 8 - June 14 2020'!D:D,'Week 23 June 1 - June 7 2020'!C:C,'Week 24 June 8 - June 14 2020'!C:C),"New")</f>
        <v>6368</v>
      </c>
      <c r="J9" s="28">
        <f t="shared" si="0"/>
        <v>4.1771356783919598E-2</v>
      </c>
    </row>
    <row r="10" spans="1:10" x14ac:dyDescent="0.2">
      <c r="A10" s="25">
        <v>9</v>
      </c>
      <c r="B10" s="18">
        <v>8</v>
      </c>
      <c r="C10" s="18" t="s">
        <v>7</v>
      </c>
      <c r="D10" s="47" t="s">
        <v>52</v>
      </c>
      <c r="E10" s="12">
        <v>6634</v>
      </c>
      <c r="F10" s="12">
        <f>SUMIFS('Week 23 June 1 - June 7 2020'!F:F,'Week 23 June 1 - June 7 2020'!D:D,'Week 24 June 8 - June 14 2020'!D:D,'Week 23 June 1 - June 7 2020'!C:C,'Week 24 June 8 - June 14 2020'!C:C)+Table361191013555712141752596163656769717375[[#This Row],[Week Sales]]</f>
        <v>3725316</v>
      </c>
      <c r="G10" s="18" t="str">
        <f>(VLOOKUP(D:D,'Week 23 June 1 - June 7 2020'!D:G,4,FALSE))</f>
        <v>Nintendo</v>
      </c>
      <c r="H10" s="67">
        <f>(VLOOKUP(D:D,'Week 23 June 1 - June 7 2020'!D:H,5,FALSE))</f>
        <v>43441</v>
      </c>
      <c r="I10" s="12">
        <f>_xlfn.IFNA(SUMIFS('Week 23 June 1 - June 7 2020'!E:E,'Week 23 June 1 - June 7 2020'!D:D,'Week 24 June 8 - June 14 2020'!D:D,'Week 23 June 1 - June 7 2020'!C:C,'Week 24 June 8 - June 14 2020'!C:C),"New")</f>
        <v>7610</v>
      </c>
      <c r="J10" s="28">
        <f t="shared" si="0"/>
        <v>-0.36202365308804207</v>
      </c>
    </row>
    <row r="11" spans="1:10" x14ac:dyDescent="0.2">
      <c r="A11" s="25">
        <v>10</v>
      </c>
      <c r="B11" s="18">
        <v>12</v>
      </c>
      <c r="C11" s="18" t="s">
        <v>7</v>
      </c>
      <c r="D11" s="47" t="s">
        <v>13</v>
      </c>
      <c r="E11" s="12">
        <v>4855</v>
      </c>
      <c r="F11" s="12">
        <f>SUMIFS('Week 23 June 1 - June 7 2020'!F:F,'Week 23 June 1 - June 7 2020'!D:D,'Week 24 June 8 - June 14 2020'!D:D,'Week 23 June 1 - June 7 2020'!C:C,'Week 24 June 8 - June 14 2020'!C:C)+Table361191013555712141752596163656769717375[[#This Row],[Week Sales]]</f>
        <v>1467338</v>
      </c>
      <c r="G11" s="18" t="str">
        <f>(VLOOKUP(D:D,'Week 23 June 1 - June 7 2020'!D:G,4,FALSE))</f>
        <v>Nintendo</v>
      </c>
      <c r="H11" s="67">
        <f>(VLOOKUP(D:D,'Week 23 June 1 - June 7 2020'!D:H,5,FALSE))</f>
        <v>43378</v>
      </c>
      <c r="I11" s="12">
        <f>_xlfn.IFNA(SUMIFS('Week 23 June 1 - June 7 2020'!E:E,'Week 23 June 1 - June 7 2020'!D:D,'Week 24 June 8 - June 14 2020'!D:D,'Week 23 June 1 - June 7 2020'!C:C,'Week 24 June 8 - June 14 2020'!C:C),"New")</f>
        <v>5563</v>
      </c>
      <c r="J11" s="28">
        <f t="shared" si="0"/>
        <v>-0.19306129786086643</v>
      </c>
    </row>
    <row r="12" spans="1:10" x14ac:dyDescent="0.2">
      <c r="A12" s="25">
        <v>11</v>
      </c>
      <c r="B12" s="18">
        <v>9</v>
      </c>
      <c r="C12" s="18" t="s">
        <v>8</v>
      </c>
      <c r="D12" s="47" t="s">
        <v>246</v>
      </c>
      <c r="E12" s="12">
        <v>4489</v>
      </c>
      <c r="F12" s="12">
        <f>SUMIFS('Week 23 June 1 - June 7 2020'!F:F,'Week 23 June 1 - June 7 2020'!D:D,'Week 24 June 8 - June 14 2020'!D:D,'Week 23 June 1 - June 7 2020'!C:C,'Week 24 June 8 - June 14 2020'!C:C)+Table361191013555712141752596163656769717375[[#This Row],[Week Sales]]</f>
        <v>89460</v>
      </c>
      <c r="G12" s="18" t="str">
        <f>(VLOOKUP(D:D,'Week 23 June 1 - June 7 2020'!D:G,4,FALSE))</f>
        <v>Sony</v>
      </c>
      <c r="H12" s="67">
        <f>(VLOOKUP(D:D,'Week 23 June 1 - June 7 2020'!D:H,5,FALSE))</f>
        <v>43307</v>
      </c>
      <c r="I12" s="12">
        <f>_xlfn.IFNA(SUMIFS('Week 23 June 1 - June 7 2020'!E:E,'Week 23 June 1 - June 7 2020'!D:D,'Week 24 June 8 - June 14 2020'!D:D,'Week 23 June 1 - June 7 2020'!C:C,'Week 24 June 8 - June 14 2020'!C:C),"New")</f>
        <v>7210</v>
      </c>
      <c r="J12" s="28">
        <f t="shared" si="0"/>
        <v>-0.50360610263522887</v>
      </c>
    </row>
    <row r="13" spans="1:10" x14ac:dyDescent="0.2">
      <c r="A13" s="25">
        <v>12</v>
      </c>
      <c r="B13" s="18">
        <v>16</v>
      </c>
      <c r="C13" s="18" t="s">
        <v>7</v>
      </c>
      <c r="D13" s="47" t="s">
        <v>16</v>
      </c>
      <c r="E13" s="12">
        <v>3579</v>
      </c>
      <c r="F13" s="12">
        <f>SUMIFS('Week 23 June 1 - June 7 2020'!F:F,'Week 23 June 1 - June 7 2020'!D:D,'Week 24 June 8 - June 14 2020'!D:D,'Week 23 June 1 - June 7 2020'!C:C,'Week 24 June 8 - June 14 2020'!C:C)+Table361191013555712141752596163656769717375[[#This Row],[Week Sales]]</f>
        <v>247071</v>
      </c>
      <c r="G13" s="18" t="str">
        <f>(VLOOKUP(D:D,'Week 23 June 1 - June 7 2020'!D:G,4,FALSE))</f>
        <v>Nintendo</v>
      </c>
      <c r="H13" s="67">
        <f>(VLOOKUP(D:D,'Week 23 June 1 - June 7 2020'!D:H,5,FALSE))</f>
        <v>43826</v>
      </c>
      <c r="I13" s="12">
        <f>_xlfn.IFNA(SUMIFS('Week 23 June 1 - June 7 2020'!E:E,'Week 23 June 1 - June 7 2020'!D:D,'Week 24 June 8 - June 14 2020'!D:D,'Week 23 June 1 - June 7 2020'!C:C,'Week 24 June 8 - June 14 2020'!C:C),"New")</f>
        <v>3793</v>
      </c>
      <c r="J13" s="28">
        <f t="shared" si="0"/>
        <v>-0.11626680727656209</v>
      </c>
    </row>
    <row r="14" spans="1:10" x14ac:dyDescent="0.2">
      <c r="A14" s="25">
        <v>13</v>
      </c>
      <c r="B14" s="18">
        <v>17</v>
      </c>
      <c r="C14" s="18" t="s">
        <v>7</v>
      </c>
      <c r="D14" s="47" t="s">
        <v>39</v>
      </c>
      <c r="E14" s="12">
        <v>3352</v>
      </c>
      <c r="F14" s="12">
        <f>SUMIFS('Week 23 June 1 - June 7 2020'!F:F,'Week 23 June 1 - June 7 2020'!D:D,'Week 24 June 8 - June 14 2020'!D:D,'Week 23 June 1 - June 7 2020'!C:C,'Week 24 June 8 - June 14 2020'!C:C)+Table361191013555712141752596163656769717375[[#This Row],[Week Sales]]</f>
        <v>1597496</v>
      </c>
      <c r="G14" s="18" t="str">
        <f>(VLOOKUP(D:D,'Week 23 June 1 - June 7 2020'!D:G,4,FALSE))</f>
        <v>Nintendo</v>
      </c>
      <c r="H14" s="67">
        <f>(VLOOKUP(D:D,'Week 23 June 1 - June 7 2020'!D:H,5,FALSE))</f>
        <v>42797</v>
      </c>
      <c r="I14" s="12">
        <f>_xlfn.IFNA(SUMIFS('Week 23 June 1 - June 7 2020'!E:E,'Week 23 June 1 - June 7 2020'!D:D,'Week 24 June 8 - June 14 2020'!D:D,'Week 23 June 1 - June 7 2020'!C:C,'Week 24 June 8 - June 14 2020'!C:C),"New")</f>
        <v>3416</v>
      </c>
      <c r="J14" s="28">
        <f t="shared" si="0"/>
        <v>-6.2939110070257612E-2</v>
      </c>
    </row>
    <row r="15" spans="1:10" x14ac:dyDescent="0.2">
      <c r="A15" s="25">
        <v>14</v>
      </c>
      <c r="B15" s="18">
        <v>19</v>
      </c>
      <c r="C15" s="18" t="s">
        <v>7</v>
      </c>
      <c r="D15" s="47" t="s">
        <v>19</v>
      </c>
      <c r="E15" s="12">
        <v>3201</v>
      </c>
      <c r="F15" s="12">
        <f>SUMIFS('Week 23 June 1 - June 7 2020'!F:F,'Week 23 June 1 - June 7 2020'!D:D,'Week 24 June 8 - June 14 2020'!D:D,'Week 23 June 1 - June 7 2020'!C:C,'Week 24 June 8 - June 14 2020'!C:C)+Table361191013555712141752596163656769717375[[#This Row],[Week Sales]]</f>
        <v>925405</v>
      </c>
      <c r="G15" s="18" t="str">
        <f>(VLOOKUP(D:D,'Week 23 June 1 - June 7 2020'!D:G,4,FALSE))</f>
        <v>Nintendo</v>
      </c>
      <c r="H15" s="67">
        <f>(VLOOKUP(D:D,'Week 23 June 1 - June 7 2020'!D:H,5,FALSE))</f>
        <v>43644</v>
      </c>
      <c r="I15" s="12">
        <f>_xlfn.IFNA(SUMIFS('Week 23 June 1 - June 7 2020'!E:E,'Week 23 June 1 - June 7 2020'!D:D,'Week 24 June 8 - June 14 2020'!D:D,'Week 23 June 1 - June 7 2020'!C:C,'Week 24 June 8 - June 14 2020'!C:C),"New")</f>
        <v>3203</v>
      </c>
      <c r="J15" s="28">
        <f t="shared" si="0"/>
        <v>-1.1863877614736186E-2</v>
      </c>
    </row>
    <row r="16" spans="1:10" x14ac:dyDescent="0.2">
      <c r="A16" s="25">
        <v>15</v>
      </c>
      <c r="B16" s="18">
        <v>14</v>
      </c>
      <c r="C16" s="18" t="s">
        <v>8</v>
      </c>
      <c r="D16" s="47" t="s">
        <v>234</v>
      </c>
      <c r="E16" s="12">
        <v>3165</v>
      </c>
      <c r="F16" s="12">
        <f>SUMIFS('Week 23 June 1 - June 7 2020'!F:F,'Week 23 June 1 - June 7 2020'!D:D,'Week 24 June 8 - June 14 2020'!D:D,'Week 23 June 1 - June 7 2020'!C:C,'Week 24 June 8 - June 14 2020'!C:C)+Table361191013555712141752596163656769717375[[#This Row],[Week Sales]]</f>
        <v>926856</v>
      </c>
      <c r="G16" s="18" t="str">
        <f>(VLOOKUP(D:D,'Week 23 June 1 - June 7 2020'!D:G,4,FALSE))</f>
        <v>Square Enix</v>
      </c>
      <c r="H16" s="67">
        <f>(VLOOKUP(D:D,'Week 23 June 1 - June 7 2020'!D:H,5,FALSE))</f>
        <v>43931</v>
      </c>
      <c r="I16" s="12">
        <f>_xlfn.IFNA(SUMIFS('Week 23 June 1 - June 7 2020'!E:E,'Week 23 June 1 - June 7 2020'!D:D,'Week 24 June 8 - June 14 2020'!D:D,'Week 23 June 1 - June 7 2020'!C:C,'Week 24 June 8 - June 14 2020'!C:C),"New")</f>
        <v>4404</v>
      </c>
      <c r="J16" s="28">
        <f t="shared" si="0"/>
        <v>-0.38237965485921888</v>
      </c>
    </row>
    <row r="17" spans="1:10" x14ac:dyDescent="0.2">
      <c r="A17" s="25">
        <v>16</v>
      </c>
      <c r="B17" s="18">
        <v>18</v>
      </c>
      <c r="C17" s="18" t="s">
        <v>7</v>
      </c>
      <c r="D17" s="47" t="s">
        <v>79</v>
      </c>
      <c r="E17" s="12">
        <v>2720</v>
      </c>
      <c r="F17" s="12">
        <f>SUMIFS('Week 23 June 1 - June 7 2020'!F:F,'Week 23 June 1 - June 7 2020'!D:D,'Week 24 June 8 - June 14 2020'!D:D,'Week 23 June 1 - June 7 2020'!C:C,'Week 24 June 8 - June 14 2020'!C:C)+Table361191013555712141752596163656769717375[[#This Row],[Week Sales]]</f>
        <v>653434</v>
      </c>
      <c r="G17" s="18" t="str">
        <f>(VLOOKUP(D:D,'Week 23 June 1 - June 7 2020'!D:G,4,FALSE))</f>
        <v>Nintendo</v>
      </c>
      <c r="H17" s="67">
        <f>(VLOOKUP(D:D,'Week 23 June 1 - June 7 2020'!D:H,5,FALSE))</f>
        <v>43769</v>
      </c>
      <c r="I17" s="12">
        <f>_xlfn.IFNA(SUMIFS('Week 23 June 1 - June 7 2020'!E:E,'Week 23 June 1 - June 7 2020'!D:D,'Week 24 June 8 - June 14 2020'!D:D,'Week 23 June 1 - June 7 2020'!C:C,'Week 24 June 8 - June 14 2020'!C:C),"New")</f>
        <v>3280</v>
      </c>
      <c r="J17" s="28">
        <f t="shared" si="0"/>
        <v>-0.23109756097560977</v>
      </c>
    </row>
    <row r="18" spans="1:10" x14ac:dyDescent="0.2">
      <c r="A18" s="25">
        <v>17</v>
      </c>
      <c r="B18" s="18">
        <v>21</v>
      </c>
      <c r="C18" s="18" t="s">
        <v>7</v>
      </c>
      <c r="D18" s="47" t="s">
        <v>17</v>
      </c>
      <c r="E18" s="12">
        <v>2522</v>
      </c>
      <c r="F18" s="12">
        <f>SUMIFS('Week 23 June 1 - June 7 2020'!F:F,'Week 23 June 1 - June 7 2020'!D:D,'Week 24 June 8 - June 14 2020'!D:D,'Week 23 June 1 - June 7 2020'!C:C,'Week 24 June 8 - June 14 2020'!C:C)+Table361191013555712141752596163656769717375[[#This Row],[Week Sales]]</f>
        <v>852196</v>
      </c>
      <c r="G18" s="18" t="str">
        <f>(VLOOKUP(D:D,'Week 23 June 1 - June 7 2020'!D:G,4,FALSE))</f>
        <v>Nintendo</v>
      </c>
      <c r="H18" s="67">
        <f>(VLOOKUP(D:D,'Week 23 June 1 - June 7 2020'!D:H,5,FALSE))</f>
        <v>43476</v>
      </c>
      <c r="I18" s="12">
        <f>_xlfn.IFNA(SUMIFS('Week 23 June 1 - June 7 2020'!E:E,'Week 23 June 1 - June 7 2020'!D:D,'Week 24 June 8 - June 14 2020'!D:D,'Week 23 June 1 - June 7 2020'!C:C,'Week 24 June 8 - June 14 2020'!C:C),"New")</f>
        <v>2584</v>
      </c>
      <c r="J18" s="28">
        <f t="shared" si="0"/>
        <v>-8.6687306501547989E-2</v>
      </c>
    </row>
    <row r="19" spans="1:10" x14ac:dyDescent="0.2">
      <c r="A19" s="25">
        <v>18</v>
      </c>
      <c r="B19" s="18">
        <v>20</v>
      </c>
      <c r="C19" s="18" t="s">
        <v>8</v>
      </c>
      <c r="D19" s="86" t="s">
        <v>187</v>
      </c>
      <c r="E19" s="12">
        <v>2360</v>
      </c>
      <c r="F19" s="12">
        <f>SUMIFS('Week 23 June 1 - June 7 2020'!F:F,'Week 23 June 1 - June 7 2020'!D:D,'Week 24 June 8 - June 14 2020'!D:D,'Week 23 June 1 - June 7 2020'!C:C,'Week 24 June 8 - June 14 2020'!C:C)+Table361191013555712141752596163656769717375[[#This Row],[Week Sales]]</f>
        <v>62556</v>
      </c>
      <c r="G19" s="18" t="str">
        <f>(VLOOKUP(D:D,'Week 23 June 1 - June 7 2020'!D:G,4,FALSE))</f>
        <v>Rockstar Games</v>
      </c>
      <c r="H19" s="67">
        <f>(VLOOKUP(D:D,'Week 23 June 1 - June 7 2020'!D:H,5,FALSE))</f>
        <v>43440</v>
      </c>
      <c r="I19" s="12">
        <f>_xlfn.IFNA(SUMIFS('Week 23 June 1 - June 7 2020'!E:E,'Week 23 June 1 - June 7 2020'!D:D,'Week 24 June 8 - June 14 2020'!D:D,'Week 23 June 1 - June 7 2020'!C:C,'Week 24 June 8 - June 14 2020'!C:C),"New")</f>
        <v>2908</v>
      </c>
      <c r="J19" s="28">
        <f t="shared" si="0"/>
        <v>-0.24071526822558459</v>
      </c>
    </row>
    <row r="20" spans="1:10" x14ac:dyDescent="0.2">
      <c r="A20" s="25">
        <v>19</v>
      </c>
      <c r="B20" s="18">
        <v>15</v>
      </c>
      <c r="C20" s="18" t="s">
        <v>8</v>
      </c>
      <c r="D20" s="47" t="s">
        <v>259</v>
      </c>
      <c r="E20" s="12">
        <v>2208</v>
      </c>
      <c r="F20" s="12">
        <f>SUMIFS('Week 23 June 1 - June 7 2020'!F:F,'Week 23 June 1 - June 7 2020'!D:D,'Week 24 June 8 - June 14 2020'!D:D,'Week 23 June 1 - June 7 2020'!C:C,'Week 24 June 8 - June 14 2020'!C:C)+Table361191013555712141752596163656769717375[[#This Row],[Week Sales]]</f>
        <v>38073</v>
      </c>
      <c r="G20" s="18" t="str">
        <f>(VLOOKUP(D:D,'Week 23 June 1 - June 7 2020'!D:G,4,FALSE))</f>
        <v>Sony</v>
      </c>
      <c r="H20" s="67">
        <f>(VLOOKUP(D:D,'Week 23 June 1 - June 7 2020'!D:H,5,FALSE))</f>
        <v>43027</v>
      </c>
      <c r="I20" s="12">
        <f>_xlfn.IFNA(SUMIFS('Week 23 June 1 - June 7 2020'!E:E,'Week 23 June 1 - June 7 2020'!D:D,'Week 24 June 8 - June 14 2020'!D:D,'Week 23 June 1 - June 7 2020'!C:C,'Week 24 June 8 - June 14 2020'!C:C),"New")</f>
        <v>4220</v>
      </c>
      <c r="J20" s="28">
        <f t="shared" si="0"/>
        <v>-0.54691943127962084</v>
      </c>
    </row>
    <row r="21" spans="1:10" x14ac:dyDescent="0.2">
      <c r="A21" s="25">
        <v>20</v>
      </c>
      <c r="B21" s="18">
        <v>30</v>
      </c>
      <c r="C21" s="18" t="s">
        <v>7</v>
      </c>
      <c r="D21" s="86" t="s">
        <v>20</v>
      </c>
      <c r="E21" s="12">
        <v>1912</v>
      </c>
      <c r="F21" s="12">
        <f>SUMIFS('Week 23 June 1 - June 7 2020'!F:F,'Week 23 June 1 - June 7 2020'!D:D,'Week 24 June 8 - June 14 2020'!D:D,'Week 23 June 1 - June 7 2020'!C:C,'Week 24 June 8 - June 14 2020'!C:C)+Table361191013555712141752596163656769717375[[#This Row],[Week Sales]]</f>
        <v>444618</v>
      </c>
      <c r="G21" s="18" t="str">
        <f>(VLOOKUP(D:D,'Week 23 June 1 - June 7 2020'!D:G,4,FALSE))</f>
        <v>Bandai Namco</v>
      </c>
      <c r="H21" s="67">
        <f>(VLOOKUP(D:D,'Week 23 June 1 - June 7 2020'!D:H,5,FALSE))</f>
        <v>43671</v>
      </c>
      <c r="I21" s="12">
        <f>_xlfn.IFNA(SUMIFS('Week 23 June 1 - June 7 2020'!E:E,'Week 23 June 1 - June 7 2020'!D:D,'Week 24 June 8 - June 14 2020'!D:D,'Week 23 June 1 - June 7 2020'!C:C,'Week 24 June 8 - June 14 2020'!C:C),"New")</f>
        <v>1737</v>
      </c>
      <c r="J21" s="28">
        <f t="shared" si="0"/>
        <v>3.1663788140472077E-2</v>
      </c>
    </row>
    <row r="22" spans="1:10" x14ac:dyDescent="0.2">
      <c r="A22" s="25">
        <v>21</v>
      </c>
      <c r="B22" s="18">
        <v>25</v>
      </c>
      <c r="C22" s="18" t="s">
        <v>7</v>
      </c>
      <c r="D22" s="86" t="s">
        <v>83</v>
      </c>
      <c r="E22" s="12">
        <v>1792</v>
      </c>
      <c r="F22" s="12">
        <f>SUMIFS('Week 23 June 1 - June 7 2020'!F:F,'Week 23 June 1 - June 7 2020'!D:D,'Week 24 June 8 - June 14 2020'!D:D,'Week 23 June 1 - June 7 2020'!C:C,'Week 24 June 8 - June 14 2020'!C:C)+Table361191013555712141752596163656769717375[[#This Row],[Week Sales]]</f>
        <v>526936</v>
      </c>
      <c r="G22" s="18" t="str">
        <f>(VLOOKUP(D:D,'Week 23 June 1 - June 7 2020'!D:G,4,FALSE))</f>
        <v>Square Enix</v>
      </c>
      <c r="H22" s="67">
        <f>(VLOOKUP(D:D,'Week 23 June 1 - June 7 2020'!D:H,5,FALSE))</f>
        <v>43735</v>
      </c>
      <c r="I22" s="12">
        <f>_xlfn.IFNA(SUMIFS('Week 23 June 1 - June 7 2020'!E:E,'Week 23 June 1 - June 7 2020'!D:D,'Week 24 June 8 - June 14 2020'!D:D,'Week 23 June 1 - June 7 2020'!C:C,'Week 24 June 8 - June 14 2020'!C:C),"New")</f>
        <v>2174</v>
      </c>
      <c r="J22" s="28">
        <f t="shared" si="0"/>
        <v>-0.21895124195032198</v>
      </c>
    </row>
    <row r="23" spans="1:10" x14ac:dyDescent="0.2">
      <c r="A23" s="35">
        <v>22</v>
      </c>
      <c r="B23" s="31" t="s">
        <v>53</v>
      </c>
      <c r="C23" s="31" t="s">
        <v>7</v>
      </c>
      <c r="D23" s="52" t="s">
        <v>25</v>
      </c>
      <c r="E23" s="33">
        <v>1698</v>
      </c>
      <c r="F23" s="33">
        <v>483106</v>
      </c>
      <c r="G23" s="31" t="str">
        <f>(VLOOKUP(D:D,'Week 19 May 4 - May 10 2020'!D:G,4,FALSE))</f>
        <v>Bandai Namco</v>
      </c>
      <c r="H23" s="93">
        <f>(VLOOKUP(D:D,'Week 19 May 4 - May 10 2020'!D:H,5,FALSE))</f>
        <v>43300</v>
      </c>
      <c r="I23" s="33"/>
      <c r="J23" s="97"/>
    </row>
    <row r="24" spans="1:10" x14ac:dyDescent="0.2">
      <c r="A24" s="25">
        <v>23</v>
      </c>
      <c r="B24" s="18">
        <v>24</v>
      </c>
      <c r="C24" s="18" t="s">
        <v>8</v>
      </c>
      <c r="D24" s="47" t="s">
        <v>237</v>
      </c>
      <c r="E24" s="12">
        <v>1607</v>
      </c>
      <c r="F24" s="12">
        <f>SUMIFS('Week 23 June 1 - June 7 2020'!F:F,'Week 23 June 1 - June 7 2020'!D:D,'Week 24 June 8 - June 14 2020'!D:D,'Week 23 June 1 - June 7 2020'!C:C,'Week 24 June 8 - June 14 2020'!C:C)+Table361191013555712141752596163656769717375[[#This Row],[Week Sales]]</f>
        <v>133593</v>
      </c>
      <c r="G24" s="18" t="str">
        <f>(VLOOKUP(D:D,'Week 23 June 1 - June 7 2020'!D:G,4,FALSE))</f>
        <v>Square Enix</v>
      </c>
      <c r="H24" s="67">
        <f>(VLOOKUP(D:D,'Week 23 June 1 - June 7 2020'!D:H,5,FALSE))</f>
        <v>43945</v>
      </c>
      <c r="I24" s="12">
        <f>_xlfn.IFNA(SUMIFS('Week 23 June 1 - June 7 2020'!E:E,'Week 23 June 1 - June 7 2020'!D:D,'Week 24 June 8 - June 14 2020'!D:D,'Week 23 June 1 - June 7 2020'!C:C,'Week 24 June 8 - June 14 2020'!C:C),"New")</f>
        <v>2175</v>
      </c>
      <c r="J24" s="28">
        <f t="shared" ref="J24:J31" si="1">IFERROR((E24-I24)/I24,"New")</f>
        <v>-0.2611494252873563</v>
      </c>
    </row>
    <row r="25" spans="1:10" x14ac:dyDescent="0.2">
      <c r="A25" s="35">
        <v>24</v>
      </c>
      <c r="B25" s="31" t="s">
        <v>53</v>
      </c>
      <c r="C25" s="31" t="s">
        <v>7</v>
      </c>
      <c r="D25" s="52" t="s">
        <v>26</v>
      </c>
      <c r="E25" s="33">
        <v>1588</v>
      </c>
      <c r="F25" s="33">
        <v>2103236</v>
      </c>
      <c r="G25" s="31" t="str">
        <f>(VLOOKUP(D:D,'Week 20 May 11 - May 17 2020'!D:G,4,FALSE))</f>
        <v>Nintendo</v>
      </c>
      <c r="H25" s="93">
        <f>(VLOOKUP(D:D,'Week 20 May 11 - May 17 2020'!D:H,5,FALSE))</f>
        <v>43035</v>
      </c>
      <c r="I25" s="33"/>
      <c r="J25" s="97"/>
    </row>
    <row r="26" spans="1:10" x14ac:dyDescent="0.2">
      <c r="A26" s="25">
        <v>25</v>
      </c>
      <c r="B26" s="18">
        <v>28</v>
      </c>
      <c r="C26" s="18" t="s">
        <v>222</v>
      </c>
      <c r="D26" s="47" t="s">
        <v>223</v>
      </c>
      <c r="E26" s="12">
        <v>1573</v>
      </c>
      <c r="F26" s="12">
        <f>SUMIFS('Week 23 June 1 - June 7 2020'!F:F,'Week 23 June 1 - June 7 2020'!D:D,'Week 24 June 8 - June 14 2020'!D:D,'Week 23 June 1 - June 7 2020'!C:C,'Week 24 June 8 - June 14 2020'!C:C)+Table361191013555712141752596163656769717375[[#This Row],[Week Sales]]</f>
        <v>512278</v>
      </c>
      <c r="G26" s="18" t="str">
        <f>(VLOOKUP(D:D,'Week 23 June 1 - June 7 2020'!D:G,4,FALSE))</f>
        <v>Nintendo</v>
      </c>
      <c r="H26" s="67">
        <f>(VLOOKUP(D:D,'Week 23 June 1 - June 7 2020'!D:H,5,FALSE))</f>
        <v>42697</v>
      </c>
      <c r="I26" s="12">
        <f>_xlfn.IFNA(SUMIFS('Week 23 June 1 - June 7 2020'!E:E,'Week 23 June 1 - June 7 2020'!D:D,'Week 24 June 8 - June 14 2020'!D:D,'Week 23 June 1 - June 7 2020'!C:C,'Week 24 June 8 - June 14 2020'!C:C),"New")</f>
        <v>1782</v>
      </c>
      <c r="J26" s="28">
        <f t="shared" si="1"/>
        <v>-0.11728395061728394</v>
      </c>
    </row>
    <row r="27" spans="1:10" x14ac:dyDescent="0.2">
      <c r="A27" s="25">
        <v>26</v>
      </c>
      <c r="B27" s="18">
        <v>26</v>
      </c>
      <c r="C27" s="18" t="s">
        <v>7</v>
      </c>
      <c r="D27" s="47" t="s">
        <v>237</v>
      </c>
      <c r="E27" s="12">
        <v>1562</v>
      </c>
      <c r="F27" s="12">
        <f>SUMIFS('Week 23 June 1 - June 7 2020'!F:F,'Week 23 June 1 - June 7 2020'!D:D,'Week 24 June 8 - June 14 2020'!D:D,'Week 23 June 1 - June 7 2020'!C:C,'Week 24 June 8 - June 14 2020'!C:C)+Table361191013555712141752596163656769717375[[#This Row],[Week Sales]]</f>
        <v>100451</v>
      </c>
      <c r="G27" s="18" t="str">
        <f>(VLOOKUP(D:D,'Week 23 June 1 - June 7 2020'!D:G,4,FALSE))</f>
        <v>Square Enix</v>
      </c>
      <c r="H27" s="67">
        <f>(VLOOKUP(D:D,'Week 23 June 1 - June 7 2020'!D:H,5,FALSE))</f>
        <v>43945</v>
      </c>
      <c r="I27" s="12">
        <f>_xlfn.IFNA(SUMIFS('Week 23 June 1 - June 7 2020'!E:E,'Week 23 June 1 - June 7 2020'!D:D,'Week 24 June 8 - June 14 2020'!D:D,'Week 23 June 1 - June 7 2020'!C:C,'Week 24 June 8 - June 14 2020'!C:C),"New")</f>
        <v>2080</v>
      </c>
      <c r="J27" s="28">
        <f t="shared" si="1"/>
        <v>-0.24903846153846154</v>
      </c>
    </row>
    <row r="28" spans="1:10" x14ac:dyDescent="0.2">
      <c r="A28" s="35">
        <v>27</v>
      </c>
      <c r="B28" s="31" t="s">
        <v>53</v>
      </c>
      <c r="C28" s="31" t="s">
        <v>7</v>
      </c>
      <c r="D28" s="52" t="s">
        <v>228</v>
      </c>
      <c r="E28" s="33">
        <v>1475</v>
      </c>
      <c r="F28" s="33">
        <v>113462</v>
      </c>
      <c r="G28" s="31" t="str">
        <f>(VLOOKUP(D:D,'Week 22 May 25 - May 31 2020'!D:G,4,FALSE))</f>
        <v>Imagineer</v>
      </c>
      <c r="H28" s="93">
        <f>(VLOOKUP(D:D,'Week 22 May 25 - May 31 2020'!D:H,5,FALSE))</f>
        <v>43454</v>
      </c>
      <c r="I28" s="33">
        <v>1466</v>
      </c>
      <c r="J28" s="97">
        <f t="shared" si="1"/>
        <v>6.1391541609822648E-3</v>
      </c>
    </row>
    <row r="29" spans="1:10" x14ac:dyDescent="0.2">
      <c r="A29" s="25">
        <v>28</v>
      </c>
      <c r="B29" s="18">
        <v>23</v>
      </c>
      <c r="C29" s="18" t="s">
        <v>8</v>
      </c>
      <c r="D29" s="47" t="s">
        <v>260</v>
      </c>
      <c r="E29" s="12">
        <v>1421</v>
      </c>
      <c r="F29" s="12">
        <f>SUMIFS('Week 23 June 1 - June 7 2020'!F:F,'Week 23 June 1 - June 7 2020'!D:D,'Week 24 June 8 - June 14 2020'!D:D,'Week 23 June 1 - June 7 2020'!C:C,'Week 24 June 8 - June 14 2020'!C:C)+Table361191013555712141752596163656769717375[[#This Row],[Week Sales]]</f>
        <v>41714</v>
      </c>
      <c r="G29" s="18" t="str">
        <f>(VLOOKUP(D:D,'Week 23 June 1 - June 7 2020'!D:G,4,FALSE))</f>
        <v>Sony</v>
      </c>
      <c r="H29" s="67">
        <f>(VLOOKUP(D:D,'Week 23 June 1 - June 7 2020'!D:H,5,FALSE))</f>
        <v>43643</v>
      </c>
      <c r="I29" s="12">
        <f>_xlfn.IFNA(SUMIFS('Week 23 June 1 - June 7 2020'!E:E,'Week 23 June 1 - June 7 2020'!D:D,'Week 24 June 8 - June 14 2020'!D:D,'Week 23 June 1 - June 7 2020'!C:C,'Week 24 June 8 - June 14 2020'!C:C),"New")</f>
        <v>2256</v>
      </c>
      <c r="J29" s="28">
        <f t="shared" si="1"/>
        <v>-0.37012411347517732</v>
      </c>
    </row>
    <row r="30" spans="1:10" x14ac:dyDescent="0.2">
      <c r="A30" s="25">
        <v>29</v>
      </c>
      <c r="B30" s="18">
        <v>22</v>
      </c>
      <c r="C30" s="18" t="s">
        <v>8</v>
      </c>
      <c r="D30" s="47" t="s">
        <v>253</v>
      </c>
      <c r="E30" s="12">
        <v>1410</v>
      </c>
      <c r="F30" s="12">
        <f>SUMIFS('Week 23 June 1 - June 7 2020'!F:F,'Week 23 June 1 - June 7 2020'!D:D,'Week 24 June 8 - June 14 2020'!D:D,'Week 23 June 1 - June 7 2020'!C:C,'Week 24 June 8 - June 14 2020'!C:C)+Table361191013555712141752596163656769717375[[#This Row],[Week Sales]]</f>
        <v>11312</v>
      </c>
      <c r="G30" s="18" t="str">
        <f>(VLOOKUP(D:D,'Week 23 June 1 - June 7 2020'!D:G,4,FALSE))</f>
        <v>Sega</v>
      </c>
      <c r="H30" s="67">
        <f>(VLOOKUP(D:D,'Week 23 June 1 - June 7 2020'!D:H,5,FALSE))</f>
        <v>43979</v>
      </c>
      <c r="I30" s="12">
        <f>_xlfn.IFNA(SUMIFS('Week 23 June 1 - June 7 2020'!E:E,'Week 23 June 1 - June 7 2020'!D:D,'Week 24 June 8 - June 14 2020'!D:D,'Week 23 June 1 - June 7 2020'!C:C,'Week 24 June 8 - June 14 2020'!C:C),"New")</f>
        <v>2505</v>
      </c>
      <c r="J30" s="28">
        <f t="shared" si="1"/>
        <v>-0.43712574850299402</v>
      </c>
    </row>
    <row r="31" spans="1:10" x14ac:dyDescent="0.2">
      <c r="A31" s="35">
        <v>30</v>
      </c>
      <c r="B31" s="31" t="s">
        <v>53</v>
      </c>
      <c r="C31" s="31" t="s">
        <v>7</v>
      </c>
      <c r="D31" s="113" t="s">
        <v>209</v>
      </c>
      <c r="E31" s="33">
        <v>1392</v>
      </c>
      <c r="F31" s="33">
        <v>258185</v>
      </c>
      <c r="G31" s="31" t="str">
        <f>(VLOOKUP(D:D,'Week 22 May 25 - May 31 2020'!D:G,4,FALSE))</f>
        <v>The Pokemon Company</v>
      </c>
      <c r="H31" s="93">
        <f>(VLOOKUP(D:D,'Week 22 May 25 - May 31 2020'!D:H,5,FALSE))</f>
        <v>43896</v>
      </c>
      <c r="I31" s="33">
        <v>1616</v>
      </c>
      <c r="J31" s="97">
        <f t="shared" si="1"/>
        <v>-0.13861386138613863</v>
      </c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241056</v>
      </c>
      <c r="F33" s="2"/>
      <c r="I33" s="2"/>
      <c r="J33" s="19"/>
    </row>
    <row r="34" spans="1:10" x14ac:dyDescent="0.2">
      <c r="A34" s="3"/>
      <c r="B34" s="3"/>
      <c r="D34" s="100" t="s">
        <v>178</v>
      </c>
      <c r="E34" s="101">
        <f>SUM('Week 23 June 1 - June 7 2020'!E34,'Week 24 June 8 - June 14 2020'!E33)</f>
        <v>12233547</v>
      </c>
      <c r="F34" s="2"/>
      <c r="I34" s="2"/>
      <c r="J34" s="19"/>
    </row>
    <row r="35" spans="1:10" x14ac:dyDescent="0.2">
      <c r="A35" s="3"/>
      <c r="B35" s="3"/>
      <c r="D35" s="2" t="s">
        <v>60</v>
      </c>
      <c r="E35" s="2">
        <f>AVERAGE(E2:E31)</f>
        <v>8035.2</v>
      </c>
      <c r="F35" s="2"/>
      <c r="I35" s="2"/>
      <c r="J35" s="19"/>
    </row>
    <row r="36" spans="1:10" x14ac:dyDescent="0.2">
      <c r="A36" s="3"/>
      <c r="B36" s="3"/>
      <c r="D36" s="9" t="s">
        <v>78</v>
      </c>
      <c r="E36" s="10">
        <f>COUNTIF(B:B,"New")</f>
        <v>0</v>
      </c>
      <c r="F36" s="2"/>
      <c r="I36" s="2"/>
      <c r="J36" s="19"/>
    </row>
    <row r="37" spans="1:10" x14ac:dyDescent="0.2">
      <c r="A37" s="3"/>
      <c r="B37" s="3"/>
      <c r="E37" s="2"/>
      <c r="F37" s="2"/>
      <c r="I37" s="2"/>
      <c r="J37" s="19"/>
    </row>
    <row r="38" spans="1:10" x14ac:dyDescent="0.2">
      <c r="A38" s="3"/>
      <c r="B38" s="3"/>
      <c r="D38" t="s">
        <v>66</v>
      </c>
      <c r="E38" s="2"/>
      <c r="F38" s="2"/>
      <c r="I38" s="2"/>
      <c r="J38" s="19"/>
    </row>
    <row r="39" spans="1:10" x14ac:dyDescent="0.2">
      <c r="A39" s="3"/>
      <c r="B39" s="3"/>
      <c r="D39" s="8" t="s">
        <v>67</v>
      </c>
      <c r="E39" s="2"/>
      <c r="F39" s="2"/>
      <c r="I39" s="2"/>
      <c r="J39" s="19"/>
    </row>
    <row r="40" spans="1:10" x14ac:dyDescent="0.2">
      <c r="A40" s="3"/>
      <c r="B40" s="3"/>
      <c r="D40" s="8" t="s">
        <v>65</v>
      </c>
      <c r="E40" s="2"/>
      <c r="F40" s="2"/>
      <c r="I40" s="2"/>
      <c r="J40" s="19"/>
    </row>
    <row r="41" spans="1:10" x14ac:dyDescent="0.2">
      <c r="D41" s="8" t="s">
        <v>71</v>
      </c>
    </row>
  </sheetData>
  <hyperlinks>
    <hyperlink ref="D41" r:id="rId1" xr:uid="{E7AF7442-A2F0-9E45-B6D2-7520B9057683}"/>
    <hyperlink ref="D40" r:id="rId2" xr:uid="{DCF09981-33AB-134D-A0A1-DD002CE81F1D}"/>
    <hyperlink ref="D39" r:id="rId3" xr:uid="{94861011-BED1-2947-9CAB-4BDEE72F5D53}"/>
  </hyperlinks>
  <pageMargins left="0.7" right="0.7" top="0.75" bottom="0.75" header="0.3" footer="0.3"/>
  <pageSetup paperSize="9" orientation="portrait" horizontalDpi="0" verticalDpi="0"/>
  <ignoredErrors>
    <ignoredError sqref="F23:H23 F25:H25 F24:H24 F28:H28 F26:H26 F27:H27 F31:I31 F29:H29 F30:H30 I28 I25 I23 I2:J22 I24:J24 J23 I26:J27 J25 I29:J30 J28" calculatedColumn="1"/>
  </ignoredErrors>
  <tableParts count="1">
    <tablePart r:id="rId4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5C8B-7861-6644-B5E2-1983A0188654}">
  <dimension ref="A1:J41"/>
  <sheetViews>
    <sheetView workbookViewId="0">
      <selection activeCell="D11" sqref="D2:E11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9.8320312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0" x14ac:dyDescent="0.2">
      <c r="A2" s="13">
        <v>1</v>
      </c>
      <c r="B2" s="9" t="s">
        <v>36</v>
      </c>
      <c r="C2" s="9" t="s">
        <v>8</v>
      </c>
      <c r="D2" s="9" t="s">
        <v>262</v>
      </c>
      <c r="E2" s="10">
        <v>178696</v>
      </c>
      <c r="F2" s="10">
        <f>SUMIFS('Week 24 June 8 - June 14 2020'!F:F,'Week 24 June 8 - June 14 2020'!D:D,'Week 25 June 15 - June 21 2020'!D:D,'Week 24 June 8 - June 14 2020'!C:C,'Week 25 June 15 - June 21 2020'!C:C)+Table36119101355571214175259616365676971737577[[#This Row],[Week Sales]]</f>
        <v>178696</v>
      </c>
      <c r="G2" s="9" t="s">
        <v>30</v>
      </c>
      <c r="H2" s="14">
        <v>44001</v>
      </c>
      <c r="I2" s="10" t="s">
        <v>36</v>
      </c>
      <c r="J2" s="92" t="str">
        <f>IFERROR((E2-I2)/I2,"New")</f>
        <v>New</v>
      </c>
    </row>
    <row r="3" spans="1:10" x14ac:dyDescent="0.2">
      <c r="A3" s="25">
        <v>2</v>
      </c>
      <c r="B3" s="18">
        <v>1</v>
      </c>
      <c r="C3" s="18" t="s">
        <v>7</v>
      </c>
      <c r="D3" s="86" t="s">
        <v>46</v>
      </c>
      <c r="E3" s="12">
        <v>73680</v>
      </c>
      <c r="F3" s="12">
        <f>SUMIFS('Week 24 June 8 - June 14 2020'!F:F,'Week 24 June 8 - June 14 2020'!D:D,'Week 25 June 15 - June 21 2020'!D:D,'Week 24 June 8 - June 14 2020'!C:C,'Week 25 June 15 - June 21 2020'!C:C)+Table36119101355571214175259616365676971737577[[#This Row],[Week Sales]]</f>
        <v>4934168</v>
      </c>
      <c r="G3" s="18" t="str">
        <f>(VLOOKUP(D:D,'Week 24 June 8 - June 14 2020'!D:G,4,FALSE))</f>
        <v>Nintendo</v>
      </c>
      <c r="H3" s="67">
        <f>(VLOOKUP(D:D,'Week 24 June 8 - June 14 2020'!D:H,5,FALSE))</f>
        <v>43910</v>
      </c>
      <c r="I3" s="12">
        <f>_xlfn.IFNA(SUMIFS('Week 24 June 8 - June 14 2020'!E:E,'Week 24 June 8 - June 14 2020'!D:D,'Week 25 June 15 - June 21 2020'!D:D,'Week 24 June 8 - June 14 2020'!C:C,'Week 25 June 15 - June 21 2020'!C:C),"New")</f>
        <v>77259</v>
      </c>
      <c r="J3" s="28">
        <f t="shared" ref="J3:J25" si="0">IFERROR((E3-I3)/I3,"New")</f>
        <v>-4.6324700034947382E-2</v>
      </c>
    </row>
    <row r="4" spans="1:10" x14ac:dyDescent="0.2">
      <c r="A4" s="25">
        <v>3</v>
      </c>
      <c r="B4" s="18">
        <v>2</v>
      </c>
      <c r="C4" s="18" t="s">
        <v>7</v>
      </c>
      <c r="D4" s="18" t="s">
        <v>50</v>
      </c>
      <c r="E4" s="12">
        <v>32673</v>
      </c>
      <c r="F4" s="12">
        <f>SUMIFS('Week 24 June 8 - June 14 2020'!F:F,'Week 24 June 8 - June 14 2020'!D:D,'Week 25 June 15 - June 21 2020'!D:D,'Week 24 June 8 - June 14 2020'!C:C,'Week 25 June 15 - June 21 2020'!C:C)+Table36119101355571214175259616365676971737577[[#This Row],[Week Sales]]</f>
        <v>144297</v>
      </c>
      <c r="G4" s="18" t="str">
        <f>(VLOOKUP(D:D,'Week 24 June 8 - June 14 2020'!D:G,4,FALSE))</f>
        <v>Nintendo</v>
      </c>
      <c r="H4" s="67">
        <f>(VLOOKUP(D:D,'Week 24 June 8 - June 14 2020'!D:H,5,FALSE))</f>
        <v>43987</v>
      </c>
      <c r="I4" s="12">
        <f>_xlfn.IFNA(SUMIFS('Week 24 June 8 - June 14 2020'!E:E,'Week 24 June 8 - June 14 2020'!D:D,'Week 25 June 15 - June 21 2020'!D:D,'Week 24 June 8 - June 14 2020'!C:C,'Week 25 June 15 - June 21 2020'!C:C),"New")</f>
        <v>47181</v>
      </c>
      <c r="J4" s="28">
        <f t="shared" si="0"/>
        <v>-0.307496661791823</v>
      </c>
    </row>
    <row r="5" spans="1:10" x14ac:dyDescent="0.2">
      <c r="A5" s="25">
        <v>4</v>
      </c>
      <c r="B5" s="18">
        <v>3</v>
      </c>
      <c r="C5" s="18" t="s">
        <v>7</v>
      </c>
      <c r="D5" s="47" t="s">
        <v>45</v>
      </c>
      <c r="E5" s="12">
        <v>32663</v>
      </c>
      <c r="F5" s="12">
        <f>SUMIFS('Week 24 June 8 - June 14 2020'!F:F,'Week 24 June 8 - June 14 2020'!D:D,'Week 25 June 15 - June 21 2020'!D:D,'Week 24 June 8 - June 14 2020'!C:C,'Week 25 June 15 - June 21 2020'!C:C)+Table36119101355571214175259616365676971737577[[#This Row],[Week Sales]]</f>
        <v>1038732</v>
      </c>
      <c r="G5" s="18" t="str">
        <f>(VLOOKUP(D:D,'Week 24 June 8 - June 14 2020'!D:G,4,FALSE))</f>
        <v>Nintendo</v>
      </c>
      <c r="H5" s="67">
        <f>(VLOOKUP(D:D,'Week 24 June 8 - June 14 2020'!D:H,5,FALSE))</f>
        <v>43756</v>
      </c>
      <c r="I5" s="12">
        <f>_xlfn.IFNA(SUMIFS('Week 24 June 8 - June 14 2020'!E:E,'Week 24 June 8 - June 14 2020'!D:D,'Week 25 June 15 - June 21 2020'!D:D,'Week 24 June 8 - June 14 2020'!C:C,'Week 25 June 15 - June 21 2020'!C:C),"New")</f>
        <v>20023</v>
      </c>
      <c r="J5" s="28">
        <f t="shared" si="0"/>
        <v>0.63127403485991107</v>
      </c>
    </row>
    <row r="6" spans="1:10" x14ac:dyDescent="0.2">
      <c r="A6" s="13">
        <v>5</v>
      </c>
      <c r="B6" s="9" t="s">
        <v>36</v>
      </c>
      <c r="C6" s="9" t="s">
        <v>7</v>
      </c>
      <c r="D6" s="46" t="s">
        <v>263</v>
      </c>
      <c r="E6" s="10">
        <v>14062</v>
      </c>
      <c r="F6" s="10">
        <f>SUMIFS('Week 24 June 8 - June 14 2020'!F:F,'Week 24 June 8 - June 14 2020'!D:D,'Week 25 June 15 - June 21 2020'!D:D,'Week 24 June 8 - June 14 2020'!C:C,'Week 25 June 15 - June 21 2020'!C:C)+Table36119101355571214175259616365676971737577[[#This Row],[Week Sales]]</f>
        <v>14062</v>
      </c>
      <c r="G6" s="9" t="s">
        <v>166</v>
      </c>
      <c r="H6" s="14">
        <v>44000</v>
      </c>
      <c r="I6" s="10" t="s">
        <v>36</v>
      </c>
      <c r="J6" s="92" t="str">
        <f t="shared" si="0"/>
        <v>New</v>
      </c>
    </row>
    <row r="7" spans="1:10" x14ac:dyDescent="0.2">
      <c r="A7" s="13">
        <v>6</v>
      </c>
      <c r="B7" s="9" t="s">
        <v>36</v>
      </c>
      <c r="C7" s="9" t="s">
        <v>7</v>
      </c>
      <c r="D7" s="46" t="s">
        <v>264</v>
      </c>
      <c r="E7" s="10">
        <v>9532</v>
      </c>
      <c r="F7" s="10">
        <f>SUMIFS('Week 24 June 8 - June 14 2020'!F:F,'Week 24 June 8 - June 14 2020'!D:D,'Week 25 June 15 - June 21 2020'!D:D,'Week 24 June 8 - June 14 2020'!C:C,'Week 25 June 15 - June 21 2020'!C:C)+Table36119101355571214175259616365676971737577[[#This Row],[Week Sales]]</f>
        <v>9532</v>
      </c>
      <c r="G7" s="9" t="s">
        <v>34</v>
      </c>
      <c r="H7" s="14">
        <v>44000</v>
      </c>
      <c r="I7" s="10" t="s">
        <v>36</v>
      </c>
      <c r="J7" s="92" t="str">
        <f t="shared" si="0"/>
        <v>New</v>
      </c>
    </row>
    <row r="8" spans="1:10" x14ac:dyDescent="0.2">
      <c r="A8" s="25">
        <v>7</v>
      </c>
      <c r="B8" s="18">
        <v>4</v>
      </c>
      <c r="C8" s="18" t="s">
        <v>7</v>
      </c>
      <c r="D8" s="47" t="s">
        <v>49</v>
      </c>
      <c r="E8" s="12">
        <v>9251</v>
      </c>
      <c r="F8" s="12">
        <f>SUMIFS('Week 24 June 8 - June 14 2020'!F:F,'Week 24 June 8 - June 14 2020'!D:D,'Week 25 June 15 - June 21 2020'!D:D,'Week 24 June 8 - June 14 2020'!C:C,'Week 25 June 15 - June 21 2020'!C:C)+Table36119101355571214175259616365676971737577[[#This Row],[Week Sales]]</f>
        <v>2995705</v>
      </c>
      <c r="G8" s="18" t="str">
        <f>(VLOOKUP(D:D,'Week 24 June 8 - June 14 2020'!D:G,4,FALSE))</f>
        <v>Nintendo</v>
      </c>
      <c r="H8" s="67">
        <f>(VLOOKUP(D:D,'Week 24 June 8 - June 14 2020'!D:H,5,FALSE))</f>
        <v>42853</v>
      </c>
      <c r="I8" s="12">
        <f>_xlfn.IFNA(SUMIFS('Week 24 June 8 - June 14 2020'!E:E,'Week 24 June 8 - June 14 2020'!D:D,'Week 25 June 15 - June 21 2020'!D:D,'Week 24 June 8 - June 14 2020'!C:C,'Week 25 June 15 - June 21 2020'!C:C),"New")</f>
        <v>9727</v>
      </c>
      <c r="J8" s="28">
        <f t="shared" si="0"/>
        <v>-4.8935951475275005E-2</v>
      </c>
    </row>
    <row r="9" spans="1:10" x14ac:dyDescent="0.2">
      <c r="A9" s="25">
        <v>8</v>
      </c>
      <c r="B9" s="18">
        <v>8</v>
      </c>
      <c r="C9" s="18" t="s">
        <v>7</v>
      </c>
      <c r="D9" s="47" t="s">
        <v>62</v>
      </c>
      <c r="E9" s="12">
        <v>9195</v>
      </c>
      <c r="F9" s="12">
        <f>SUMIFS('Week 24 June 8 - June 14 2020'!F:F,'Week 24 June 8 - June 14 2020'!D:D,'Week 25 June 15 - June 21 2020'!D:D,'Week 24 June 8 - June 14 2020'!C:C,'Week 25 June 15 - June 21 2020'!C:C)+Table36119101355571214175259616365676971737577[[#This Row],[Week Sales]]</f>
        <v>3630263</v>
      </c>
      <c r="G9" s="18" t="str">
        <f>(VLOOKUP(D:D,'Week 24 June 8 - June 14 2020'!D:G,4,FALSE))</f>
        <v>The Pokemon Company</v>
      </c>
      <c r="H9" s="67">
        <f>(VLOOKUP(D:D,'Week 24 June 8 - June 14 2020'!D:H,5,FALSE))</f>
        <v>43784</v>
      </c>
      <c r="I9" s="12">
        <f>_xlfn.IFNA(SUMIFS('Week 24 June 8 - June 14 2020'!E:E,'Week 24 June 8 - June 14 2020'!D:D,'Week 25 June 15 - June 21 2020'!D:D,'Week 24 June 8 - June 14 2020'!C:C,'Week 25 June 15 - June 21 2020'!C:C),"New")</f>
        <v>6741</v>
      </c>
      <c r="J9" s="28">
        <f t="shared" si="0"/>
        <v>0.36404094348019583</v>
      </c>
    </row>
    <row r="10" spans="1:10" x14ac:dyDescent="0.2">
      <c r="A10" s="25">
        <v>9</v>
      </c>
      <c r="B10" s="18">
        <v>5</v>
      </c>
      <c r="C10" s="18" t="s">
        <v>7</v>
      </c>
      <c r="D10" s="47" t="s">
        <v>10</v>
      </c>
      <c r="E10" s="12">
        <v>7886</v>
      </c>
      <c r="F10" s="12">
        <f>SUMIFS('Week 24 June 8 - June 14 2020'!F:F,'Week 24 June 8 - June 14 2020'!D:D,'Week 25 June 15 - June 21 2020'!D:D,'Week 24 June 8 - June 14 2020'!C:C,'Week 25 June 15 - June 21 2020'!C:C)+Table36119101355571214175259616365676971737577[[#This Row],[Week Sales]]</f>
        <v>3463228</v>
      </c>
      <c r="G10" s="18" t="str">
        <f>(VLOOKUP(D:D,'Week 24 June 8 - June 14 2020'!D:G,4,FALSE))</f>
        <v>Nintendo</v>
      </c>
      <c r="H10" s="67">
        <f>(VLOOKUP(D:D,'Week 24 June 8 - June 14 2020'!D:H,5,FALSE))</f>
        <v>42937</v>
      </c>
      <c r="I10" s="12">
        <f>_xlfn.IFNA(SUMIFS('Week 24 June 8 - June 14 2020'!E:E,'Week 24 June 8 - June 14 2020'!D:D,'Week 25 June 15 - June 21 2020'!D:D,'Week 24 June 8 - June 14 2020'!C:C,'Week 25 June 15 - June 21 2020'!C:C),"New")</f>
        <v>8692</v>
      </c>
      <c r="J10" s="28">
        <f t="shared" si="0"/>
        <v>-9.2728946157386097E-2</v>
      </c>
    </row>
    <row r="11" spans="1:10" x14ac:dyDescent="0.2">
      <c r="A11" s="25">
        <v>10</v>
      </c>
      <c r="B11" s="18">
        <v>9</v>
      </c>
      <c r="C11" s="18" t="s">
        <v>7</v>
      </c>
      <c r="D11" s="47" t="s">
        <v>52</v>
      </c>
      <c r="E11" s="12">
        <v>6137</v>
      </c>
      <c r="F11" s="12">
        <f>SUMIFS('Week 24 June 8 - June 14 2020'!F:F,'Week 24 June 8 - June 14 2020'!D:D,'Week 25 June 15 - June 21 2020'!D:D,'Week 24 June 8 - June 14 2020'!C:C,'Week 25 June 15 - June 21 2020'!C:C)+Table36119101355571214175259616365676971737577[[#This Row],[Week Sales]]</f>
        <v>3731453</v>
      </c>
      <c r="G11" s="18" t="str">
        <f>(VLOOKUP(D:D,'Week 24 June 8 - June 14 2020'!D:G,4,FALSE))</f>
        <v>Nintendo</v>
      </c>
      <c r="H11" s="67">
        <f>(VLOOKUP(D:D,'Week 24 June 8 - June 14 2020'!D:H,5,FALSE))</f>
        <v>43441</v>
      </c>
      <c r="I11" s="12">
        <f>_xlfn.IFNA(SUMIFS('Week 24 June 8 - June 14 2020'!E:E,'Week 24 June 8 - June 14 2020'!D:D,'Week 25 June 15 - June 21 2020'!D:D,'Week 24 June 8 - June 14 2020'!C:C,'Week 25 June 15 - June 21 2020'!C:C),"New")</f>
        <v>6634</v>
      </c>
      <c r="J11" s="28">
        <f t="shared" si="0"/>
        <v>-7.4917093759421169E-2</v>
      </c>
    </row>
    <row r="12" spans="1:10" x14ac:dyDescent="0.2">
      <c r="A12" s="25">
        <v>11</v>
      </c>
      <c r="B12" s="18">
        <v>7</v>
      </c>
      <c r="C12" s="18" t="s">
        <v>7</v>
      </c>
      <c r="D12" s="47" t="s">
        <v>12</v>
      </c>
      <c r="E12" s="12">
        <v>6067</v>
      </c>
      <c r="F12" s="12">
        <f>SUMIFS('Week 24 June 8 - June 14 2020'!F:F,'Week 24 June 8 - June 14 2020'!D:D,'Week 25 June 15 - June 21 2020'!D:D,'Week 24 June 8 - June 14 2020'!C:C,'Week 25 June 15 - June 21 2020'!C:C)+Table36119101355571214175259616365676971737577[[#This Row],[Week Sales]]</f>
        <v>1419967</v>
      </c>
      <c r="G12" s="18" t="str">
        <f>(VLOOKUP(D:D,'Week 24 June 8 - June 14 2020'!D:G,4,FALSE))</f>
        <v>Microsoft</v>
      </c>
      <c r="H12" s="67">
        <f>(VLOOKUP(D:D,'Week 24 June 8 - June 14 2020'!D:H,5,FALSE))</f>
        <v>43272</v>
      </c>
      <c r="I12" s="12">
        <f>_xlfn.IFNA(SUMIFS('Week 24 June 8 - June 14 2020'!E:E,'Week 24 June 8 - June 14 2020'!D:D,'Week 25 June 15 - June 21 2020'!D:D,'Week 24 June 8 - June 14 2020'!C:C,'Week 25 June 15 - June 21 2020'!C:C),"New")</f>
        <v>6968</v>
      </c>
      <c r="J12" s="28">
        <f t="shared" si="0"/>
        <v>-0.12930539609644087</v>
      </c>
    </row>
    <row r="13" spans="1:10" x14ac:dyDescent="0.2">
      <c r="A13" s="25">
        <v>12</v>
      </c>
      <c r="B13" s="18">
        <v>11</v>
      </c>
      <c r="C13" s="18" t="s">
        <v>8</v>
      </c>
      <c r="D13" s="47" t="s">
        <v>246</v>
      </c>
      <c r="E13" s="12">
        <v>5883</v>
      </c>
      <c r="F13" s="12">
        <f>SUMIFS('Week 24 June 8 - June 14 2020'!F:F,'Week 24 June 8 - June 14 2020'!D:D,'Week 25 June 15 - June 21 2020'!D:D,'Week 24 June 8 - June 14 2020'!C:C,'Week 25 June 15 - June 21 2020'!C:C)+Table36119101355571214175259616365676971737577[[#This Row],[Week Sales]]</f>
        <v>95343</v>
      </c>
      <c r="G13" s="18" t="str">
        <f>(VLOOKUP(D:D,'Week 24 June 8 - June 14 2020'!D:G,4,FALSE))</f>
        <v>Sony</v>
      </c>
      <c r="H13" s="67">
        <f>(VLOOKUP(D:D,'Week 24 June 8 - June 14 2020'!D:H,5,FALSE))</f>
        <v>43307</v>
      </c>
      <c r="I13" s="12">
        <f>_xlfn.IFNA(SUMIFS('Week 24 June 8 - June 14 2020'!E:E,'Week 24 June 8 - June 14 2020'!D:D,'Week 25 June 15 - June 21 2020'!D:D,'Week 24 June 8 - June 14 2020'!C:C,'Week 25 June 15 - June 21 2020'!C:C),"New")</f>
        <v>4489</v>
      </c>
      <c r="J13" s="28">
        <f t="shared" si="0"/>
        <v>0.3105368678993094</v>
      </c>
    </row>
    <row r="14" spans="1:10" x14ac:dyDescent="0.2">
      <c r="A14" s="25">
        <v>13</v>
      </c>
      <c r="B14" s="18">
        <v>6</v>
      </c>
      <c r="C14" s="18" t="s">
        <v>7</v>
      </c>
      <c r="D14" s="47" t="s">
        <v>250</v>
      </c>
      <c r="E14" s="12">
        <v>4972</v>
      </c>
      <c r="F14" s="12">
        <f>SUMIFS('Week 24 June 8 - June 14 2020'!F:F,'Week 24 June 8 - June 14 2020'!D:D,'Week 25 June 15 - June 21 2020'!D:D,'Week 24 June 8 - June 14 2020'!C:C,'Week 25 June 15 - June 21 2020'!C:C)+Table36119101355571214175259616365676971737577[[#This Row],[Week Sales]]</f>
        <v>120497</v>
      </c>
      <c r="G14" s="18" t="str">
        <f>(VLOOKUP(D:D,'Week 24 June 8 - June 14 2020'!D:G,4,FALSE))</f>
        <v>Nintendo</v>
      </c>
      <c r="H14" s="67">
        <f>(VLOOKUP(D:D,'Week 24 June 8 - June 14 2020'!D:H,5,FALSE))</f>
        <v>43980</v>
      </c>
      <c r="I14" s="12">
        <f>_xlfn.IFNA(SUMIFS('Week 24 June 8 - June 14 2020'!E:E,'Week 24 June 8 - June 14 2020'!D:D,'Week 25 June 15 - June 21 2020'!D:D,'Week 24 June 8 - June 14 2020'!C:C,'Week 25 June 15 - June 21 2020'!C:C),"New")</f>
        <v>7950</v>
      </c>
      <c r="J14" s="28">
        <f t="shared" si="0"/>
        <v>-0.37459119496855348</v>
      </c>
    </row>
    <row r="15" spans="1:10" x14ac:dyDescent="0.2">
      <c r="A15" s="25">
        <v>14</v>
      </c>
      <c r="B15" s="18">
        <v>10</v>
      </c>
      <c r="C15" s="18" t="s">
        <v>7</v>
      </c>
      <c r="D15" s="47" t="s">
        <v>13</v>
      </c>
      <c r="E15" s="12">
        <v>4485</v>
      </c>
      <c r="F15" s="12">
        <f>SUMIFS('Week 24 June 8 - June 14 2020'!F:F,'Week 24 June 8 - June 14 2020'!D:D,'Week 25 June 15 - June 21 2020'!D:D,'Week 24 June 8 - June 14 2020'!C:C,'Week 25 June 15 - June 21 2020'!C:C)+Table36119101355571214175259616365676971737577[[#This Row],[Week Sales]]</f>
        <v>1471823</v>
      </c>
      <c r="G15" s="18" t="str">
        <f>(VLOOKUP(D:D,'Week 24 June 8 - June 14 2020'!D:G,4,FALSE))</f>
        <v>Nintendo</v>
      </c>
      <c r="H15" s="67">
        <f>(VLOOKUP(D:D,'Week 24 June 8 - June 14 2020'!D:H,5,FALSE))</f>
        <v>43378</v>
      </c>
      <c r="I15" s="12">
        <f>_xlfn.IFNA(SUMIFS('Week 24 June 8 - June 14 2020'!E:E,'Week 24 June 8 - June 14 2020'!D:D,'Week 25 June 15 - June 21 2020'!D:D,'Week 24 June 8 - June 14 2020'!C:C,'Week 25 June 15 - June 21 2020'!C:C),"New")</f>
        <v>4855</v>
      </c>
      <c r="J15" s="28">
        <f t="shared" si="0"/>
        <v>-7.6210092687950565E-2</v>
      </c>
    </row>
    <row r="16" spans="1:10" x14ac:dyDescent="0.2">
      <c r="A16" s="25">
        <v>15</v>
      </c>
      <c r="B16" s="18">
        <v>12</v>
      </c>
      <c r="C16" s="18" t="s">
        <v>7</v>
      </c>
      <c r="D16" s="47" t="s">
        <v>16</v>
      </c>
      <c r="E16" s="12">
        <v>3494</v>
      </c>
      <c r="F16" s="12">
        <f>SUMIFS('Week 24 June 8 - June 14 2020'!F:F,'Week 24 June 8 - June 14 2020'!D:D,'Week 25 June 15 - June 21 2020'!D:D,'Week 24 June 8 - June 14 2020'!C:C,'Week 25 June 15 - June 21 2020'!C:C)+Table36119101355571214175259616365676971737577[[#This Row],[Week Sales]]</f>
        <v>250565</v>
      </c>
      <c r="G16" s="18" t="str">
        <f>(VLOOKUP(D:D,'Week 24 June 8 - June 14 2020'!D:G,4,FALSE))</f>
        <v>Nintendo</v>
      </c>
      <c r="H16" s="67">
        <f>(VLOOKUP(D:D,'Week 24 June 8 - June 14 2020'!D:H,5,FALSE))</f>
        <v>43826</v>
      </c>
      <c r="I16" s="12">
        <f>_xlfn.IFNA(SUMIFS('Week 24 June 8 - June 14 2020'!E:E,'Week 24 June 8 - June 14 2020'!D:D,'Week 25 June 15 - June 21 2020'!D:D,'Week 24 June 8 - June 14 2020'!C:C,'Week 25 June 15 - June 21 2020'!C:C),"New")</f>
        <v>3579</v>
      </c>
      <c r="J16" s="28">
        <f t="shared" si="0"/>
        <v>-2.3749650740430287E-2</v>
      </c>
    </row>
    <row r="17" spans="1:10" x14ac:dyDescent="0.2">
      <c r="A17" s="25">
        <v>16</v>
      </c>
      <c r="B17" s="18">
        <v>13</v>
      </c>
      <c r="C17" s="18" t="s">
        <v>7</v>
      </c>
      <c r="D17" s="47" t="s">
        <v>39</v>
      </c>
      <c r="E17" s="12">
        <v>3043</v>
      </c>
      <c r="F17" s="12">
        <f>SUMIFS('Week 24 June 8 - June 14 2020'!F:F,'Week 24 June 8 - June 14 2020'!D:D,'Week 25 June 15 - June 21 2020'!D:D,'Week 24 June 8 - June 14 2020'!C:C,'Week 25 June 15 - June 21 2020'!C:C)+Table36119101355571214175259616365676971737577[[#This Row],[Week Sales]]</f>
        <v>1600539</v>
      </c>
      <c r="G17" s="18" t="str">
        <f>(VLOOKUP(D:D,'Week 24 June 8 - June 14 2020'!D:G,4,FALSE))</f>
        <v>Nintendo</v>
      </c>
      <c r="H17" s="67">
        <f>(VLOOKUP(D:D,'Week 24 June 8 - June 14 2020'!D:H,5,FALSE))</f>
        <v>42797</v>
      </c>
      <c r="I17" s="12">
        <f>_xlfn.IFNA(SUMIFS('Week 24 June 8 - June 14 2020'!E:E,'Week 24 June 8 - June 14 2020'!D:D,'Week 25 June 15 - June 21 2020'!D:D,'Week 24 June 8 - June 14 2020'!C:C,'Week 25 June 15 - June 21 2020'!C:C),"New")</f>
        <v>3352</v>
      </c>
      <c r="J17" s="28">
        <f t="shared" si="0"/>
        <v>-9.2183770883054891E-2</v>
      </c>
    </row>
    <row r="18" spans="1:10" x14ac:dyDescent="0.2">
      <c r="A18" s="25">
        <v>17</v>
      </c>
      <c r="B18" s="18">
        <v>14</v>
      </c>
      <c r="C18" s="18" t="s">
        <v>7</v>
      </c>
      <c r="D18" s="47" t="s">
        <v>19</v>
      </c>
      <c r="E18" s="12">
        <v>2848</v>
      </c>
      <c r="F18" s="12">
        <f>SUMIFS('Week 24 June 8 - June 14 2020'!F:F,'Week 24 June 8 - June 14 2020'!D:D,'Week 25 June 15 - June 21 2020'!D:D,'Week 24 June 8 - June 14 2020'!C:C,'Week 25 June 15 - June 21 2020'!C:C)+Table36119101355571214175259616365676971737577[[#This Row],[Week Sales]]</f>
        <v>928253</v>
      </c>
      <c r="G18" s="18" t="str">
        <f>(VLOOKUP(D:D,'Week 24 June 8 - June 14 2020'!D:G,4,FALSE))</f>
        <v>Nintendo</v>
      </c>
      <c r="H18" s="67">
        <f>(VLOOKUP(D:D,'Week 24 June 8 - June 14 2020'!D:H,5,FALSE))</f>
        <v>43644</v>
      </c>
      <c r="I18" s="12">
        <f>_xlfn.IFNA(SUMIFS('Week 24 June 8 - June 14 2020'!E:E,'Week 24 June 8 - June 14 2020'!D:D,'Week 25 June 15 - June 21 2020'!D:D,'Week 24 June 8 - June 14 2020'!C:C,'Week 25 June 15 - June 21 2020'!C:C),"New")</f>
        <v>3201</v>
      </c>
      <c r="J18" s="28">
        <f t="shared" si="0"/>
        <v>-0.11027803811308966</v>
      </c>
    </row>
    <row r="19" spans="1:10" x14ac:dyDescent="0.2">
      <c r="A19" s="13">
        <v>18</v>
      </c>
      <c r="B19" s="9" t="s">
        <v>36</v>
      </c>
      <c r="C19" s="9" t="s">
        <v>7</v>
      </c>
      <c r="D19" s="95" t="s">
        <v>265</v>
      </c>
      <c r="E19" s="10">
        <v>2590</v>
      </c>
      <c r="F19" s="10">
        <f>SUMIFS('Week 24 June 8 - June 14 2020'!F:F,'Week 24 June 8 - June 14 2020'!D:D,'Week 25 June 15 - June 21 2020'!D:D,'Week 24 June 8 - June 14 2020'!C:C,'Week 25 June 15 - June 21 2020'!C:C)+Table36119101355571214175259616365676971737577[[#This Row],[Week Sales]]</f>
        <v>2590</v>
      </c>
      <c r="G19" s="9" t="s">
        <v>95</v>
      </c>
      <c r="H19" s="14">
        <v>44000</v>
      </c>
      <c r="I19" s="10" t="s">
        <v>36</v>
      </c>
      <c r="J19" s="92" t="str">
        <f t="shared" si="0"/>
        <v>New</v>
      </c>
    </row>
    <row r="20" spans="1:10" x14ac:dyDescent="0.2">
      <c r="A20" s="25">
        <v>19</v>
      </c>
      <c r="B20" s="18">
        <v>16</v>
      </c>
      <c r="C20" s="18" t="s">
        <v>7</v>
      </c>
      <c r="D20" s="47" t="s">
        <v>79</v>
      </c>
      <c r="E20" s="12">
        <v>2548</v>
      </c>
      <c r="F20" s="12">
        <f>SUMIFS('Week 24 June 8 - June 14 2020'!F:F,'Week 24 June 8 - June 14 2020'!D:D,'Week 25 June 15 - June 21 2020'!D:D,'Week 24 June 8 - June 14 2020'!C:C,'Week 25 June 15 - June 21 2020'!C:C)+Table36119101355571214175259616365676971737577[[#This Row],[Week Sales]]</f>
        <v>655982</v>
      </c>
      <c r="G20" s="18" t="str">
        <f>(VLOOKUP(D:D,'Week 24 June 8 - June 14 2020'!D:G,4,FALSE))</f>
        <v>Nintendo</v>
      </c>
      <c r="H20" s="67">
        <f>(VLOOKUP(D:D,'Week 24 June 8 - June 14 2020'!D:H,5,FALSE))</f>
        <v>43769</v>
      </c>
      <c r="I20" s="12">
        <f>_xlfn.IFNA(SUMIFS('Week 24 June 8 - June 14 2020'!E:E,'Week 24 June 8 - June 14 2020'!D:D,'Week 25 June 15 - June 21 2020'!D:D,'Week 24 June 8 - June 14 2020'!C:C,'Week 25 June 15 - June 21 2020'!C:C),"New")</f>
        <v>2720</v>
      </c>
      <c r="J20" s="28">
        <f t="shared" si="0"/>
        <v>-6.3235294117647056E-2</v>
      </c>
    </row>
    <row r="21" spans="1:10" x14ac:dyDescent="0.2">
      <c r="A21" s="25">
        <v>20</v>
      </c>
      <c r="B21" s="18">
        <v>17</v>
      </c>
      <c r="C21" s="18" t="s">
        <v>7</v>
      </c>
      <c r="D21" s="47" t="s">
        <v>17</v>
      </c>
      <c r="E21" s="12">
        <v>2486</v>
      </c>
      <c r="F21" s="12">
        <f>SUMIFS('Week 24 June 8 - June 14 2020'!F:F,'Week 24 June 8 - June 14 2020'!D:D,'Week 25 June 15 - June 21 2020'!D:D,'Week 24 June 8 - June 14 2020'!C:C,'Week 25 June 15 - June 21 2020'!C:C)+Table36119101355571214175259616365676971737577[[#This Row],[Week Sales]]</f>
        <v>854682</v>
      </c>
      <c r="G21" s="18" t="str">
        <f>(VLOOKUP(D:D,'Week 24 June 8 - June 14 2020'!D:G,4,FALSE))</f>
        <v>Nintendo</v>
      </c>
      <c r="H21" s="67">
        <f>(VLOOKUP(D:D,'Week 24 June 8 - June 14 2020'!D:H,5,FALSE))</f>
        <v>43476</v>
      </c>
      <c r="I21" s="12">
        <f>_xlfn.IFNA(SUMIFS('Week 24 June 8 - June 14 2020'!E:E,'Week 24 June 8 - June 14 2020'!D:D,'Week 25 June 15 - June 21 2020'!D:D,'Week 24 June 8 - June 14 2020'!C:C,'Week 25 June 15 - June 21 2020'!C:C),"New")</f>
        <v>2522</v>
      </c>
      <c r="J21" s="28">
        <f t="shared" si="0"/>
        <v>-1.4274385408406027E-2</v>
      </c>
    </row>
    <row r="22" spans="1:10" x14ac:dyDescent="0.2">
      <c r="A22" s="25">
        <v>21</v>
      </c>
      <c r="B22" s="18">
        <v>15</v>
      </c>
      <c r="C22" s="18" t="s">
        <v>8</v>
      </c>
      <c r="D22" s="47" t="s">
        <v>234</v>
      </c>
      <c r="E22" s="12">
        <v>2383</v>
      </c>
      <c r="F22" s="12">
        <f>SUMIFS('Week 24 June 8 - June 14 2020'!F:F,'Week 24 June 8 - June 14 2020'!D:D,'Week 25 June 15 - June 21 2020'!D:D,'Week 24 June 8 - June 14 2020'!C:C,'Week 25 June 15 - June 21 2020'!C:C)+Table36119101355571214175259616365676971737577[[#This Row],[Week Sales]]</f>
        <v>929239</v>
      </c>
      <c r="G22" s="18" t="str">
        <f>(VLOOKUP(D:D,'Week 24 June 8 - June 14 2020'!D:G,4,FALSE))</f>
        <v>Square Enix</v>
      </c>
      <c r="H22" s="67">
        <f>(VLOOKUP(D:D,'Week 24 June 8 - June 14 2020'!D:H,5,FALSE))</f>
        <v>43931</v>
      </c>
      <c r="I22" s="12">
        <f>_xlfn.IFNA(SUMIFS('Week 24 June 8 - June 14 2020'!E:E,'Week 24 June 8 - June 14 2020'!D:D,'Week 25 June 15 - June 21 2020'!D:D,'Week 24 June 8 - June 14 2020'!C:C,'Week 25 June 15 - June 21 2020'!C:C),"New")</f>
        <v>3165</v>
      </c>
      <c r="J22" s="28">
        <f t="shared" si="0"/>
        <v>-0.24707740916271723</v>
      </c>
    </row>
    <row r="23" spans="1:10" x14ac:dyDescent="0.2">
      <c r="A23" s="25">
        <v>22</v>
      </c>
      <c r="B23" s="18">
        <v>18</v>
      </c>
      <c r="C23" s="18" t="s">
        <v>8</v>
      </c>
      <c r="D23" s="86" t="s">
        <v>187</v>
      </c>
      <c r="E23" s="12">
        <v>2176</v>
      </c>
      <c r="F23" s="12">
        <f>SUMIFS('Week 24 June 8 - June 14 2020'!F:F,'Week 24 June 8 - June 14 2020'!D:D,'Week 25 June 15 - June 21 2020'!D:D,'Week 24 June 8 - June 14 2020'!C:C,'Week 25 June 15 - June 21 2020'!C:C)+Table36119101355571214175259616365676971737577[[#This Row],[Week Sales]]</f>
        <v>64732</v>
      </c>
      <c r="G23" s="18" t="str">
        <f>(VLOOKUP(D:D,'Week 24 June 8 - June 14 2020'!D:G,4,FALSE))</f>
        <v>Rockstar Games</v>
      </c>
      <c r="H23" s="67">
        <f>(VLOOKUP(D:D,'Week 24 June 8 - June 14 2020'!D:H,5,FALSE))</f>
        <v>43440</v>
      </c>
      <c r="I23" s="12">
        <f>_xlfn.IFNA(SUMIFS('Week 24 June 8 - June 14 2020'!E:E,'Week 24 June 8 - June 14 2020'!D:D,'Week 25 June 15 - June 21 2020'!D:D,'Week 24 June 8 - June 14 2020'!C:C,'Week 25 June 15 - June 21 2020'!C:C),"New")</f>
        <v>2360</v>
      </c>
      <c r="J23" s="28">
        <f t="shared" si="0"/>
        <v>-7.796610169491526E-2</v>
      </c>
    </row>
    <row r="24" spans="1:10" x14ac:dyDescent="0.2">
      <c r="A24" s="25">
        <v>23</v>
      </c>
      <c r="B24" s="18">
        <v>20</v>
      </c>
      <c r="C24" s="18" t="s">
        <v>7</v>
      </c>
      <c r="D24" s="86" t="s">
        <v>20</v>
      </c>
      <c r="E24" s="12">
        <v>1918</v>
      </c>
      <c r="F24" s="12">
        <f>SUMIFS('Week 24 June 8 - June 14 2020'!F:F,'Week 24 June 8 - June 14 2020'!D:D,'Week 25 June 15 - June 21 2020'!D:D,'Week 24 June 8 - June 14 2020'!C:C,'Week 25 June 15 - June 21 2020'!C:C)+Table36119101355571214175259616365676971737577[[#This Row],[Week Sales]]</f>
        <v>446536</v>
      </c>
      <c r="G24" s="18" t="str">
        <f>(VLOOKUP(D:D,'Week 24 June 8 - June 14 2020'!D:G,4,FALSE))</f>
        <v>Bandai Namco</v>
      </c>
      <c r="H24" s="67">
        <f>(VLOOKUP(D:D,'Week 24 June 8 - June 14 2020'!D:H,5,FALSE))</f>
        <v>43671</v>
      </c>
      <c r="I24" s="12">
        <f>_xlfn.IFNA(SUMIFS('Week 24 June 8 - June 14 2020'!E:E,'Week 24 June 8 - June 14 2020'!D:D,'Week 25 June 15 - June 21 2020'!D:D,'Week 24 June 8 - June 14 2020'!C:C,'Week 25 June 15 - June 21 2020'!C:C),"New")</f>
        <v>1912</v>
      </c>
      <c r="J24" s="28">
        <f t="shared" si="0"/>
        <v>3.1380753138075313E-3</v>
      </c>
    </row>
    <row r="25" spans="1:10" x14ac:dyDescent="0.2">
      <c r="A25" s="13">
        <v>24</v>
      </c>
      <c r="B25" s="9" t="s">
        <v>36</v>
      </c>
      <c r="C25" s="9" t="s">
        <v>7</v>
      </c>
      <c r="D25" s="46" t="s">
        <v>266</v>
      </c>
      <c r="E25" s="10">
        <v>1876</v>
      </c>
      <c r="F25" s="10">
        <f>SUMIFS('Week 24 June 8 - June 14 2020'!F:F,'Week 24 June 8 - June 14 2020'!D:D,'Week 25 June 15 - June 21 2020'!D:D,'Week 24 June 8 - June 14 2020'!C:C,'Week 25 June 15 - June 21 2020'!C:C)+Table36119101355571214175259616365676971737577[[#This Row],[Week Sales]]</f>
        <v>1876</v>
      </c>
      <c r="G25" s="9" t="s">
        <v>43</v>
      </c>
      <c r="H25" s="14">
        <v>44000</v>
      </c>
      <c r="I25" s="10" t="s">
        <v>36</v>
      </c>
      <c r="J25" s="92" t="str">
        <f t="shared" si="0"/>
        <v>New</v>
      </c>
    </row>
    <row r="26" spans="1:10" x14ac:dyDescent="0.2">
      <c r="A26" s="25">
        <v>25</v>
      </c>
      <c r="B26" s="18">
        <v>21</v>
      </c>
      <c r="C26" s="18" t="s">
        <v>7</v>
      </c>
      <c r="D26" s="86" t="s">
        <v>83</v>
      </c>
      <c r="E26" s="12">
        <v>1715</v>
      </c>
      <c r="F26" s="12">
        <f>SUMIFS('Week 24 June 8 - June 14 2020'!F:F,'Week 24 June 8 - June 14 2020'!D:D,'Week 25 June 15 - June 21 2020'!D:D,'Week 24 June 8 - June 14 2020'!C:C,'Week 25 June 15 - June 21 2020'!C:C)+Table36119101355571214175259616365676971737577[[#This Row],[Week Sales]]</f>
        <v>528651</v>
      </c>
      <c r="G26" s="18" t="str">
        <f>(VLOOKUP(D:D,'Week 24 June 8 - June 14 2020'!D:G,4,FALSE))</f>
        <v>Square Enix</v>
      </c>
      <c r="H26" s="67">
        <f>(VLOOKUP(D:D,'Week 24 June 8 - June 14 2020'!D:H,5,FALSE))</f>
        <v>43735</v>
      </c>
      <c r="I26" s="12">
        <f>_xlfn.IFNA(SUMIFS('Week 24 June 8 - June 14 2020'!E:E,'Week 24 June 8 - June 14 2020'!D:D,'Week 25 June 15 - June 21 2020'!D:D,'Week 24 June 8 - June 14 2020'!C:C,'Week 25 June 15 - June 21 2020'!C:C),"New")</f>
        <v>1792</v>
      </c>
      <c r="J26" s="28">
        <f t="shared" ref="J26:J31" si="1">IFERROR((E26-I26)/I26,"New")</f>
        <v>-4.296875E-2</v>
      </c>
    </row>
    <row r="27" spans="1:10" x14ac:dyDescent="0.2">
      <c r="A27" s="35">
        <v>26</v>
      </c>
      <c r="B27" s="31" t="s">
        <v>53</v>
      </c>
      <c r="C27" s="31" t="s">
        <v>7</v>
      </c>
      <c r="D27" s="62" t="s">
        <v>233</v>
      </c>
      <c r="E27" s="33">
        <v>1578</v>
      </c>
      <c r="F27" s="33">
        <v>25487</v>
      </c>
      <c r="G27" s="31" t="str">
        <f>(VLOOKUP(D:D,'Week 16 Apr 13 - Apr 19 2020'!D:G,4,FALSE))</f>
        <v>Bandai Namco</v>
      </c>
      <c r="H27" s="93">
        <f>(VLOOKUP(D:D,'Week 16 Apr 13 - Apr 19 2020'!D:H,5,FALSE))</f>
        <v>43923</v>
      </c>
      <c r="I27" s="33"/>
      <c r="J27" s="97"/>
    </row>
    <row r="28" spans="1:10" x14ac:dyDescent="0.2">
      <c r="A28" s="25">
        <v>27</v>
      </c>
      <c r="B28" s="18">
        <v>24</v>
      </c>
      <c r="C28" s="18" t="s">
        <v>7</v>
      </c>
      <c r="D28" s="47" t="s">
        <v>26</v>
      </c>
      <c r="E28" s="12">
        <v>1465</v>
      </c>
      <c r="F28" s="12">
        <f>SUMIFS('Week 24 June 8 - June 14 2020'!F:F,'Week 24 June 8 - June 14 2020'!D:D,'Week 25 June 15 - June 21 2020'!D:D,'Week 24 June 8 - June 14 2020'!C:C,'Week 25 June 15 - June 21 2020'!C:C)+Table36119101355571214175259616365676971737577[[#This Row],[Week Sales]]</f>
        <v>2104701</v>
      </c>
      <c r="G28" s="18" t="str">
        <f>(VLOOKUP(D:D,'Week 24 June 8 - June 14 2020'!D:G,4,FALSE))</f>
        <v>Nintendo</v>
      </c>
      <c r="H28" s="67">
        <f>(VLOOKUP(D:D,'Week 24 June 8 - June 14 2020'!D:H,5,FALSE))</f>
        <v>43035</v>
      </c>
      <c r="I28" s="12">
        <f>_xlfn.IFNA(SUMIFS('Week 24 June 8 - June 14 2020'!E:E,'Week 24 June 8 - June 14 2020'!D:D,'Week 25 June 15 - June 21 2020'!D:D,'Week 24 June 8 - June 14 2020'!C:C,'Week 25 June 15 - June 21 2020'!C:C),"New")</f>
        <v>1588</v>
      </c>
      <c r="J28" s="28">
        <f t="shared" si="1"/>
        <v>-7.7455919395465991E-2</v>
      </c>
    </row>
    <row r="29" spans="1:10" x14ac:dyDescent="0.2">
      <c r="A29" s="25">
        <v>28</v>
      </c>
      <c r="B29" s="18">
        <v>22</v>
      </c>
      <c r="C29" s="18" t="s">
        <v>7</v>
      </c>
      <c r="D29" s="47" t="s">
        <v>25</v>
      </c>
      <c r="E29" s="12">
        <v>1456</v>
      </c>
      <c r="F29" s="12">
        <f>SUMIFS('Week 24 June 8 - June 14 2020'!F:F,'Week 24 June 8 - June 14 2020'!D:D,'Week 25 June 15 - June 21 2020'!D:D,'Week 24 June 8 - June 14 2020'!C:C,'Week 25 June 15 - June 21 2020'!C:C)+Table36119101355571214175259616365676971737577[[#This Row],[Week Sales]]</f>
        <v>484562</v>
      </c>
      <c r="G29" s="18" t="str">
        <f>(VLOOKUP(D:D,'Week 24 June 8 - June 14 2020'!D:G,4,FALSE))</f>
        <v>Bandai Namco</v>
      </c>
      <c r="H29" s="67">
        <f>(VLOOKUP(D:D,'Week 24 June 8 - June 14 2020'!D:H,5,FALSE))</f>
        <v>43300</v>
      </c>
      <c r="I29" s="12">
        <f>_xlfn.IFNA(SUMIFS('Week 24 June 8 - June 14 2020'!E:E,'Week 24 June 8 - June 14 2020'!D:D,'Week 25 June 15 - June 21 2020'!D:D,'Week 24 June 8 - June 14 2020'!C:C,'Week 25 June 15 - June 21 2020'!C:C),"New")</f>
        <v>1698</v>
      </c>
      <c r="J29" s="28">
        <f t="shared" si="1"/>
        <v>-0.14252061248527681</v>
      </c>
    </row>
    <row r="30" spans="1:10" x14ac:dyDescent="0.2">
      <c r="A30" s="25">
        <v>29</v>
      </c>
      <c r="B30" s="18">
        <v>25</v>
      </c>
      <c r="C30" s="18" t="s">
        <v>222</v>
      </c>
      <c r="D30" s="47" t="s">
        <v>223</v>
      </c>
      <c r="E30" s="12">
        <v>1329</v>
      </c>
      <c r="F30" s="12">
        <f>SUMIFS('Week 24 June 8 - June 14 2020'!F:F,'Week 24 June 8 - June 14 2020'!D:D,'Week 25 June 15 - June 21 2020'!D:D,'Week 24 June 8 - June 14 2020'!C:C,'Week 25 June 15 - June 21 2020'!C:C)+Table36119101355571214175259616365676971737577[[#This Row],[Week Sales]]</f>
        <v>513607</v>
      </c>
      <c r="G30" s="18" t="str">
        <f>(VLOOKUP(D:D,'Week 24 June 8 - June 14 2020'!D:G,4,FALSE))</f>
        <v>Nintendo</v>
      </c>
      <c r="H30" s="67">
        <f>(VLOOKUP(D:D,'Week 24 June 8 - June 14 2020'!D:H,5,FALSE))</f>
        <v>42697</v>
      </c>
      <c r="I30" s="12">
        <f>_xlfn.IFNA(SUMIFS('Week 24 June 8 - June 14 2020'!E:E,'Week 24 June 8 - June 14 2020'!D:D,'Week 25 June 15 - June 21 2020'!D:D,'Week 24 June 8 - June 14 2020'!C:C,'Week 25 June 15 - June 21 2020'!C:C),"New")</f>
        <v>1573</v>
      </c>
      <c r="J30" s="28">
        <f t="shared" si="1"/>
        <v>-0.1551176096630642</v>
      </c>
    </row>
    <row r="31" spans="1:10" x14ac:dyDescent="0.2">
      <c r="A31" s="25">
        <v>30</v>
      </c>
      <c r="B31" s="18">
        <v>30</v>
      </c>
      <c r="C31" s="18" t="s">
        <v>7</v>
      </c>
      <c r="D31" s="112" t="s">
        <v>209</v>
      </c>
      <c r="E31" s="12">
        <v>1328</v>
      </c>
      <c r="F31" s="12">
        <f>SUMIFS('Week 24 June 8 - June 14 2020'!F:F,'Week 24 June 8 - June 14 2020'!D:D,'Week 25 June 15 - June 21 2020'!D:D,'Week 24 June 8 - June 14 2020'!C:C,'Week 25 June 15 - June 21 2020'!C:C)+Table36119101355571214175259616365676971737577[[#This Row],[Week Sales]]</f>
        <v>259513</v>
      </c>
      <c r="G31" s="18" t="str">
        <f>(VLOOKUP(D:D,'Week 24 June 8 - June 14 2020'!D:G,4,FALSE))</f>
        <v>The Pokemon Company</v>
      </c>
      <c r="H31" s="67">
        <f>(VLOOKUP(D:D,'Week 24 June 8 - June 14 2020'!D:H,5,FALSE))</f>
        <v>43896</v>
      </c>
      <c r="I31" s="12">
        <f>_xlfn.IFNA(SUMIFS('Week 24 June 8 - June 14 2020'!E:E,'Week 24 June 8 - June 14 2020'!D:D,'Week 25 June 15 - June 21 2020'!D:D,'Week 24 June 8 - June 14 2020'!C:C,'Week 25 June 15 - June 21 2020'!C:C),"New")</f>
        <v>1392</v>
      </c>
      <c r="J31" s="28">
        <f t="shared" si="1"/>
        <v>-4.5977011494252873E-2</v>
      </c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429415</v>
      </c>
      <c r="F33" s="2"/>
      <c r="I33" s="2"/>
      <c r="J33" s="19"/>
    </row>
    <row r="34" spans="1:10" x14ac:dyDescent="0.2">
      <c r="A34" s="3"/>
      <c r="B34" s="3"/>
      <c r="D34" s="100" t="s">
        <v>178</v>
      </c>
      <c r="E34" s="101">
        <f>SUM('Week 24 June 8 - June 14 2020'!E34,'Week 25 June 15 - June 21 2020'!E33)</f>
        <v>12662962</v>
      </c>
      <c r="F34" s="2"/>
      <c r="I34" s="2"/>
      <c r="J34" s="19"/>
    </row>
    <row r="35" spans="1:10" x14ac:dyDescent="0.2">
      <c r="A35" s="3"/>
      <c r="B35" s="3"/>
      <c r="D35" s="2" t="s">
        <v>60</v>
      </c>
      <c r="E35" s="2">
        <f>AVERAGE(E2:E31)</f>
        <v>14313.833333333334</v>
      </c>
      <c r="F35" s="2"/>
      <c r="I35" s="2"/>
      <c r="J35" s="19"/>
    </row>
    <row r="36" spans="1:10" x14ac:dyDescent="0.2">
      <c r="A36" s="3"/>
      <c r="B36" s="3"/>
      <c r="D36" s="9" t="s">
        <v>78</v>
      </c>
      <c r="E36" s="10">
        <f>COUNTIF(B:B,"New")</f>
        <v>5</v>
      </c>
      <c r="F36" s="2"/>
      <c r="I36" s="2"/>
      <c r="J36" s="19"/>
    </row>
    <row r="37" spans="1:10" x14ac:dyDescent="0.2">
      <c r="A37" s="3"/>
      <c r="B37" s="3"/>
      <c r="E37" s="2"/>
      <c r="F37" s="2"/>
      <c r="I37" s="2"/>
      <c r="J37" s="19"/>
    </row>
    <row r="38" spans="1:10" x14ac:dyDescent="0.2">
      <c r="A38" s="3"/>
      <c r="B38" s="3"/>
      <c r="D38" t="s">
        <v>66</v>
      </c>
      <c r="E38" s="2"/>
      <c r="F38" s="2"/>
      <c r="I38" s="2"/>
      <c r="J38" s="19"/>
    </row>
    <row r="39" spans="1:10" x14ac:dyDescent="0.2">
      <c r="A39" s="3"/>
      <c r="B39" s="3"/>
      <c r="D39" s="8" t="s">
        <v>67</v>
      </c>
      <c r="E39" s="2"/>
      <c r="F39" s="2"/>
      <c r="I39" s="2"/>
      <c r="J39" s="19"/>
    </row>
    <row r="40" spans="1:10" x14ac:dyDescent="0.2">
      <c r="A40" s="3"/>
      <c r="B40" s="3"/>
      <c r="D40" s="8" t="s">
        <v>65</v>
      </c>
      <c r="E40" s="2"/>
      <c r="F40" s="2"/>
      <c r="I40" s="2"/>
      <c r="J40" s="19"/>
    </row>
    <row r="41" spans="1:10" x14ac:dyDescent="0.2">
      <c r="D41" s="8" t="s">
        <v>71</v>
      </c>
    </row>
  </sheetData>
  <hyperlinks>
    <hyperlink ref="D41" r:id="rId1" xr:uid="{365DA103-2EBA-B94B-A951-70823BD9ECF6}"/>
    <hyperlink ref="D40" r:id="rId2" xr:uid="{97B37F68-36DB-5544-9AE2-521DA3C5FE88}"/>
    <hyperlink ref="D39" r:id="rId3" xr:uid="{4EF982A9-080B-7247-AA16-B8E99E78FF3E}"/>
  </hyperlinks>
  <pageMargins left="0.7" right="0.7" top="0.75" bottom="0.75" header="0.3" footer="0.3"/>
  <pageSetup paperSize="9" orientation="portrait" horizontalDpi="0" verticalDpi="0"/>
  <ignoredErrors>
    <ignoredError sqref="F27 G27:H27 G2:H2 G28:J31 I27:J27 G26:H26 G3:H3 G4:H5 J2 G8:H18 G6:H6 G7:H7 G20:H22 G19:H19 G23:H23 G24:H24 G25:H25 J26 I24 I23 I20:I22 I8:I18 I4:I5 I3 I26 I2 I6:I7 I19 I25" calculatedColumn="1"/>
  </ignoredErrors>
  <tableParts count="1">
    <tablePart r:id="rId4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BEAE5-8AA9-0D4A-81D0-B27A8D2D4201}">
  <dimension ref="A1:J42"/>
  <sheetViews>
    <sheetView workbookViewId="0">
      <selection activeCell="D11" sqref="D2:E11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9.8320312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0" x14ac:dyDescent="0.2">
      <c r="A2" s="25">
        <v>1</v>
      </c>
      <c r="B2" s="18">
        <v>2</v>
      </c>
      <c r="C2" s="18" t="s">
        <v>7</v>
      </c>
      <c r="D2" s="86" t="s">
        <v>46</v>
      </c>
      <c r="E2" s="12">
        <v>70552</v>
      </c>
      <c r="F2" s="11">
        <f>SUMIFS('Week 25 June 15 - June 21 2020'!F:F,'Week 25 June 15 - June 21 2020'!D:D,'Week 26 June 22 - June 28 2020'!D:D,'Week 25 June 15 - June 21 2020'!C:C,'Week 26 June 22 - June 28 2020'!C:C)+Table3611910135557121417525961636567697173757779[[#This Row],[Week Sales]]</f>
        <v>5004720</v>
      </c>
      <c r="G2" s="18" t="str">
        <f>(VLOOKUP(D:D,'Week 25 June 15 - June 21 2020'!D:G,4,FALSE))</f>
        <v>Nintendo</v>
      </c>
      <c r="H2" s="67">
        <f>(VLOOKUP(D:D,'Week 25 June 15 - June 21 2020'!D:H,5,FALSE))</f>
        <v>43910</v>
      </c>
      <c r="I2" s="12">
        <f>_xlfn.IFNA(SUMIFS('Week 25 June 15 - June 21 2020'!E:E,'Week 25 June 15 - June 21 2020'!D:D,'Week 26 June 22 - June 28 2020'!D:D,'Week 25 June 15 - June 21 2020'!C:C,'Week 26 June 22 - June 28 2020'!C:C),"New")</f>
        <v>73680</v>
      </c>
      <c r="J2" s="28">
        <f>IFERROR((E2-I2)/I2,"New")</f>
        <v>-4.2453854505971771E-2</v>
      </c>
    </row>
    <row r="3" spans="1:10" x14ac:dyDescent="0.2">
      <c r="A3" s="25">
        <v>2</v>
      </c>
      <c r="B3" s="18">
        <v>4</v>
      </c>
      <c r="C3" s="18" t="s">
        <v>7</v>
      </c>
      <c r="D3" s="47" t="s">
        <v>45</v>
      </c>
      <c r="E3" s="12">
        <v>34782</v>
      </c>
      <c r="F3" s="12">
        <f>SUMIFS('Week 25 June 15 - June 21 2020'!F:F,'Week 25 June 15 - June 21 2020'!D:D,'Week 26 June 22 - June 28 2020'!D:D,'Week 25 June 15 - June 21 2020'!C:C,'Week 26 June 22 - June 28 2020'!C:C)+Table3611910135557121417525961636567697173757779[[#This Row],[Week Sales]]</f>
        <v>1073514</v>
      </c>
      <c r="G3" s="18" t="str">
        <f>(VLOOKUP(D:D,'Week 25 June 15 - June 21 2020'!D:G,4,FALSE))</f>
        <v>Nintendo</v>
      </c>
      <c r="H3" s="67">
        <f>(VLOOKUP(D:D,'Week 25 June 15 - June 21 2020'!D:H,5,FALSE))</f>
        <v>43756</v>
      </c>
      <c r="I3" s="12">
        <f>_xlfn.IFNA(SUMIFS('Week 25 June 15 - June 21 2020'!E:E,'Week 25 June 15 - June 21 2020'!D:D,'Week 26 June 22 - June 28 2020'!D:D,'Week 25 June 15 - June 21 2020'!C:C,'Week 26 June 22 - June 28 2020'!C:C),"New")</f>
        <v>32663</v>
      </c>
      <c r="J3" s="28">
        <f>IFERROR((E4-I3)/I3,"New")</f>
        <v>-0.16348773841961853</v>
      </c>
    </row>
    <row r="4" spans="1:10" x14ac:dyDescent="0.2">
      <c r="A4" s="25">
        <v>3</v>
      </c>
      <c r="B4" s="114">
        <v>3</v>
      </c>
      <c r="C4" s="18" t="s">
        <v>7</v>
      </c>
      <c r="D4" s="47" t="s">
        <v>50</v>
      </c>
      <c r="E4" s="12">
        <v>27323</v>
      </c>
      <c r="F4" s="12">
        <f>SUMIFS('Week 25 June 15 - June 21 2020'!F:F,'Week 25 June 15 - June 21 2020'!D:D,'Week 26 June 22 - June 28 2020'!D:D,'Week 25 June 15 - June 21 2020'!C:C,'Week 26 June 22 - June 28 2020'!C:C)+Table3611910135557121417525961636567697173757779[[#This Row],[Week Sales]]</f>
        <v>171620</v>
      </c>
      <c r="G4" s="18" t="str">
        <f>(VLOOKUP(D:D,'Week 25 June 15 - June 21 2020'!D:G,4,FALSE))</f>
        <v>Nintendo</v>
      </c>
      <c r="H4" s="67">
        <f>(VLOOKUP(D:D,'Week 25 June 15 - June 21 2020'!D:H,5,FALSE))</f>
        <v>43987</v>
      </c>
      <c r="I4" s="12">
        <f>_xlfn.IFNA(SUMIFS('Week 25 June 15 - June 21 2020'!E:E,'Week 25 June 15 - June 21 2020'!D:D,'Week 26 June 22 - June 28 2020'!D:D,'Week 25 June 15 - June 21 2020'!C:C,'Week 26 June 22 - June 28 2020'!C:C),"New")</f>
        <v>32673</v>
      </c>
      <c r="J4" s="28">
        <f t="shared" ref="J4:J23" si="0">IFERROR((E5-I4)/I4,"New")</f>
        <v>-0.20445015762250177</v>
      </c>
    </row>
    <row r="5" spans="1:10" x14ac:dyDescent="0.2">
      <c r="A5" s="25">
        <v>4</v>
      </c>
      <c r="B5" s="18">
        <v>1</v>
      </c>
      <c r="C5" s="18" t="s">
        <v>8</v>
      </c>
      <c r="D5" s="47" t="s">
        <v>262</v>
      </c>
      <c r="E5" s="12">
        <v>25993</v>
      </c>
      <c r="F5" s="12">
        <f>SUMIFS('Week 25 June 15 - June 21 2020'!F:F,'Week 25 June 15 - June 21 2020'!D:D,'Week 26 June 22 - June 28 2020'!D:D,'Week 25 June 15 - June 21 2020'!C:C,'Week 26 June 22 - June 28 2020'!C:C)+Table3611910135557121417525961636567697173757779[[#This Row],[Week Sales]]</f>
        <v>204689</v>
      </c>
      <c r="G5" s="18" t="str">
        <f>(VLOOKUP(D:D,'Week 25 June 15 - June 21 2020'!D:G,4,FALSE))</f>
        <v>Sony</v>
      </c>
      <c r="H5" s="67">
        <f>(VLOOKUP(D:D,'Week 25 June 15 - June 21 2020'!D:H,5,FALSE))</f>
        <v>44001</v>
      </c>
      <c r="I5" s="12">
        <f>_xlfn.IFNA(SUMIFS('Week 25 June 15 - June 21 2020'!E:E,'Week 25 June 15 - June 21 2020'!D:D,'Week 26 June 22 - June 28 2020'!D:D,'Week 25 June 15 - June 21 2020'!C:C,'Week 26 June 22 - June 28 2020'!C:C),"New")</f>
        <v>178696</v>
      </c>
      <c r="J5" s="28">
        <f t="shared" si="0"/>
        <v>-0.89230872543313788</v>
      </c>
    </row>
    <row r="6" spans="1:10" x14ac:dyDescent="0.2">
      <c r="A6" s="13">
        <v>5</v>
      </c>
      <c r="B6" s="9" t="s">
        <v>36</v>
      </c>
      <c r="C6" s="9" t="s">
        <v>8</v>
      </c>
      <c r="D6" s="46" t="s">
        <v>268</v>
      </c>
      <c r="E6" s="10">
        <v>19244</v>
      </c>
      <c r="F6" s="10">
        <f>SUMIFS('Week 25 June 15 - June 21 2020'!F:F,'Week 25 June 15 - June 21 2020'!D:D,'Week 26 June 22 - June 28 2020'!D:D,'Week 25 June 15 - June 21 2020'!C:C,'Week 26 June 22 - June 28 2020'!C:C)+Table3611910135557121417525961636567697173757779[[#This Row],[Week Sales]]</f>
        <v>19244</v>
      </c>
      <c r="G6" s="9" t="s">
        <v>143</v>
      </c>
      <c r="H6" s="14">
        <v>44007</v>
      </c>
      <c r="I6" s="10" t="s">
        <v>36</v>
      </c>
      <c r="J6" s="92" t="str">
        <f t="shared" si="0"/>
        <v>New</v>
      </c>
    </row>
    <row r="7" spans="1:10" x14ac:dyDescent="0.2">
      <c r="A7" s="13">
        <v>6</v>
      </c>
      <c r="B7" s="9" t="s">
        <v>36</v>
      </c>
      <c r="C7" s="9" t="s">
        <v>7</v>
      </c>
      <c r="D7" s="46" t="s">
        <v>269</v>
      </c>
      <c r="E7" s="10">
        <v>15242</v>
      </c>
      <c r="F7" s="10">
        <f>SUMIFS('Week 25 June 15 - June 21 2020'!F:F,'Week 25 June 15 - June 21 2020'!D:D,'Week 26 June 22 - June 28 2020'!D:D,'Week 25 June 15 - June 21 2020'!C:C,'Week 26 June 22 - June 28 2020'!C:C)+Table3611910135557121417525961636567697173757779[[#This Row],[Week Sales]]</f>
        <v>15242</v>
      </c>
      <c r="G7" s="9" t="s">
        <v>273</v>
      </c>
      <c r="H7" s="14">
        <v>44007</v>
      </c>
      <c r="I7" s="10" t="s">
        <v>36</v>
      </c>
      <c r="J7" s="92" t="str">
        <f t="shared" si="0"/>
        <v>New</v>
      </c>
    </row>
    <row r="8" spans="1:10" x14ac:dyDescent="0.2">
      <c r="A8" s="25">
        <v>7</v>
      </c>
      <c r="B8" s="18">
        <v>7</v>
      </c>
      <c r="C8" s="18" t="s">
        <v>7</v>
      </c>
      <c r="D8" s="47" t="s">
        <v>49</v>
      </c>
      <c r="E8" s="12">
        <v>9338</v>
      </c>
      <c r="F8" s="11">
        <f>SUMIFS('Week 25 June 15 - June 21 2020'!F:F,'Week 25 June 15 - June 21 2020'!D:D,'Week 26 June 22 - June 28 2020'!D:D,'Week 25 June 15 - June 21 2020'!C:C,'Week 26 June 22 - June 28 2020'!C:C)+Table3611910135557121417525961636567697173757779[[#This Row],[Week Sales]]</f>
        <v>3005043</v>
      </c>
      <c r="G8" s="18" t="str">
        <f>(VLOOKUP(D:D,'Week 25 June 15 - June 21 2020'!D:G,4,FALSE))</f>
        <v>Nintendo</v>
      </c>
      <c r="H8" s="67">
        <f>(VLOOKUP(D:D,'Week 25 June 15 - June 21 2020'!D:H,5,FALSE))</f>
        <v>42853</v>
      </c>
      <c r="I8" s="12">
        <f>_xlfn.IFNA(SUMIFS('Week 25 June 15 - June 21 2020'!E:E,'Week 25 June 15 - June 21 2020'!D:D,'Week 26 June 22 - June 28 2020'!D:D,'Week 25 June 15 - June 21 2020'!C:C,'Week 26 June 22 - June 28 2020'!C:C),"New")</f>
        <v>9251</v>
      </c>
      <c r="J8" s="28">
        <f t="shared" si="0"/>
        <v>-5.631823586639282E-2</v>
      </c>
    </row>
    <row r="9" spans="1:10" x14ac:dyDescent="0.2">
      <c r="A9" s="25">
        <v>8</v>
      </c>
      <c r="B9" s="18">
        <v>8</v>
      </c>
      <c r="C9" s="18" t="s">
        <v>7</v>
      </c>
      <c r="D9" s="47" t="s">
        <v>62</v>
      </c>
      <c r="E9" s="12">
        <v>8730</v>
      </c>
      <c r="F9" s="12">
        <f>SUMIFS('Week 25 June 15 - June 21 2020'!F:F,'Week 25 June 15 - June 21 2020'!D:D,'Week 26 June 22 - June 28 2020'!D:D,'Week 25 June 15 - June 21 2020'!C:C,'Week 26 June 22 - June 28 2020'!C:C)+Table3611910135557121417525961636567697173757779[[#This Row],[Week Sales]]</f>
        <v>3638993</v>
      </c>
      <c r="G9" s="18" t="str">
        <f>(VLOOKUP(D:D,'Week 25 June 15 - June 21 2020'!D:G,4,FALSE))</f>
        <v>The Pokemon Company</v>
      </c>
      <c r="H9" s="67">
        <f>(VLOOKUP(D:D,'Week 25 June 15 - June 21 2020'!D:H,5,FALSE))</f>
        <v>43784</v>
      </c>
      <c r="I9" s="12">
        <f>_xlfn.IFNA(SUMIFS('Week 25 June 15 - June 21 2020'!E:E,'Week 25 June 15 - June 21 2020'!D:D,'Week 26 June 22 - June 28 2020'!D:D,'Week 25 June 15 - June 21 2020'!C:C,'Week 26 June 22 - June 28 2020'!C:C),"New")</f>
        <v>9195</v>
      </c>
      <c r="J9" s="28">
        <f t="shared" si="0"/>
        <v>-0.19445350734094616</v>
      </c>
    </row>
    <row r="10" spans="1:10" x14ac:dyDescent="0.2">
      <c r="A10" s="25">
        <v>9</v>
      </c>
      <c r="B10" s="18">
        <v>9</v>
      </c>
      <c r="C10" s="18" t="s">
        <v>7</v>
      </c>
      <c r="D10" s="47" t="s">
        <v>10</v>
      </c>
      <c r="E10" s="12">
        <v>7407</v>
      </c>
      <c r="F10" s="12">
        <f>SUMIFS('Week 25 June 15 - June 21 2020'!F:F,'Week 25 June 15 - June 21 2020'!D:D,'Week 26 June 22 - June 28 2020'!D:D,'Week 25 June 15 - June 21 2020'!C:C,'Week 26 June 22 - June 28 2020'!C:C)+Table3611910135557121417525961636567697173757779[[#This Row],[Week Sales]]</f>
        <v>3470635</v>
      </c>
      <c r="G10" s="18" t="str">
        <f>(VLOOKUP(D:D,'Week 25 June 15 - June 21 2020'!D:G,4,FALSE))</f>
        <v>Nintendo</v>
      </c>
      <c r="H10" s="67">
        <f>(VLOOKUP(D:D,'Week 25 June 15 - June 21 2020'!D:H,5,FALSE))</f>
        <v>42937</v>
      </c>
      <c r="I10" s="12">
        <f>_xlfn.IFNA(SUMIFS('Week 25 June 15 - June 21 2020'!E:E,'Week 25 June 15 - June 21 2020'!D:D,'Week 26 June 22 - June 28 2020'!D:D,'Week 25 June 15 - June 21 2020'!C:C,'Week 26 June 22 - June 28 2020'!C:C),"New")</f>
        <v>7886</v>
      </c>
      <c r="J10" s="28">
        <f t="shared" si="0"/>
        <v>-0.15533857468932286</v>
      </c>
    </row>
    <row r="11" spans="1:10" x14ac:dyDescent="0.2">
      <c r="A11" s="13">
        <v>10</v>
      </c>
      <c r="B11" s="9" t="s">
        <v>36</v>
      </c>
      <c r="C11" s="9" t="s">
        <v>7</v>
      </c>
      <c r="D11" s="46" t="s">
        <v>270</v>
      </c>
      <c r="E11" s="10">
        <v>6661</v>
      </c>
      <c r="F11" s="10">
        <f>SUMIFS('Week 25 June 15 - June 21 2020'!F:F,'Week 25 June 15 - June 21 2020'!D:D,'Week 26 June 22 - June 28 2020'!D:D,'Week 25 June 15 - June 21 2020'!C:C,'Week 26 June 22 - June 28 2020'!C:C)+Table3611910135557121417525961636567697173757779[[#This Row],[Week Sales]]</f>
        <v>6661</v>
      </c>
      <c r="G11" s="9" t="s">
        <v>34</v>
      </c>
      <c r="H11" s="115">
        <v>44007</v>
      </c>
      <c r="I11" s="10" t="s">
        <v>36</v>
      </c>
      <c r="J11" s="92" t="str">
        <f t="shared" si="0"/>
        <v>New</v>
      </c>
    </row>
    <row r="12" spans="1:10" x14ac:dyDescent="0.2">
      <c r="A12" s="25">
        <v>11</v>
      </c>
      <c r="B12" s="18">
        <v>11</v>
      </c>
      <c r="C12" s="18" t="s">
        <v>7</v>
      </c>
      <c r="D12" s="47" t="s">
        <v>12</v>
      </c>
      <c r="E12" s="12">
        <v>6634</v>
      </c>
      <c r="F12" s="12">
        <f>SUMIFS('Week 25 June 15 - June 21 2020'!F:F,'Week 25 June 15 - June 21 2020'!D:D,'Week 26 June 22 - June 28 2020'!D:D,'Week 25 June 15 - June 21 2020'!C:C,'Week 26 June 22 - June 28 2020'!C:C)+Table3611910135557121417525961636567697173757779[[#This Row],[Week Sales]]</f>
        <v>1426601</v>
      </c>
      <c r="G12" s="18" t="str">
        <f>(VLOOKUP(D:D,'Week 25 June 15 - June 21 2020'!D:G,4,FALSE))</f>
        <v>Microsoft</v>
      </c>
      <c r="H12" s="67">
        <f>(VLOOKUP(D:D,'Week 25 June 15 - June 21 2020'!D:H,5,FALSE))</f>
        <v>43272</v>
      </c>
      <c r="I12" s="12">
        <f>_xlfn.IFNA(SUMIFS('Week 25 June 15 - June 21 2020'!E:E,'Week 25 June 15 - June 21 2020'!D:D,'Week 26 June 22 - June 28 2020'!D:D,'Week 25 June 15 - June 21 2020'!C:C,'Week 26 June 22 - June 28 2020'!C:C),"New")</f>
        <v>6067</v>
      </c>
      <c r="J12" s="28">
        <f t="shared" si="0"/>
        <v>4.104170100543926E-2</v>
      </c>
    </row>
    <row r="13" spans="1:10" x14ac:dyDescent="0.2">
      <c r="A13" s="25">
        <v>12</v>
      </c>
      <c r="B13" s="18">
        <v>10</v>
      </c>
      <c r="C13" s="18" t="s">
        <v>7</v>
      </c>
      <c r="D13" s="47" t="s">
        <v>52</v>
      </c>
      <c r="E13" s="12">
        <v>6316</v>
      </c>
      <c r="F13" s="12">
        <f>SUMIFS('Week 25 June 15 - June 21 2020'!F:F,'Week 25 June 15 - June 21 2020'!D:D,'Week 26 June 22 - June 28 2020'!D:D,'Week 25 June 15 - June 21 2020'!C:C,'Week 26 June 22 - June 28 2020'!C:C)+Table3611910135557121417525961636567697173757779[[#This Row],[Week Sales]]</f>
        <v>3737769</v>
      </c>
      <c r="G13" s="18" t="str">
        <f>(VLOOKUP(D:D,'Week 25 June 15 - June 21 2020'!D:G,4,FALSE))</f>
        <v>Nintendo</v>
      </c>
      <c r="H13" s="67">
        <f>(VLOOKUP(D:D,'Week 25 June 15 - June 21 2020'!D:H,5,FALSE))</f>
        <v>43441</v>
      </c>
      <c r="I13" s="12">
        <f>_xlfn.IFNA(SUMIFS('Week 25 June 15 - June 21 2020'!E:E,'Week 25 June 15 - June 21 2020'!D:D,'Week 26 June 22 - June 28 2020'!D:D,'Week 25 June 15 - June 21 2020'!C:C,'Week 26 June 22 - June 28 2020'!C:C),"New")</f>
        <v>6137</v>
      </c>
      <c r="J13" s="28">
        <f t="shared" si="0"/>
        <v>-0.14339253707022975</v>
      </c>
    </row>
    <row r="14" spans="1:10" x14ac:dyDescent="0.2">
      <c r="A14" s="25">
        <v>13</v>
      </c>
      <c r="B14" s="18">
        <v>12</v>
      </c>
      <c r="C14" s="18" t="s">
        <v>8</v>
      </c>
      <c r="D14" s="47" t="s">
        <v>246</v>
      </c>
      <c r="E14" s="12">
        <v>5257</v>
      </c>
      <c r="F14" s="12">
        <f>SUMIFS('Week 25 June 15 - June 21 2020'!F:F,'Week 25 June 15 - June 21 2020'!D:D,'Week 26 June 22 - June 28 2020'!D:D,'Week 25 June 15 - June 21 2020'!C:C,'Week 26 June 22 - June 28 2020'!C:C)+Table3611910135557121417525961636567697173757779[[#This Row],[Week Sales]]</f>
        <v>100600</v>
      </c>
      <c r="G14" s="18" t="str">
        <f>(VLOOKUP(D:D,'Week 25 June 15 - June 21 2020'!D:G,4,FALSE))</f>
        <v>Sony</v>
      </c>
      <c r="H14" s="67">
        <f>(VLOOKUP(D:D,'Week 25 June 15 - June 21 2020'!D:H,5,FALSE))</f>
        <v>43307</v>
      </c>
      <c r="I14" s="12">
        <f>_xlfn.IFNA(SUMIFS('Week 25 June 15 - June 21 2020'!E:E,'Week 25 June 15 - June 21 2020'!D:D,'Week 26 June 22 - June 28 2020'!D:D,'Week 25 June 15 - June 21 2020'!C:C,'Week 26 June 22 - June 28 2020'!C:C),"New")</f>
        <v>5883</v>
      </c>
      <c r="J14" s="28">
        <f t="shared" si="0"/>
        <v>-0.10912799592044875</v>
      </c>
    </row>
    <row r="15" spans="1:10" x14ac:dyDescent="0.2">
      <c r="A15" s="13">
        <v>14</v>
      </c>
      <c r="B15" s="9" t="s">
        <v>36</v>
      </c>
      <c r="C15" s="9" t="s">
        <v>7</v>
      </c>
      <c r="D15" s="46" t="s">
        <v>56</v>
      </c>
      <c r="E15" s="10">
        <v>5241</v>
      </c>
      <c r="F15" s="10">
        <f>SUMIFS('Week 25 June 15 - June 21 2020'!F:F,'Week 25 June 15 - June 21 2020'!D:D,'Week 26 June 22 - June 28 2020'!D:D,'Week 25 June 15 - June 21 2020'!C:C,'Week 26 June 22 - June 28 2020'!C:C)+Table3611910135557121417525961636567697173757779[[#This Row],[Week Sales]]</f>
        <v>5241</v>
      </c>
      <c r="G15" s="9" t="s">
        <v>38</v>
      </c>
      <c r="H15" s="115">
        <v>44007</v>
      </c>
      <c r="I15" s="10" t="s">
        <v>36</v>
      </c>
      <c r="J15" s="92" t="str">
        <f t="shared" si="0"/>
        <v>New</v>
      </c>
    </row>
    <row r="16" spans="1:10" x14ac:dyDescent="0.2">
      <c r="A16" s="25">
        <v>15</v>
      </c>
      <c r="B16" s="18">
        <v>14</v>
      </c>
      <c r="C16" s="18" t="s">
        <v>7</v>
      </c>
      <c r="D16" s="47" t="s">
        <v>13</v>
      </c>
      <c r="E16" s="12">
        <v>4402</v>
      </c>
      <c r="F16" s="12">
        <f>SUMIFS('Week 25 June 15 - June 21 2020'!F:F,'Week 25 June 15 - June 21 2020'!D:D,'Week 26 June 22 - June 28 2020'!D:D,'Week 25 June 15 - June 21 2020'!C:C,'Week 26 June 22 - June 28 2020'!C:C)+Table3611910135557121417525961636567697173757779[[#This Row],[Week Sales]]</f>
        <v>1476225</v>
      </c>
      <c r="G16" s="18" t="str">
        <f>(VLOOKUP(D:D,'Week 25 June 15 - June 21 2020'!D:G,4,FALSE))</f>
        <v>Nintendo</v>
      </c>
      <c r="H16" s="67">
        <f>(VLOOKUP(D:D,'Week 25 June 15 - June 21 2020'!D:H,5,FALSE))</f>
        <v>43378</v>
      </c>
      <c r="I16" s="12">
        <f>_xlfn.IFNA(SUMIFS('Week 25 June 15 - June 21 2020'!E:E,'Week 25 June 15 - June 21 2020'!D:D,'Week 26 June 22 - June 28 2020'!D:D,'Week 25 June 15 - June 21 2020'!C:C,'Week 26 June 22 - June 28 2020'!C:C),"New")</f>
        <v>4485</v>
      </c>
      <c r="J16" s="28">
        <f t="shared" si="0"/>
        <v>-0.23678929765886286</v>
      </c>
    </row>
    <row r="17" spans="1:10" x14ac:dyDescent="0.2">
      <c r="A17" s="25">
        <v>16</v>
      </c>
      <c r="B17" s="18">
        <v>13</v>
      </c>
      <c r="C17" s="18" t="s">
        <v>7</v>
      </c>
      <c r="D17" s="47" t="s">
        <v>250</v>
      </c>
      <c r="E17" s="12">
        <v>3423</v>
      </c>
      <c r="F17" s="12">
        <f>SUMIFS('Week 25 June 15 - June 21 2020'!F:F,'Week 25 June 15 - June 21 2020'!D:D,'Week 26 June 22 - June 28 2020'!D:D,'Week 25 June 15 - June 21 2020'!C:C,'Week 26 June 22 - June 28 2020'!C:C)+Table3611910135557121417525961636567697173757779[[#This Row],[Week Sales]]</f>
        <v>123920</v>
      </c>
      <c r="G17" s="18" t="str">
        <f>(VLOOKUP(D:D,'Week 25 June 15 - June 21 2020'!D:G,4,FALSE))</f>
        <v>Nintendo</v>
      </c>
      <c r="H17" s="67">
        <f>(VLOOKUP(D:D,'Week 25 June 15 - June 21 2020'!D:H,5,FALSE))</f>
        <v>43980</v>
      </c>
      <c r="I17" s="12">
        <f>_xlfn.IFNA(SUMIFS('Week 25 June 15 - June 21 2020'!E:E,'Week 25 June 15 - June 21 2020'!D:D,'Week 26 June 22 - June 28 2020'!D:D,'Week 25 June 15 - June 21 2020'!C:C,'Week 26 June 22 - June 28 2020'!C:C),"New")</f>
        <v>4972</v>
      </c>
      <c r="J17" s="28">
        <f t="shared" si="0"/>
        <v>-0.36242960579243766</v>
      </c>
    </row>
    <row r="18" spans="1:10" x14ac:dyDescent="0.2">
      <c r="A18" s="25">
        <v>17</v>
      </c>
      <c r="B18" s="18">
        <v>15</v>
      </c>
      <c r="C18" s="18" t="s">
        <v>7</v>
      </c>
      <c r="D18" s="47" t="s">
        <v>16</v>
      </c>
      <c r="E18" s="12">
        <v>3170</v>
      </c>
      <c r="F18" s="12">
        <f>SUMIFS('Week 25 June 15 - June 21 2020'!F:F,'Week 25 June 15 - June 21 2020'!D:D,'Week 26 June 22 - June 28 2020'!D:D,'Week 25 June 15 - June 21 2020'!C:C,'Week 26 June 22 - June 28 2020'!C:C)+Table3611910135557121417525961636567697173757779[[#This Row],[Week Sales]]</f>
        <v>253735</v>
      </c>
      <c r="G18" s="18" t="str">
        <f>(VLOOKUP(D:D,'Week 25 June 15 - June 21 2020'!D:G,4,FALSE))</f>
        <v>Nintendo</v>
      </c>
      <c r="H18" s="67">
        <f>(VLOOKUP(D:D,'Week 25 June 15 - June 21 2020'!D:H,5,FALSE))</f>
        <v>43826</v>
      </c>
      <c r="I18" s="12">
        <f>_xlfn.IFNA(SUMIFS('Week 25 June 15 - June 21 2020'!E:E,'Week 25 June 15 - June 21 2020'!D:D,'Week 26 June 22 - June 28 2020'!D:D,'Week 25 June 15 - June 21 2020'!C:C,'Week 26 June 22 - June 28 2020'!C:C),"New")</f>
        <v>3494</v>
      </c>
      <c r="J18" s="28">
        <f t="shared" si="0"/>
        <v>-0.16971951917572983</v>
      </c>
    </row>
    <row r="19" spans="1:10" x14ac:dyDescent="0.2">
      <c r="A19" s="25">
        <v>18</v>
      </c>
      <c r="B19" s="18">
        <v>16</v>
      </c>
      <c r="C19" s="18" t="s">
        <v>7</v>
      </c>
      <c r="D19" s="47" t="s">
        <v>39</v>
      </c>
      <c r="E19" s="12">
        <v>2901</v>
      </c>
      <c r="F19" s="12">
        <f>SUMIFS('Week 25 June 15 - June 21 2020'!F:F,'Week 25 June 15 - June 21 2020'!D:D,'Week 26 June 22 - June 28 2020'!D:D,'Week 25 June 15 - June 21 2020'!C:C,'Week 26 June 22 - June 28 2020'!C:C)+Table3611910135557121417525961636567697173757779[[#This Row],[Week Sales]]</f>
        <v>1603440</v>
      </c>
      <c r="G19" s="18" t="str">
        <f>(VLOOKUP(D:D,'Week 25 June 15 - June 21 2020'!D:G,4,FALSE))</f>
        <v>Nintendo</v>
      </c>
      <c r="H19" s="67">
        <f>(VLOOKUP(D:D,'Week 25 June 15 - June 21 2020'!D:H,5,FALSE))</f>
        <v>42797</v>
      </c>
      <c r="I19" s="12">
        <f>_xlfn.IFNA(SUMIFS('Week 25 June 15 - June 21 2020'!E:E,'Week 25 June 15 - June 21 2020'!D:D,'Week 26 June 22 - June 28 2020'!D:D,'Week 25 June 15 - June 21 2020'!C:C,'Week 26 June 22 - June 28 2020'!C:C),"New")</f>
        <v>3043</v>
      </c>
      <c r="J19" s="28">
        <f t="shared" si="0"/>
        <v>-0.1390075583305948</v>
      </c>
    </row>
    <row r="20" spans="1:10" x14ac:dyDescent="0.2">
      <c r="A20" s="25">
        <v>19</v>
      </c>
      <c r="B20" s="18">
        <v>17</v>
      </c>
      <c r="C20" s="18" t="s">
        <v>7</v>
      </c>
      <c r="D20" s="47" t="s">
        <v>19</v>
      </c>
      <c r="E20" s="12">
        <v>2620</v>
      </c>
      <c r="F20" s="12">
        <f>SUMIFS('Week 25 June 15 - June 21 2020'!F:F,'Week 25 June 15 - June 21 2020'!D:D,'Week 26 June 22 - June 28 2020'!D:D,'Week 25 June 15 - June 21 2020'!C:C,'Week 26 June 22 - June 28 2020'!C:C)+Table3611910135557121417525961636567697173757779[[#This Row],[Week Sales]]</f>
        <v>930873</v>
      </c>
      <c r="G20" s="18" t="str">
        <f>(VLOOKUP(D:D,'Week 25 June 15 - June 21 2020'!D:G,4,FALSE))</f>
        <v>Nintendo</v>
      </c>
      <c r="H20" s="67">
        <f>(VLOOKUP(D:D,'Week 25 June 15 - June 21 2020'!D:H,5,FALSE))</f>
        <v>43644</v>
      </c>
      <c r="I20" s="12">
        <f>_xlfn.IFNA(SUMIFS('Week 25 June 15 - June 21 2020'!E:E,'Week 25 June 15 - June 21 2020'!D:D,'Week 26 June 22 - June 28 2020'!D:D,'Week 25 June 15 - June 21 2020'!C:C,'Week 26 June 22 - June 28 2020'!C:C),"New")</f>
        <v>2848</v>
      </c>
      <c r="J20" s="28">
        <f t="shared" si="0"/>
        <v>-0.12535112359550563</v>
      </c>
    </row>
    <row r="21" spans="1:10" x14ac:dyDescent="0.2">
      <c r="A21" s="25">
        <v>20</v>
      </c>
      <c r="B21" s="18">
        <v>20</v>
      </c>
      <c r="C21" s="18" t="s">
        <v>7</v>
      </c>
      <c r="D21" s="47" t="s">
        <v>17</v>
      </c>
      <c r="E21" s="12">
        <v>2491</v>
      </c>
      <c r="F21" s="12">
        <f>SUMIFS('Week 25 June 15 - June 21 2020'!F:F,'Week 25 June 15 - June 21 2020'!D:D,'Week 26 June 22 - June 28 2020'!D:D,'Week 25 June 15 - June 21 2020'!C:C,'Week 26 June 22 - June 28 2020'!C:C)+Table3611910135557121417525961636567697173757779[[#This Row],[Week Sales]]</f>
        <v>857173</v>
      </c>
      <c r="G21" s="18" t="str">
        <f>(VLOOKUP(D:D,'Week 25 June 15 - June 21 2020'!D:G,4,FALSE))</f>
        <v>Nintendo</v>
      </c>
      <c r="H21" s="67">
        <f>(VLOOKUP(D:D,'Week 25 June 15 - June 21 2020'!D:H,5,FALSE))</f>
        <v>43476</v>
      </c>
      <c r="I21" s="12">
        <f>_xlfn.IFNA(SUMIFS('Week 25 June 15 - June 21 2020'!E:E,'Week 25 June 15 - June 21 2020'!D:D,'Week 26 June 22 - June 28 2020'!D:D,'Week 25 June 15 - June 21 2020'!C:C,'Week 26 June 22 - June 28 2020'!C:C),"New")</f>
        <v>2486</v>
      </c>
      <c r="J21" s="28">
        <f t="shared" si="0"/>
        <v>-6.7578439259855183E-2</v>
      </c>
    </row>
    <row r="22" spans="1:10" x14ac:dyDescent="0.2">
      <c r="A22" s="25">
        <v>21</v>
      </c>
      <c r="B22" s="18">
        <v>6</v>
      </c>
      <c r="C22" s="18" t="s">
        <v>7</v>
      </c>
      <c r="D22" s="47" t="s">
        <v>264</v>
      </c>
      <c r="E22" s="12">
        <v>2318</v>
      </c>
      <c r="F22" s="12">
        <f>SUMIFS('Week 25 June 15 - June 21 2020'!F:F,'Week 25 June 15 - June 21 2020'!D:D,'Week 26 June 22 - June 28 2020'!D:D,'Week 25 June 15 - June 21 2020'!C:C,'Week 26 June 22 - June 28 2020'!C:C)+Table3611910135557121417525961636567697173757779[[#This Row],[Week Sales]]</f>
        <v>11850</v>
      </c>
      <c r="G22" s="18" t="str">
        <f>(VLOOKUP(D:D,'Week 25 June 15 - June 21 2020'!D:G,4,FALSE))</f>
        <v>Bandai Namco</v>
      </c>
      <c r="H22" s="67">
        <f>(VLOOKUP(D:D,'Week 25 June 15 - June 21 2020'!D:H,5,FALSE))</f>
        <v>44000</v>
      </c>
      <c r="I22" s="12">
        <f>_xlfn.IFNA(SUMIFS('Week 25 June 15 - June 21 2020'!E:E,'Week 25 June 15 - June 21 2020'!D:D,'Week 26 June 22 - June 28 2020'!D:D,'Week 25 June 15 - June 21 2020'!C:C,'Week 26 June 22 - June 28 2020'!C:C),"New")</f>
        <v>9532</v>
      </c>
      <c r="J22" s="28">
        <f t="shared" si="0"/>
        <v>-0.76342845153168271</v>
      </c>
    </row>
    <row r="23" spans="1:10" x14ac:dyDescent="0.2">
      <c r="A23" s="25">
        <v>22</v>
      </c>
      <c r="B23" s="18">
        <v>19</v>
      </c>
      <c r="C23" s="18" t="s">
        <v>7</v>
      </c>
      <c r="D23" s="47" t="s">
        <v>79</v>
      </c>
      <c r="E23" s="12">
        <v>2255</v>
      </c>
      <c r="F23" s="12">
        <f>SUMIFS('Week 25 June 15 - June 21 2020'!F:F,'Week 25 June 15 - June 21 2020'!D:D,'Week 26 June 22 - June 28 2020'!D:D,'Week 25 June 15 - June 21 2020'!C:C,'Week 26 June 22 - June 28 2020'!C:C)+Table3611910135557121417525961636567697173757779[[#This Row],[Week Sales]]</f>
        <v>658237</v>
      </c>
      <c r="G23" s="18" t="str">
        <f>(VLOOKUP(D:D,'Week 25 June 15 - June 21 2020'!D:G,4,FALSE))</f>
        <v>Nintendo</v>
      </c>
      <c r="H23" s="67">
        <f>(VLOOKUP(D:D,'Week 25 June 15 - June 21 2020'!D:H,5,FALSE))</f>
        <v>43769</v>
      </c>
      <c r="I23" s="12">
        <f>_xlfn.IFNA(SUMIFS('Week 25 June 15 - June 21 2020'!E:E,'Week 25 June 15 - June 21 2020'!D:D,'Week 26 June 22 - June 28 2020'!D:D,'Week 25 June 15 - June 21 2020'!C:C,'Week 26 June 22 - June 28 2020'!C:C),"New")</f>
        <v>2548</v>
      </c>
      <c r="J23" s="28">
        <f t="shared" si="0"/>
        <v>-0.23547880690737832</v>
      </c>
    </row>
    <row r="24" spans="1:10" x14ac:dyDescent="0.2">
      <c r="A24" s="25">
        <v>23</v>
      </c>
      <c r="B24" s="18">
        <v>22</v>
      </c>
      <c r="C24" s="18" t="s">
        <v>8</v>
      </c>
      <c r="D24" s="86" t="s">
        <v>187</v>
      </c>
      <c r="E24" s="12">
        <v>1948</v>
      </c>
      <c r="F24" s="12">
        <f>SUMIFS('Week 25 June 15 - June 21 2020'!F:F,'Week 25 June 15 - June 21 2020'!D:D,'Week 26 June 22 - June 28 2020'!D:D,'Week 25 June 15 - June 21 2020'!C:C,'Week 26 June 22 - June 28 2020'!C:C)+Table3611910135557121417525961636567697173757779[[#This Row],[Week Sales]]</f>
        <v>66680</v>
      </c>
      <c r="G24" s="18" t="str">
        <f>(VLOOKUP(D:D,'Week 25 June 15 - June 21 2020'!D:G,4,FALSE))</f>
        <v>Rockstar Games</v>
      </c>
      <c r="H24" s="67">
        <f>(VLOOKUP(D:D,'Week 25 June 15 - June 21 2020'!D:H,5,FALSE))</f>
        <v>43440</v>
      </c>
      <c r="I24" s="12">
        <f>_xlfn.IFNA(SUMIFS('Week 25 June 15 - June 21 2020'!E:E,'Week 25 June 15 - June 21 2020'!D:D,'Week 26 June 22 - June 28 2020'!D:D,'Week 25 June 15 - June 21 2020'!C:C,'Week 26 June 22 - June 28 2020'!C:C),"New")</f>
        <v>2176</v>
      </c>
      <c r="J24" s="28">
        <f t="shared" ref="J24:J31" si="1">IFERROR((E24-I24)/I24,"New")</f>
        <v>-0.10477941176470588</v>
      </c>
    </row>
    <row r="25" spans="1:10" x14ac:dyDescent="0.2">
      <c r="A25" s="25">
        <v>24</v>
      </c>
      <c r="B25" s="18">
        <v>23</v>
      </c>
      <c r="C25" s="18" t="s">
        <v>7</v>
      </c>
      <c r="D25" s="86" t="s">
        <v>20</v>
      </c>
      <c r="E25" s="12">
        <v>1933</v>
      </c>
      <c r="F25" s="12">
        <f>SUMIFS('Week 25 June 15 - June 21 2020'!F:F,'Week 25 June 15 - June 21 2020'!D:D,'Week 26 June 22 - June 28 2020'!D:D,'Week 25 June 15 - June 21 2020'!C:C,'Week 26 June 22 - June 28 2020'!C:C)+Table3611910135557121417525961636567697173757779[[#This Row],[Week Sales]]</f>
        <v>448469</v>
      </c>
      <c r="G25" s="18" t="str">
        <f>(VLOOKUP(D:D,'Week 25 June 15 - June 21 2020'!D:G,4,FALSE))</f>
        <v>Bandai Namco</v>
      </c>
      <c r="H25" s="67">
        <f>(VLOOKUP(D:D,'Week 25 June 15 - June 21 2020'!D:H,5,FALSE))</f>
        <v>43671</v>
      </c>
      <c r="I25" s="12">
        <f>_xlfn.IFNA(SUMIFS('Week 25 June 15 - June 21 2020'!E:E,'Week 25 June 15 - June 21 2020'!D:D,'Week 26 June 22 - June 28 2020'!D:D,'Week 25 June 15 - June 21 2020'!C:C,'Week 26 June 22 - June 28 2020'!C:C),"New")</f>
        <v>1918</v>
      </c>
      <c r="J25" s="28">
        <f t="shared" si="1"/>
        <v>7.8206465067778945E-3</v>
      </c>
    </row>
    <row r="26" spans="1:10" x14ac:dyDescent="0.2">
      <c r="A26" s="13">
        <v>25</v>
      </c>
      <c r="B26" s="9" t="s">
        <v>36</v>
      </c>
      <c r="C26" s="9" t="s">
        <v>7</v>
      </c>
      <c r="D26" s="95" t="s">
        <v>271</v>
      </c>
      <c r="E26" s="10">
        <v>1928</v>
      </c>
      <c r="F26" s="10">
        <f>SUMIFS('Week 25 June 15 - June 21 2020'!F:F,'Week 25 June 15 - June 21 2020'!D:D,'Week 26 June 22 - June 28 2020'!D:D,'Week 25 June 15 - June 21 2020'!C:C,'Week 26 June 22 - June 28 2020'!C:C)+Table3611910135557121417525961636567697173757779[[#This Row],[Week Sales]]</f>
        <v>1928</v>
      </c>
      <c r="G26" s="9" t="s">
        <v>189</v>
      </c>
      <c r="H26" s="115">
        <v>44007</v>
      </c>
      <c r="I26" s="10" t="s">
        <v>36</v>
      </c>
      <c r="J26" s="92" t="str">
        <f t="shared" si="1"/>
        <v>New</v>
      </c>
    </row>
    <row r="27" spans="1:10" x14ac:dyDescent="0.2">
      <c r="A27" s="25">
        <v>26</v>
      </c>
      <c r="B27" s="18">
        <v>21</v>
      </c>
      <c r="C27" s="18" t="s">
        <v>8</v>
      </c>
      <c r="D27" s="47" t="s">
        <v>234</v>
      </c>
      <c r="E27" s="12">
        <v>1926</v>
      </c>
      <c r="F27" s="12">
        <f>SUMIFS('Week 25 June 15 - June 21 2020'!F:F,'Week 25 June 15 - June 21 2020'!D:D,'Week 26 June 22 - June 28 2020'!D:D,'Week 25 June 15 - June 21 2020'!C:C,'Week 26 June 22 - June 28 2020'!C:C)+Table3611910135557121417525961636567697173757779[[#This Row],[Week Sales]]</f>
        <v>931165</v>
      </c>
      <c r="G27" s="18" t="str">
        <f>(VLOOKUP(D:D,'Week 25 June 15 - June 21 2020'!D:G,4,FALSE))</f>
        <v>Square Enix</v>
      </c>
      <c r="H27" s="67">
        <f>(VLOOKUP(D:D,'Week 25 June 15 - June 21 2020'!D:H,5,FALSE))</f>
        <v>43931</v>
      </c>
      <c r="I27" s="12">
        <f>_xlfn.IFNA(SUMIFS('Week 25 June 15 - June 21 2020'!E:E,'Week 25 June 15 - June 21 2020'!D:D,'Week 26 June 22 - June 28 2020'!D:D,'Week 25 June 15 - June 21 2020'!C:C,'Week 26 June 22 - June 28 2020'!C:C),"New")</f>
        <v>2383</v>
      </c>
      <c r="J27" s="28">
        <f t="shared" si="1"/>
        <v>-0.1917750734368443</v>
      </c>
    </row>
    <row r="28" spans="1:10" x14ac:dyDescent="0.2">
      <c r="A28" s="25">
        <v>27</v>
      </c>
      <c r="B28" s="18">
        <v>25</v>
      </c>
      <c r="C28" s="18" t="s">
        <v>7</v>
      </c>
      <c r="D28" s="86" t="s">
        <v>83</v>
      </c>
      <c r="E28" s="12">
        <v>1628</v>
      </c>
      <c r="F28" s="12">
        <f>SUMIFS('Week 25 June 15 - June 21 2020'!F:F,'Week 25 June 15 - June 21 2020'!D:D,'Week 26 June 22 - June 28 2020'!D:D,'Week 25 June 15 - June 21 2020'!C:C,'Week 26 June 22 - June 28 2020'!C:C)+Table3611910135557121417525961636567697173757779[[#This Row],[Week Sales]]</f>
        <v>530279</v>
      </c>
      <c r="G28" s="18" t="str">
        <f>(VLOOKUP(D:D,'Week 25 June 15 - June 21 2020'!D:G,4,FALSE))</f>
        <v>Square Enix</v>
      </c>
      <c r="H28" s="67">
        <f>(VLOOKUP(D:D,'Week 25 June 15 - June 21 2020'!D:H,5,FALSE))</f>
        <v>43735</v>
      </c>
      <c r="I28" s="12">
        <f>_xlfn.IFNA(SUMIFS('Week 25 June 15 - June 21 2020'!E:E,'Week 25 June 15 - June 21 2020'!D:D,'Week 26 June 22 - June 28 2020'!D:D,'Week 25 June 15 - June 21 2020'!C:C,'Week 26 June 22 - June 28 2020'!C:C),"New")</f>
        <v>1715</v>
      </c>
      <c r="J28" s="28">
        <f t="shared" si="1"/>
        <v>-5.0728862973760933E-2</v>
      </c>
    </row>
    <row r="29" spans="1:10" x14ac:dyDescent="0.2">
      <c r="A29" s="25">
        <v>28</v>
      </c>
      <c r="B29" s="18">
        <v>27</v>
      </c>
      <c r="C29" s="18" t="s">
        <v>7</v>
      </c>
      <c r="D29" s="47" t="s">
        <v>26</v>
      </c>
      <c r="E29" s="12">
        <v>1491</v>
      </c>
      <c r="F29" s="12">
        <f>SUMIFS('Week 25 June 15 - June 21 2020'!F:F,'Week 25 June 15 - June 21 2020'!D:D,'Week 26 June 22 - June 28 2020'!D:D,'Week 25 June 15 - June 21 2020'!C:C,'Week 26 June 22 - June 28 2020'!C:C)+Table3611910135557121417525961636567697173757779[[#This Row],[Week Sales]]</f>
        <v>2106192</v>
      </c>
      <c r="G29" s="18" t="str">
        <f>(VLOOKUP(D:D,'Week 25 June 15 - June 21 2020'!D:G,4,FALSE))</f>
        <v>Nintendo</v>
      </c>
      <c r="H29" s="67">
        <f>(VLOOKUP(D:D,'Week 25 June 15 - June 21 2020'!D:H,5,FALSE))</f>
        <v>43035</v>
      </c>
      <c r="I29" s="12">
        <f>_xlfn.IFNA(SUMIFS('Week 25 June 15 - June 21 2020'!E:E,'Week 25 June 15 - June 21 2020'!D:D,'Week 26 June 22 - June 28 2020'!D:D,'Week 25 June 15 - June 21 2020'!C:C,'Week 26 June 22 - June 28 2020'!C:C),"New")</f>
        <v>1465</v>
      </c>
      <c r="J29" s="28">
        <f t="shared" si="1"/>
        <v>1.7747440273037544E-2</v>
      </c>
    </row>
    <row r="30" spans="1:10" x14ac:dyDescent="0.2">
      <c r="A30" s="25">
        <v>29</v>
      </c>
      <c r="B30" s="18">
        <v>28</v>
      </c>
      <c r="C30" s="18" t="s">
        <v>7</v>
      </c>
      <c r="D30" s="47" t="s">
        <v>25</v>
      </c>
      <c r="E30" s="12">
        <v>1487</v>
      </c>
      <c r="F30" s="12">
        <f>SUMIFS('Week 25 June 15 - June 21 2020'!F:F,'Week 25 June 15 - June 21 2020'!D:D,'Week 26 June 22 - June 28 2020'!D:D,'Week 25 June 15 - June 21 2020'!C:C,'Week 26 June 22 - June 28 2020'!C:C)+Table3611910135557121417525961636567697173757779[[#This Row],[Week Sales]]</f>
        <v>486049</v>
      </c>
      <c r="G30" s="18" t="str">
        <f>(VLOOKUP(D:D,'Week 25 June 15 - June 21 2020'!D:G,4,FALSE))</f>
        <v>Bandai Namco</v>
      </c>
      <c r="H30" s="67">
        <f>(VLOOKUP(D:D,'Week 25 June 15 - June 21 2020'!D:H,5,FALSE))</f>
        <v>43300</v>
      </c>
      <c r="I30" s="12">
        <f>_xlfn.IFNA(SUMIFS('Week 25 June 15 - June 21 2020'!E:E,'Week 25 June 15 - June 21 2020'!D:D,'Week 26 June 22 - June 28 2020'!D:D,'Week 25 June 15 - June 21 2020'!C:C,'Week 26 June 22 - June 28 2020'!C:C),"New")</f>
        <v>1456</v>
      </c>
      <c r="J30" s="28">
        <f t="shared" si="1"/>
        <v>2.1291208791208792E-2</v>
      </c>
    </row>
    <row r="31" spans="1:10" x14ac:dyDescent="0.2">
      <c r="A31" s="13">
        <v>30</v>
      </c>
      <c r="B31" s="9" t="s">
        <v>36</v>
      </c>
      <c r="C31" s="9" t="s">
        <v>7</v>
      </c>
      <c r="D31" s="116" t="s">
        <v>272</v>
      </c>
      <c r="E31" s="10">
        <v>1462</v>
      </c>
      <c r="F31" s="10">
        <f>SUMIFS('Week 25 June 15 - June 21 2020'!F:F,'Week 25 June 15 - June 21 2020'!D:D,'Week 26 June 22 - June 28 2020'!D:D,'Week 25 June 15 - June 21 2020'!C:C,'Week 26 June 22 - June 28 2020'!C:C)+Table3611910135557121417525961636567697173757779[[#This Row],[Week Sales]]</f>
        <v>1462</v>
      </c>
      <c r="G31" s="9" t="s">
        <v>96</v>
      </c>
      <c r="H31" s="14">
        <v>44007</v>
      </c>
      <c r="I31" s="10" t="s">
        <v>36</v>
      </c>
      <c r="J31" s="92" t="str">
        <f t="shared" si="1"/>
        <v>New</v>
      </c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286103</v>
      </c>
      <c r="F33" s="2"/>
      <c r="I33" s="2"/>
      <c r="J33" s="19"/>
    </row>
    <row r="34" spans="1:10" x14ac:dyDescent="0.2">
      <c r="A34" s="3"/>
      <c r="B34" s="3"/>
      <c r="D34" s="100" t="s">
        <v>178</v>
      </c>
      <c r="E34" s="101">
        <f>SUM('Week 25 June 15 - June 21 2020'!E34,'Week 26 June 22 - June 28 2020'!E33)</f>
        <v>12949065</v>
      </c>
      <c r="F34" s="2"/>
      <c r="I34" s="2"/>
      <c r="J34" s="19"/>
    </row>
    <row r="35" spans="1:10" x14ac:dyDescent="0.2">
      <c r="A35" s="3"/>
      <c r="B35" s="3"/>
      <c r="D35" s="98" t="s">
        <v>267</v>
      </c>
      <c r="E35" s="99">
        <f>E33+'Week 25 June 15 - June 21 2020'!E33+'Week 24 June 8 - June 14 2020'!E33+'Week 23 June 1 - June 7 2020'!E33</f>
        <v>1281515</v>
      </c>
      <c r="F35" s="2"/>
      <c r="I35" s="2"/>
      <c r="J35" s="19"/>
    </row>
    <row r="36" spans="1:10" x14ac:dyDescent="0.2">
      <c r="A36" s="3"/>
      <c r="B36" s="3"/>
      <c r="D36" s="2" t="s">
        <v>60</v>
      </c>
      <c r="E36" s="2">
        <f>AVERAGE(E2:E31)</f>
        <v>9536.7666666666664</v>
      </c>
      <c r="F36" s="2"/>
      <c r="I36" s="2"/>
      <c r="J36" s="19"/>
    </row>
    <row r="37" spans="1:10" x14ac:dyDescent="0.2">
      <c r="A37" s="3"/>
      <c r="B37" s="3"/>
      <c r="D37" s="9" t="s">
        <v>78</v>
      </c>
      <c r="E37" s="10">
        <f>COUNTIF(B:B,"New")</f>
        <v>6</v>
      </c>
      <c r="F37" s="2"/>
      <c r="I37" s="2"/>
      <c r="J37" s="19"/>
    </row>
    <row r="38" spans="1:10" x14ac:dyDescent="0.2">
      <c r="A38" s="3"/>
      <c r="B38" s="3"/>
      <c r="E38" s="2"/>
      <c r="F38" s="2"/>
      <c r="I38" s="2"/>
      <c r="J38" s="19"/>
    </row>
    <row r="39" spans="1:10" x14ac:dyDescent="0.2">
      <c r="A39" s="3"/>
      <c r="B39" s="3"/>
      <c r="D39" t="s">
        <v>66</v>
      </c>
      <c r="E39" s="2"/>
      <c r="F39" s="2"/>
      <c r="I39" s="2"/>
      <c r="J39" s="19"/>
    </row>
    <row r="40" spans="1:10" x14ac:dyDescent="0.2">
      <c r="A40" s="3"/>
      <c r="B40" s="3"/>
      <c r="D40" s="8" t="s">
        <v>67</v>
      </c>
      <c r="E40" s="2"/>
      <c r="F40" s="2"/>
      <c r="I40" s="2"/>
      <c r="J40" s="19"/>
    </row>
    <row r="41" spans="1:10" x14ac:dyDescent="0.2">
      <c r="A41" s="3"/>
      <c r="B41" s="3"/>
      <c r="D41" s="8" t="s">
        <v>65</v>
      </c>
      <c r="E41" s="2"/>
      <c r="F41" s="2"/>
      <c r="I41" s="2"/>
      <c r="J41" s="19"/>
    </row>
    <row r="42" spans="1:10" x14ac:dyDescent="0.2">
      <c r="D42" s="8" t="s">
        <v>71</v>
      </c>
    </row>
  </sheetData>
  <hyperlinks>
    <hyperlink ref="D42" r:id="rId1" xr:uid="{571CE2AD-688A-4342-9480-64F685BA4009}"/>
    <hyperlink ref="D41" r:id="rId2" xr:uid="{9EC447BE-804C-EB43-B379-62339C391931}"/>
    <hyperlink ref="D40" r:id="rId3" xr:uid="{242EDA81-F1A5-654F-949A-ADF9BC2791A8}"/>
  </hyperlinks>
  <pageMargins left="0.7" right="0.7" top="0.75" bottom="0.75" header="0.3" footer="0.3"/>
  <pageSetup paperSize="9" orientation="portrait" horizontalDpi="0" verticalDpi="0"/>
  <tableParts count="1">
    <tablePart r:id="rId4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52A0-CB1F-254E-A263-48CABDC7D46A}">
  <dimension ref="A1:J41"/>
  <sheetViews>
    <sheetView workbookViewId="0">
      <selection activeCell="D12" sqref="D12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9.8320312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0" x14ac:dyDescent="0.2">
      <c r="A2" s="25">
        <v>1</v>
      </c>
      <c r="B2" s="18">
        <v>1</v>
      </c>
      <c r="C2" s="18" t="s">
        <v>7</v>
      </c>
      <c r="D2" s="86" t="s">
        <v>46</v>
      </c>
      <c r="E2" s="12">
        <v>53506</v>
      </c>
      <c r="F2" s="12">
        <f>SUMIFS('Week 26 June 22 - June 28 2020'!F:F,'Week 26 June 22 - June 28 2020'!D:D,'Week 27 June 29 - July 5 2020'!D:D,'Week 26 June 22 - June 28 2020'!C:C,'Week 27 June 29 - July 5 2020'!C:C)+Table361191013555712141752596163656769717375777982[[#This Row],[Week Sales]]</f>
        <v>5058226</v>
      </c>
      <c r="G2" s="18" t="str">
        <f>(VLOOKUP(D:D,'Week 26 June 22 - June 28 2020'!D:G,4,FALSE))</f>
        <v>Nintendo</v>
      </c>
      <c r="H2" s="67">
        <f>(VLOOKUP(D:D,'Week 26 June 22 - June 28 2020'!D:H,5,FALSE))</f>
        <v>43910</v>
      </c>
      <c r="I2" s="12">
        <f>_xlfn.IFNA(SUMIFS('Week 26 June 22 - June 28 2020'!E:E,'Week 26 June 22 - June 28 2020'!D:D,'Week 27 June 29 - July 5 2020'!D:D,'Week 26 June 22 - June 28 2020'!C:C,'Week 27 June 29 - July 5 2020'!C:C),"New")</f>
        <v>70552</v>
      </c>
      <c r="J2" s="28">
        <f>IFERROR((E2-I2)/I2,"New")</f>
        <v>-0.24160902596666289</v>
      </c>
    </row>
    <row r="3" spans="1:10" x14ac:dyDescent="0.2">
      <c r="A3" s="25">
        <v>2</v>
      </c>
      <c r="B3" s="18">
        <v>3</v>
      </c>
      <c r="C3" s="18" t="s">
        <v>7</v>
      </c>
      <c r="D3" s="47" t="s">
        <v>50</v>
      </c>
      <c r="E3" s="12">
        <v>23591</v>
      </c>
      <c r="F3" s="12">
        <f>SUMIFS('Week 26 June 22 - June 28 2020'!F:F,'Week 26 June 22 - June 28 2020'!D:D,'Week 27 June 29 - July 5 2020'!D:D,'Week 26 June 22 - June 28 2020'!C:C,'Week 27 June 29 - July 5 2020'!C:C)+Table361191013555712141752596163656769717375777982[[#This Row],[Week Sales]]</f>
        <v>195211</v>
      </c>
      <c r="G3" s="18" t="str">
        <f>(VLOOKUP(D:D,'Week 26 June 22 - June 28 2020'!D:G,4,FALSE))</f>
        <v>Nintendo</v>
      </c>
      <c r="H3" s="67">
        <f>(VLOOKUP(D:D,'Week 26 June 22 - June 28 2020'!D:H,5,FALSE))</f>
        <v>43987</v>
      </c>
      <c r="I3" s="12">
        <f>_xlfn.IFNA(SUMIFS('Week 26 June 22 - June 28 2020'!E:E,'Week 26 June 22 - June 28 2020'!D:D,'Week 27 June 29 - July 5 2020'!D:D,'Week 26 June 22 - June 28 2020'!C:C,'Week 27 June 29 - July 5 2020'!C:C),"New")</f>
        <v>27323</v>
      </c>
      <c r="J3" s="28">
        <f>IFERROR((E4-I3)/I3,"New")</f>
        <v>-0.29418438678036818</v>
      </c>
    </row>
    <row r="4" spans="1:10" x14ac:dyDescent="0.2">
      <c r="A4" s="25">
        <v>3</v>
      </c>
      <c r="B4" s="117">
        <v>2</v>
      </c>
      <c r="C4" s="18" t="s">
        <v>7</v>
      </c>
      <c r="D4" s="47" t="s">
        <v>45</v>
      </c>
      <c r="E4" s="12">
        <v>19285</v>
      </c>
      <c r="F4" s="12">
        <f>SUMIFS('Week 26 June 22 - June 28 2020'!F:F,'Week 26 June 22 - June 28 2020'!D:D,'Week 27 June 29 - July 5 2020'!D:D,'Week 26 June 22 - June 28 2020'!C:C,'Week 27 June 29 - July 5 2020'!C:C)+Table361191013555712141752596163656769717375777982[[#This Row],[Week Sales]]</f>
        <v>1092799</v>
      </c>
      <c r="G4" s="18" t="str">
        <f>(VLOOKUP(D:D,'Week 26 June 22 - June 28 2020'!D:G,4,FALSE))</f>
        <v>Nintendo</v>
      </c>
      <c r="H4" s="67">
        <f>(VLOOKUP(D:D,'Week 26 June 22 - June 28 2020'!D:H,5,FALSE))</f>
        <v>43756</v>
      </c>
      <c r="I4" s="12">
        <f>_xlfn.IFNA(SUMIFS('Week 26 June 22 - June 28 2020'!E:E,'Week 26 June 22 - June 28 2020'!D:D,'Week 27 June 29 - July 5 2020'!D:D,'Week 26 June 22 - June 28 2020'!C:C,'Week 27 June 29 - July 5 2020'!C:C),"New")</f>
        <v>34782</v>
      </c>
      <c r="J4" s="28">
        <f t="shared" ref="J4:J23" si="0">IFERROR((E5-I4)/I4,"New")</f>
        <v>-0.7114312000460008</v>
      </c>
    </row>
    <row r="5" spans="1:10" x14ac:dyDescent="0.2">
      <c r="A5" s="25">
        <v>4</v>
      </c>
      <c r="B5" s="18">
        <v>7</v>
      </c>
      <c r="C5" s="18" t="s">
        <v>7</v>
      </c>
      <c r="D5" s="47" t="s">
        <v>49</v>
      </c>
      <c r="E5" s="12">
        <v>10037</v>
      </c>
      <c r="F5" s="12">
        <f>SUMIFS('Week 26 June 22 - June 28 2020'!F:F,'Week 26 June 22 - June 28 2020'!D:D,'Week 27 June 29 - July 5 2020'!D:D,'Week 26 June 22 - June 28 2020'!C:C,'Week 27 June 29 - July 5 2020'!C:C)+Table361191013555712141752596163656769717375777982[[#This Row],[Week Sales]]</f>
        <v>3015080</v>
      </c>
      <c r="G5" s="18" t="str">
        <f>(VLOOKUP(D:D,'Week 26 June 22 - June 28 2020'!D:G,4,FALSE))</f>
        <v>Nintendo</v>
      </c>
      <c r="H5" s="67">
        <f>(VLOOKUP(D:D,'Week 26 June 22 - June 28 2020'!D:H,5,FALSE))</f>
        <v>42853</v>
      </c>
      <c r="I5" s="12">
        <f>_xlfn.IFNA(SUMIFS('Week 26 June 22 - June 28 2020'!E:E,'Week 26 June 22 - June 28 2020'!D:D,'Week 27 June 29 - July 5 2020'!D:D,'Week 26 June 22 - June 28 2020'!C:C,'Week 27 June 29 - July 5 2020'!C:C),"New")</f>
        <v>9338</v>
      </c>
      <c r="J5" s="28">
        <f t="shared" si="0"/>
        <v>-6.3182694367102162E-3</v>
      </c>
    </row>
    <row r="6" spans="1:10" x14ac:dyDescent="0.2">
      <c r="A6" s="25">
        <v>5</v>
      </c>
      <c r="B6" s="18">
        <v>4</v>
      </c>
      <c r="C6" s="18" t="s">
        <v>8</v>
      </c>
      <c r="D6" s="47" t="s">
        <v>262</v>
      </c>
      <c r="E6" s="12">
        <v>9279</v>
      </c>
      <c r="F6" s="12">
        <f>SUMIFS('Week 26 June 22 - June 28 2020'!F:F,'Week 26 June 22 - June 28 2020'!D:D,'Week 27 June 29 - July 5 2020'!D:D,'Week 26 June 22 - June 28 2020'!C:C,'Week 27 June 29 - July 5 2020'!C:C)+Table361191013555712141752596163656769717375777982[[#This Row],[Week Sales]]</f>
        <v>213968</v>
      </c>
      <c r="G6" s="18" t="str">
        <f>(VLOOKUP(D:D,'Week 26 June 22 - June 28 2020'!D:G,4,FALSE))</f>
        <v>Sony</v>
      </c>
      <c r="H6" s="67">
        <f>(VLOOKUP(D:D,'Week 26 June 22 - June 28 2020'!D:H,5,FALSE))</f>
        <v>44001</v>
      </c>
      <c r="I6" s="12">
        <f>_xlfn.IFNA(SUMIFS('Week 26 June 22 - June 28 2020'!E:E,'Week 26 June 22 - June 28 2020'!D:D,'Week 27 June 29 - July 5 2020'!D:D,'Week 26 June 22 - June 28 2020'!C:C,'Week 27 June 29 - July 5 2020'!C:C),"New")</f>
        <v>25993</v>
      </c>
      <c r="J6" s="28">
        <f t="shared" si="0"/>
        <v>-0.68783903358596543</v>
      </c>
    </row>
    <row r="7" spans="1:10" x14ac:dyDescent="0.2">
      <c r="A7" s="25">
        <v>6</v>
      </c>
      <c r="B7" s="18">
        <v>9</v>
      </c>
      <c r="C7" s="18" t="s">
        <v>7</v>
      </c>
      <c r="D7" s="47" t="s">
        <v>10</v>
      </c>
      <c r="E7" s="12">
        <v>8114</v>
      </c>
      <c r="F7" s="12">
        <f>SUMIFS('Week 26 June 22 - June 28 2020'!F:F,'Week 26 June 22 - June 28 2020'!D:D,'Week 27 June 29 - July 5 2020'!D:D,'Week 26 June 22 - June 28 2020'!C:C,'Week 27 June 29 - July 5 2020'!C:C)+Table361191013555712141752596163656769717375777982[[#This Row],[Week Sales]]</f>
        <v>3478749</v>
      </c>
      <c r="G7" s="18" t="str">
        <f>(VLOOKUP(D:D,'Week 26 June 22 - June 28 2020'!D:G,4,FALSE))</f>
        <v>Nintendo</v>
      </c>
      <c r="H7" s="67">
        <f>(VLOOKUP(D:D,'Week 26 June 22 - June 28 2020'!D:H,5,FALSE))</f>
        <v>42937</v>
      </c>
      <c r="I7" s="12">
        <f>_xlfn.IFNA(SUMIFS('Week 26 June 22 - June 28 2020'!E:E,'Week 26 June 22 - June 28 2020'!D:D,'Week 27 June 29 - July 5 2020'!D:D,'Week 26 June 22 - June 28 2020'!C:C,'Week 27 June 29 - July 5 2020'!C:C),"New")</f>
        <v>7407</v>
      </c>
      <c r="J7" s="28">
        <f t="shared" si="0"/>
        <v>9.5045227487511819E-2</v>
      </c>
    </row>
    <row r="8" spans="1:10" x14ac:dyDescent="0.2">
      <c r="A8" s="25">
        <v>7</v>
      </c>
      <c r="B8" s="18">
        <v>8</v>
      </c>
      <c r="C8" s="18" t="s">
        <v>7</v>
      </c>
      <c r="D8" s="47" t="s">
        <v>62</v>
      </c>
      <c r="E8" s="12">
        <v>8111</v>
      </c>
      <c r="F8" s="12">
        <f>SUMIFS('Week 26 June 22 - June 28 2020'!F:F,'Week 26 June 22 - June 28 2020'!D:D,'Week 27 June 29 - July 5 2020'!D:D,'Week 26 June 22 - June 28 2020'!C:C,'Week 27 June 29 - July 5 2020'!C:C)+Table361191013555712141752596163656769717375777982[[#This Row],[Week Sales]]</f>
        <v>3647104</v>
      </c>
      <c r="G8" s="18" t="str">
        <f>(VLOOKUP(D:D,'Week 26 June 22 - June 28 2020'!D:G,4,FALSE))</f>
        <v>The Pokemon Company</v>
      </c>
      <c r="H8" s="67">
        <f>(VLOOKUP(D:D,'Week 26 June 22 - June 28 2020'!D:H,5,FALSE))</f>
        <v>43784</v>
      </c>
      <c r="I8" s="12">
        <f>_xlfn.IFNA(SUMIFS('Week 26 June 22 - June 28 2020'!E:E,'Week 26 June 22 - June 28 2020'!D:D,'Week 27 June 29 - July 5 2020'!D:D,'Week 26 June 22 - June 28 2020'!C:C,'Week 27 June 29 - July 5 2020'!C:C),"New")</f>
        <v>8730</v>
      </c>
      <c r="J8" s="28">
        <f t="shared" si="0"/>
        <v>-0.18545246277205041</v>
      </c>
    </row>
    <row r="9" spans="1:10" x14ac:dyDescent="0.2">
      <c r="A9" s="25">
        <v>8</v>
      </c>
      <c r="B9" s="18">
        <v>12</v>
      </c>
      <c r="C9" s="18" t="s">
        <v>7</v>
      </c>
      <c r="D9" s="47" t="s">
        <v>52</v>
      </c>
      <c r="E9" s="12">
        <v>7111</v>
      </c>
      <c r="F9" s="12">
        <f>SUMIFS('Week 26 June 22 - June 28 2020'!F:F,'Week 26 June 22 - June 28 2020'!D:D,'Week 27 June 29 - July 5 2020'!D:D,'Week 26 June 22 - June 28 2020'!C:C,'Week 27 June 29 - July 5 2020'!C:C)+Table361191013555712141752596163656769717375777982[[#This Row],[Week Sales]]</f>
        <v>3744880</v>
      </c>
      <c r="G9" s="18" t="str">
        <f>(VLOOKUP(D:D,'Week 26 June 22 - June 28 2020'!D:G,4,FALSE))</f>
        <v>Nintendo</v>
      </c>
      <c r="H9" s="67">
        <f>(VLOOKUP(D:D,'Week 26 June 22 - June 28 2020'!D:H,5,FALSE))</f>
        <v>43441</v>
      </c>
      <c r="I9" s="12">
        <f>_xlfn.IFNA(SUMIFS('Week 26 June 22 - June 28 2020'!E:E,'Week 26 June 22 - June 28 2020'!D:D,'Week 27 June 29 - July 5 2020'!D:D,'Week 26 June 22 - June 28 2020'!C:C,'Week 27 June 29 - July 5 2020'!C:C),"New")</f>
        <v>6316</v>
      </c>
      <c r="J9" s="28">
        <f t="shared" si="0"/>
        <v>9.5155161494616849E-2</v>
      </c>
    </row>
    <row r="10" spans="1:10" x14ac:dyDescent="0.2">
      <c r="A10" s="13">
        <v>9</v>
      </c>
      <c r="B10" s="9" t="s">
        <v>36</v>
      </c>
      <c r="C10" s="9" t="s">
        <v>7</v>
      </c>
      <c r="D10" s="46" t="s">
        <v>274</v>
      </c>
      <c r="E10" s="10">
        <v>6917</v>
      </c>
      <c r="F10" s="10">
        <f>SUMIFS('Week 26 June 22 - June 28 2020'!F:F,'Week 26 June 22 - June 28 2020'!D:D,'Week 27 June 29 - July 5 2020'!D:D,'Week 26 June 22 - June 28 2020'!C:C,'Week 27 June 29 - July 5 2020'!C:C)+Table361191013555712141752596163656769717375777982[[#This Row],[Week Sales]]</f>
        <v>6917</v>
      </c>
      <c r="G10" s="9" t="s">
        <v>118</v>
      </c>
      <c r="H10" s="14">
        <v>44014</v>
      </c>
      <c r="I10" s="10" t="s">
        <v>36</v>
      </c>
      <c r="J10" s="92" t="str">
        <f t="shared" si="0"/>
        <v>New</v>
      </c>
    </row>
    <row r="11" spans="1:10" x14ac:dyDescent="0.2">
      <c r="A11" s="25">
        <v>10</v>
      </c>
      <c r="B11" s="18">
        <v>11</v>
      </c>
      <c r="C11" s="18" t="s">
        <v>7</v>
      </c>
      <c r="D11" s="47" t="s">
        <v>12</v>
      </c>
      <c r="E11" s="12">
        <v>6104</v>
      </c>
      <c r="F11" s="12">
        <f>SUMIFS('Week 26 June 22 - June 28 2020'!F:F,'Week 26 June 22 - June 28 2020'!D:D,'Week 27 June 29 - July 5 2020'!D:D,'Week 26 June 22 - June 28 2020'!C:C,'Week 27 June 29 - July 5 2020'!C:C)+Table361191013555712141752596163656769717375777982[[#This Row],[Week Sales]]</f>
        <v>1432705</v>
      </c>
      <c r="G11" s="18" t="str">
        <f>(VLOOKUP(D:D,'Week 26 June 22 - June 28 2020'!D:G,4,FALSE))</f>
        <v>Microsoft</v>
      </c>
      <c r="H11" s="67">
        <f>(VLOOKUP(D:D,'Week 26 June 22 - June 28 2020'!D:H,5,FALSE))</f>
        <v>43272</v>
      </c>
      <c r="I11" s="12">
        <f>_xlfn.IFNA(SUMIFS('Week 26 June 22 - June 28 2020'!E:E,'Week 26 June 22 - June 28 2020'!D:D,'Week 27 June 29 - July 5 2020'!D:D,'Week 26 June 22 - June 28 2020'!C:C,'Week 27 June 29 - July 5 2020'!C:C),"New")</f>
        <v>6634</v>
      </c>
      <c r="J11" s="28">
        <f t="shared" si="0"/>
        <v>-0.26092854989448294</v>
      </c>
    </row>
    <row r="12" spans="1:10" x14ac:dyDescent="0.2">
      <c r="A12" s="25">
        <v>11</v>
      </c>
      <c r="B12" s="18">
        <v>15</v>
      </c>
      <c r="C12" s="18" t="s">
        <v>7</v>
      </c>
      <c r="D12" s="47" t="s">
        <v>13</v>
      </c>
      <c r="E12" s="12">
        <v>4903</v>
      </c>
      <c r="F12" s="12">
        <f>SUMIFS('Week 26 June 22 - June 28 2020'!F:F,'Week 26 June 22 - June 28 2020'!D:D,'Week 27 June 29 - July 5 2020'!D:D,'Week 26 June 22 - June 28 2020'!C:C,'Week 27 June 29 - July 5 2020'!C:C)+Table361191013555712141752596163656769717375777982[[#This Row],[Week Sales]]</f>
        <v>1481128</v>
      </c>
      <c r="G12" s="18" t="str">
        <f>(VLOOKUP(D:D,'Week 26 June 22 - June 28 2020'!D:G,4,FALSE))</f>
        <v>Nintendo</v>
      </c>
      <c r="H12" s="67">
        <f>(VLOOKUP(D:D,'Week 26 June 22 - June 28 2020'!D:H,5,FALSE))</f>
        <v>43378</v>
      </c>
      <c r="I12" s="12">
        <f>_xlfn.IFNA(SUMIFS('Week 26 June 22 - June 28 2020'!E:E,'Week 26 June 22 - June 28 2020'!D:D,'Week 27 June 29 - July 5 2020'!D:D,'Week 26 June 22 - June 28 2020'!C:C,'Week 27 June 29 - July 5 2020'!C:C),"New")</f>
        <v>4402</v>
      </c>
      <c r="J12" s="28">
        <f t="shared" si="0"/>
        <v>-5.134029986369832E-2</v>
      </c>
    </row>
    <row r="13" spans="1:10" x14ac:dyDescent="0.2">
      <c r="A13" s="25">
        <v>12</v>
      </c>
      <c r="B13" s="18">
        <v>6</v>
      </c>
      <c r="C13" s="18" t="s">
        <v>7</v>
      </c>
      <c r="D13" s="47" t="s">
        <v>269</v>
      </c>
      <c r="E13" s="12">
        <v>4176</v>
      </c>
      <c r="F13" s="12">
        <f>SUMIFS('Week 26 June 22 - June 28 2020'!F:F,'Week 26 June 22 - June 28 2020'!D:D,'Week 27 June 29 - July 5 2020'!D:D,'Week 26 June 22 - June 28 2020'!C:C,'Week 27 June 29 - July 5 2020'!C:C)+Table361191013555712141752596163656769717375777982[[#This Row],[Week Sales]]</f>
        <v>19418</v>
      </c>
      <c r="G13" s="18" t="str">
        <f>(VLOOKUP(D:D,'Week 26 June 22 - June 28 2020'!D:G,4,FALSE))</f>
        <v>Happinet</v>
      </c>
      <c r="H13" s="67">
        <f>(VLOOKUP(D:D,'Week 26 June 22 - June 28 2020'!D:H,5,FALSE))</f>
        <v>44007</v>
      </c>
      <c r="I13" s="12">
        <f>_xlfn.IFNA(SUMIFS('Week 26 June 22 - June 28 2020'!E:E,'Week 26 June 22 - June 28 2020'!D:D,'Week 27 June 29 - July 5 2020'!D:D,'Week 26 June 22 - June 28 2020'!C:C,'Week 27 June 29 - July 5 2020'!C:C),"New")</f>
        <v>15242</v>
      </c>
      <c r="J13" s="28">
        <f t="shared" si="0"/>
        <v>-0.75495341818658968</v>
      </c>
    </row>
    <row r="14" spans="1:10" x14ac:dyDescent="0.2">
      <c r="A14" s="25">
        <v>13</v>
      </c>
      <c r="B14" s="18">
        <v>13</v>
      </c>
      <c r="C14" s="18" t="s">
        <v>8</v>
      </c>
      <c r="D14" s="47" t="s">
        <v>246</v>
      </c>
      <c r="E14" s="12">
        <v>3735</v>
      </c>
      <c r="F14" s="12">
        <f>SUMIFS('Week 26 June 22 - June 28 2020'!F:F,'Week 26 June 22 - June 28 2020'!D:D,'Week 27 June 29 - July 5 2020'!D:D,'Week 26 June 22 - June 28 2020'!C:C,'Week 27 June 29 - July 5 2020'!C:C)+Table361191013555712141752596163656769717375777982[[#This Row],[Week Sales]]</f>
        <v>104335</v>
      </c>
      <c r="G14" s="18" t="str">
        <f>(VLOOKUP(D:D,'Week 26 June 22 - June 28 2020'!D:G,4,FALSE))</f>
        <v>Sony</v>
      </c>
      <c r="H14" s="67">
        <f>(VLOOKUP(D:D,'Week 26 June 22 - June 28 2020'!D:H,5,FALSE))</f>
        <v>43307</v>
      </c>
      <c r="I14" s="12">
        <f>_xlfn.IFNA(SUMIFS('Week 26 June 22 - June 28 2020'!E:E,'Week 26 June 22 - June 28 2020'!D:D,'Week 27 June 29 - July 5 2020'!D:D,'Week 26 June 22 - June 28 2020'!C:C,'Week 27 June 29 - July 5 2020'!C:C),"New")</f>
        <v>5257</v>
      </c>
      <c r="J14" s="28">
        <f t="shared" si="0"/>
        <v>-0.36123264219136392</v>
      </c>
    </row>
    <row r="15" spans="1:10" x14ac:dyDescent="0.2">
      <c r="A15" s="13">
        <v>14</v>
      </c>
      <c r="B15" s="9" t="s">
        <v>36</v>
      </c>
      <c r="C15" s="9" t="s">
        <v>8</v>
      </c>
      <c r="D15" s="46" t="s">
        <v>275</v>
      </c>
      <c r="E15" s="10">
        <v>3358</v>
      </c>
      <c r="F15" s="10">
        <f>SUMIFS('Week 26 June 22 - June 28 2020'!F:F,'Week 26 June 22 - June 28 2020'!D:D,'Week 27 June 29 - July 5 2020'!D:D,'Week 26 June 22 - June 28 2020'!C:C,'Week 27 June 29 - July 5 2020'!C:C)+Table361191013555712141752596163656769717375777982[[#This Row],[Week Sales]]</f>
        <v>3358</v>
      </c>
      <c r="G15" s="9" t="s">
        <v>30</v>
      </c>
      <c r="H15" s="14">
        <v>44015</v>
      </c>
      <c r="I15" s="10" t="s">
        <v>36</v>
      </c>
      <c r="J15" s="92" t="str">
        <f t="shared" si="0"/>
        <v>New</v>
      </c>
    </row>
    <row r="16" spans="1:10" x14ac:dyDescent="0.2">
      <c r="A16" s="25">
        <v>15</v>
      </c>
      <c r="B16" s="18">
        <v>18</v>
      </c>
      <c r="C16" s="18" t="s">
        <v>7</v>
      </c>
      <c r="D16" s="47" t="s">
        <v>39</v>
      </c>
      <c r="E16" s="12">
        <v>3223</v>
      </c>
      <c r="F16" s="12">
        <f>SUMIFS('Week 26 June 22 - June 28 2020'!F:F,'Week 26 June 22 - June 28 2020'!D:D,'Week 27 June 29 - July 5 2020'!D:D,'Week 26 June 22 - June 28 2020'!C:C,'Week 27 June 29 - July 5 2020'!C:C)+Table361191013555712141752596163656769717375777982[[#This Row],[Week Sales]]</f>
        <v>1606663</v>
      </c>
      <c r="G16" s="18" t="str">
        <f>(VLOOKUP(D:D,'Week 26 June 22 - June 28 2020'!D:G,4,FALSE))</f>
        <v>Nintendo</v>
      </c>
      <c r="H16" s="67">
        <f>(VLOOKUP(D:D,'Week 26 June 22 - June 28 2020'!D:H,5,FALSE))</f>
        <v>42797</v>
      </c>
      <c r="I16" s="12">
        <f>_xlfn.IFNA(SUMIFS('Week 26 June 22 - June 28 2020'!E:E,'Week 26 June 22 - June 28 2020'!D:D,'Week 27 June 29 - July 5 2020'!D:D,'Week 26 June 22 - June 28 2020'!C:C,'Week 27 June 29 - July 5 2020'!C:C),"New")</f>
        <v>2901</v>
      </c>
      <c r="J16" s="28">
        <f t="shared" si="0"/>
        <v>1.3788348845225785E-3</v>
      </c>
    </row>
    <row r="17" spans="1:10" x14ac:dyDescent="0.2">
      <c r="A17" s="25">
        <v>16</v>
      </c>
      <c r="B17" s="18">
        <v>5</v>
      </c>
      <c r="C17" s="18" t="s">
        <v>8</v>
      </c>
      <c r="D17" s="47" t="s">
        <v>268</v>
      </c>
      <c r="E17" s="12">
        <v>2905</v>
      </c>
      <c r="F17" s="12">
        <f>SUMIFS('Week 26 June 22 - June 28 2020'!F:F,'Week 26 June 22 - June 28 2020'!D:D,'Week 27 June 29 - July 5 2020'!D:D,'Week 26 June 22 - June 28 2020'!C:C,'Week 27 June 29 - July 5 2020'!C:C)+Table361191013555712141752596163656769717375777982[[#This Row],[Week Sales]]</f>
        <v>22149</v>
      </c>
      <c r="G17" s="18" t="str">
        <f>(VLOOKUP(D:D,'Week 26 June 22 - June 28 2020'!D:G,4,FALSE))</f>
        <v>DMM Games</v>
      </c>
      <c r="H17" s="67">
        <f>(VLOOKUP(D:D,'Week 26 June 22 - June 28 2020'!D:H,5,FALSE))</f>
        <v>44007</v>
      </c>
      <c r="I17" s="12">
        <f>_xlfn.IFNA(SUMIFS('Week 26 June 22 - June 28 2020'!E:E,'Week 26 June 22 - June 28 2020'!D:D,'Week 27 June 29 - July 5 2020'!D:D,'Week 26 June 22 - June 28 2020'!C:C,'Week 27 June 29 - July 5 2020'!C:C),"New")</f>
        <v>19244</v>
      </c>
      <c r="J17" s="28">
        <f t="shared" si="0"/>
        <v>-0.85751403034712115</v>
      </c>
    </row>
    <row r="18" spans="1:10" x14ac:dyDescent="0.2">
      <c r="A18" s="25">
        <v>17</v>
      </c>
      <c r="B18" s="18">
        <v>16</v>
      </c>
      <c r="C18" s="18" t="s">
        <v>7</v>
      </c>
      <c r="D18" s="47" t="s">
        <v>250</v>
      </c>
      <c r="E18" s="12">
        <v>2742</v>
      </c>
      <c r="F18" s="12">
        <f>SUMIFS('Week 26 June 22 - June 28 2020'!F:F,'Week 26 June 22 - June 28 2020'!D:D,'Week 27 June 29 - July 5 2020'!D:D,'Week 26 June 22 - June 28 2020'!C:C,'Week 27 June 29 - July 5 2020'!C:C)+Table361191013555712141752596163656769717375777982[[#This Row],[Week Sales]]</f>
        <v>126662</v>
      </c>
      <c r="G18" s="18" t="str">
        <f>(VLOOKUP(D:D,'Week 26 June 22 - June 28 2020'!D:G,4,FALSE))</f>
        <v>Nintendo</v>
      </c>
      <c r="H18" s="67">
        <f>(VLOOKUP(D:D,'Week 26 June 22 - June 28 2020'!D:H,5,FALSE))</f>
        <v>43980</v>
      </c>
      <c r="I18" s="12">
        <f>_xlfn.IFNA(SUMIFS('Week 26 June 22 - June 28 2020'!E:E,'Week 26 June 22 - June 28 2020'!D:D,'Week 27 June 29 - July 5 2020'!D:D,'Week 26 June 22 - June 28 2020'!C:C,'Week 27 June 29 - July 5 2020'!C:C),"New")</f>
        <v>3423</v>
      </c>
      <c r="J18" s="28">
        <f t="shared" si="0"/>
        <v>-0.21881390593047034</v>
      </c>
    </row>
    <row r="19" spans="1:10" x14ac:dyDescent="0.2">
      <c r="A19" s="25">
        <v>18</v>
      </c>
      <c r="B19" s="18">
        <v>17</v>
      </c>
      <c r="C19" s="18" t="s">
        <v>7</v>
      </c>
      <c r="D19" s="47" t="s">
        <v>16</v>
      </c>
      <c r="E19" s="12">
        <v>2674</v>
      </c>
      <c r="F19" s="12">
        <f>SUMIFS('Week 26 June 22 - June 28 2020'!F:F,'Week 26 June 22 - June 28 2020'!D:D,'Week 27 June 29 - July 5 2020'!D:D,'Week 26 June 22 - June 28 2020'!C:C,'Week 27 June 29 - July 5 2020'!C:C)+Table361191013555712141752596163656769717375777982[[#This Row],[Week Sales]]</f>
        <v>256409</v>
      </c>
      <c r="G19" s="18" t="str">
        <f>(VLOOKUP(D:D,'Week 26 June 22 - June 28 2020'!D:G,4,FALSE))</f>
        <v>Nintendo</v>
      </c>
      <c r="H19" s="67">
        <f>(VLOOKUP(D:D,'Week 26 June 22 - June 28 2020'!D:H,5,FALSE))</f>
        <v>43826</v>
      </c>
      <c r="I19" s="12">
        <f>_xlfn.IFNA(SUMIFS('Week 26 June 22 - June 28 2020'!E:E,'Week 26 June 22 - June 28 2020'!D:D,'Week 27 June 29 - July 5 2020'!D:D,'Week 26 June 22 - June 28 2020'!C:C,'Week 27 June 29 - July 5 2020'!C:C),"New")</f>
        <v>3170</v>
      </c>
      <c r="J19" s="28">
        <f t="shared" si="0"/>
        <v>-0.19652996845425869</v>
      </c>
    </row>
    <row r="20" spans="1:10" x14ac:dyDescent="0.2">
      <c r="A20" s="25">
        <v>19</v>
      </c>
      <c r="B20" s="18">
        <v>19</v>
      </c>
      <c r="C20" s="18" t="s">
        <v>7</v>
      </c>
      <c r="D20" s="47" t="s">
        <v>19</v>
      </c>
      <c r="E20" s="12">
        <v>2547</v>
      </c>
      <c r="F20" s="12">
        <f>SUMIFS('Week 26 June 22 - June 28 2020'!F:F,'Week 26 June 22 - June 28 2020'!D:D,'Week 27 June 29 - July 5 2020'!D:D,'Week 26 June 22 - June 28 2020'!C:C,'Week 27 June 29 - July 5 2020'!C:C)+Table361191013555712141752596163656769717375777982[[#This Row],[Week Sales]]</f>
        <v>933420</v>
      </c>
      <c r="G20" s="18" t="str">
        <f>(VLOOKUP(D:D,'Week 26 June 22 - June 28 2020'!D:G,4,FALSE))</f>
        <v>Nintendo</v>
      </c>
      <c r="H20" s="67">
        <f>(VLOOKUP(D:D,'Week 26 June 22 - June 28 2020'!D:H,5,FALSE))</f>
        <v>43644</v>
      </c>
      <c r="I20" s="12">
        <f>_xlfn.IFNA(SUMIFS('Week 26 June 22 - June 28 2020'!E:E,'Week 26 June 22 - June 28 2020'!D:D,'Week 27 June 29 - July 5 2020'!D:D,'Week 26 June 22 - June 28 2020'!C:C,'Week 27 June 29 - July 5 2020'!C:C),"New")</f>
        <v>2620</v>
      </c>
      <c r="J20" s="28">
        <f t="shared" si="0"/>
        <v>-7.3664122137404586E-2</v>
      </c>
    </row>
    <row r="21" spans="1:10" x14ac:dyDescent="0.2">
      <c r="A21" s="25">
        <v>20</v>
      </c>
      <c r="B21" s="18">
        <v>14</v>
      </c>
      <c r="C21" s="18" t="s">
        <v>7</v>
      </c>
      <c r="D21" s="47" t="s">
        <v>56</v>
      </c>
      <c r="E21" s="12">
        <v>2427</v>
      </c>
      <c r="F21" s="12">
        <f>SUMIFS('Week 26 June 22 - June 28 2020'!F:F,'Week 26 June 22 - June 28 2020'!D:D,'Week 27 June 29 - July 5 2020'!D:D,'Week 26 June 22 - June 28 2020'!C:C,'Week 27 June 29 - July 5 2020'!C:C)+Table361191013555712141752596163656769717375777982[[#This Row],[Week Sales]]</f>
        <v>7668</v>
      </c>
      <c r="G21" s="18" t="str">
        <f>(VLOOKUP(D:D,'Week 26 June 22 - June 28 2020'!D:G,4,FALSE))</f>
        <v>Teyon Japan</v>
      </c>
      <c r="H21" s="67">
        <f>(VLOOKUP(D:D,'Week 26 June 22 - June 28 2020'!D:H,5,FALSE))</f>
        <v>44007</v>
      </c>
      <c r="I21" s="12">
        <f>_xlfn.IFNA(SUMIFS('Week 26 June 22 - June 28 2020'!E:E,'Week 26 June 22 - June 28 2020'!D:D,'Week 27 June 29 - July 5 2020'!D:D,'Week 26 June 22 - June 28 2020'!C:C,'Week 27 June 29 - July 5 2020'!C:C),"New")</f>
        <v>5241</v>
      </c>
      <c r="J21" s="28">
        <f t="shared" si="0"/>
        <v>-0.5445525663041404</v>
      </c>
    </row>
    <row r="22" spans="1:10" x14ac:dyDescent="0.2">
      <c r="A22" s="25">
        <v>21</v>
      </c>
      <c r="B22" s="18">
        <v>20</v>
      </c>
      <c r="C22" s="18" t="s">
        <v>7</v>
      </c>
      <c r="D22" s="47" t="s">
        <v>17</v>
      </c>
      <c r="E22" s="12">
        <v>2387</v>
      </c>
      <c r="F22" s="12">
        <f>SUMIFS('Week 26 June 22 - June 28 2020'!F:F,'Week 26 June 22 - June 28 2020'!D:D,'Week 27 June 29 - July 5 2020'!D:D,'Week 26 June 22 - June 28 2020'!C:C,'Week 27 June 29 - July 5 2020'!C:C)+Table361191013555712141752596163656769717375777982[[#This Row],[Week Sales]]</f>
        <v>859560</v>
      </c>
      <c r="G22" s="18" t="str">
        <f>(VLOOKUP(D:D,'Week 26 June 22 - June 28 2020'!D:G,4,FALSE))</f>
        <v>Nintendo</v>
      </c>
      <c r="H22" s="67">
        <f>(VLOOKUP(D:D,'Week 26 June 22 - June 28 2020'!D:H,5,FALSE))</f>
        <v>43476</v>
      </c>
      <c r="I22" s="12">
        <f>_xlfn.IFNA(SUMIFS('Week 26 June 22 - June 28 2020'!E:E,'Week 26 June 22 - June 28 2020'!D:D,'Week 27 June 29 - July 5 2020'!D:D,'Week 26 June 22 - June 28 2020'!C:C,'Week 27 June 29 - July 5 2020'!C:C),"New")</f>
        <v>2491</v>
      </c>
      <c r="J22" s="28">
        <f t="shared" si="0"/>
        <v>-0.10718586912886391</v>
      </c>
    </row>
    <row r="23" spans="1:10" x14ac:dyDescent="0.2">
      <c r="A23" s="25">
        <v>22</v>
      </c>
      <c r="B23" s="18">
        <v>22</v>
      </c>
      <c r="C23" s="18" t="s">
        <v>7</v>
      </c>
      <c r="D23" s="47" t="s">
        <v>79</v>
      </c>
      <c r="E23" s="12">
        <v>2224</v>
      </c>
      <c r="F23" s="12">
        <f>SUMIFS('Week 26 June 22 - June 28 2020'!F:F,'Week 26 June 22 - June 28 2020'!D:D,'Week 27 June 29 - July 5 2020'!D:D,'Week 26 June 22 - June 28 2020'!C:C,'Week 27 June 29 - July 5 2020'!C:C)+Table361191013555712141752596163656769717375777982[[#This Row],[Week Sales]]</f>
        <v>660461</v>
      </c>
      <c r="G23" s="18" t="str">
        <f>(VLOOKUP(D:D,'Week 26 June 22 - June 28 2020'!D:G,4,FALSE))</f>
        <v>Nintendo</v>
      </c>
      <c r="H23" s="67">
        <f>(VLOOKUP(D:D,'Week 26 June 22 - June 28 2020'!D:H,5,FALSE))</f>
        <v>43769</v>
      </c>
      <c r="I23" s="12">
        <f>_xlfn.IFNA(SUMIFS('Week 26 June 22 - June 28 2020'!E:E,'Week 26 June 22 - June 28 2020'!D:D,'Week 27 June 29 - July 5 2020'!D:D,'Week 26 June 22 - June 28 2020'!C:C,'Week 27 June 29 - July 5 2020'!C:C),"New")</f>
        <v>2255</v>
      </c>
      <c r="J23" s="28">
        <f t="shared" si="0"/>
        <v>-9.7560975609756101E-2</v>
      </c>
    </row>
    <row r="24" spans="1:10" x14ac:dyDescent="0.2">
      <c r="A24" s="25">
        <v>23</v>
      </c>
      <c r="B24" s="18">
        <v>27</v>
      </c>
      <c r="C24" s="18" t="s">
        <v>7</v>
      </c>
      <c r="D24" s="86" t="s">
        <v>83</v>
      </c>
      <c r="E24" s="12">
        <v>2035</v>
      </c>
      <c r="F24" s="12">
        <f>SUMIFS('Week 26 June 22 - June 28 2020'!F:F,'Week 26 June 22 - June 28 2020'!D:D,'Week 27 June 29 - July 5 2020'!D:D,'Week 26 June 22 - June 28 2020'!C:C,'Week 27 June 29 - July 5 2020'!C:C)+Table361191013555712141752596163656769717375777982[[#This Row],[Week Sales]]</f>
        <v>532314</v>
      </c>
      <c r="G24" s="18" t="str">
        <f>(VLOOKUP(D:D,'Week 26 June 22 - June 28 2020'!D:G,4,FALSE))</f>
        <v>Square Enix</v>
      </c>
      <c r="H24" s="67">
        <f>(VLOOKUP(D:D,'Week 26 June 22 - June 28 2020'!D:H,5,FALSE))</f>
        <v>43735</v>
      </c>
      <c r="I24" s="12">
        <f>_xlfn.IFNA(SUMIFS('Week 26 June 22 - June 28 2020'!E:E,'Week 26 June 22 - June 28 2020'!D:D,'Week 27 June 29 - July 5 2020'!D:D,'Week 26 June 22 - June 28 2020'!C:C,'Week 27 June 29 - July 5 2020'!C:C),"New")</f>
        <v>1628</v>
      </c>
      <c r="J24" s="28">
        <f t="shared" ref="J24:J29" si="1">IFERROR((E24-I24)/I24,"New")</f>
        <v>0.25</v>
      </c>
    </row>
    <row r="25" spans="1:10" x14ac:dyDescent="0.2">
      <c r="A25" s="25">
        <v>24</v>
      </c>
      <c r="B25" s="18">
        <v>24</v>
      </c>
      <c r="C25" s="18" t="s">
        <v>7</v>
      </c>
      <c r="D25" s="86" t="s">
        <v>20</v>
      </c>
      <c r="E25" s="12">
        <v>1830</v>
      </c>
      <c r="F25" s="12">
        <f>SUMIFS('Week 26 June 22 - June 28 2020'!F:F,'Week 26 June 22 - June 28 2020'!D:D,'Week 27 June 29 - July 5 2020'!D:D,'Week 26 June 22 - June 28 2020'!C:C,'Week 27 June 29 - July 5 2020'!C:C)+Table361191013555712141752596163656769717375777982[[#This Row],[Week Sales]]</f>
        <v>450299</v>
      </c>
      <c r="G25" s="18" t="str">
        <f>(VLOOKUP(D:D,'Week 26 June 22 - June 28 2020'!D:G,4,FALSE))</f>
        <v>Bandai Namco</v>
      </c>
      <c r="H25" s="67">
        <f>(VLOOKUP(D:D,'Week 26 June 22 - June 28 2020'!D:H,5,FALSE))</f>
        <v>43671</v>
      </c>
      <c r="I25" s="12">
        <f>_xlfn.IFNA(SUMIFS('Week 26 June 22 - June 28 2020'!E:E,'Week 26 June 22 - June 28 2020'!D:D,'Week 27 June 29 - July 5 2020'!D:D,'Week 26 June 22 - June 28 2020'!C:C,'Week 27 June 29 - July 5 2020'!C:C),"New")</f>
        <v>1933</v>
      </c>
      <c r="J25" s="28">
        <f t="shared" si="1"/>
        <v>-5.3285049146404549E-2</v>
      </c>
    </row>
    <row r="26" spans="1:10" x14ac:dyDescent="0.2">
      <c r="A26" s="25">
        <v>25</v>
      </c>
      <c r="B26" s="18">
        <v>23</v>
      </c>
      <c r="C26" s="18" t="s">
        <v>8</v>
      </c>
      <c r="D26" s="86" t="s">
        <v>187</v>
      </c>
      <c r="E26" s="12">
        <v>1825</v>
      </c>
      <c r="F26" s="12">
        <f>SUMIFS('Week 26 June 22 - June 28 2020'!F:F,'Week 26 June 22 - June 28 2020'!D:D,'Week 27 June 29 - July 5 2020'!D:D,'Week 26 June 22 - June 28 2020'!C:C,'Week 27 June 29 - July 5 2020'!C:C)+Table361191013555712141752596163656769717375777982[[#This Row],[Week Sales]]</f>
        <v>68505</v>
      </c>
      <c r="G26" s="18" t="str">
        <f>(VLOOKUP(D:D,'Week 26 June 22 - June 28 2020'!D:G,4,FALSE))</f>
        <v>Rockstar Games</v>
      </c>
      <c r="H26" s="67">
        <f>(VLOOKUP(D:D,'Week 26 June 22 - June 28 2020'!D:H,5,FALSE))</f>
        <v>43440</v>
      </c>
      <c r="I26" s="12">
        <f>_xlfn.IFNA(SUMIFS('Week 26 June 22 - June 28 2020'!E:E,'Week 26 June 22 - June 28 2020'!D:D,'Week 27 June 29 - July 5 2020'!D:D,'Week 26 June 22 - June 28 2020'!C:C,'Week 27 June 29 - July 5 2020'!C:C),"New")</f>
        <v>1948</v>
      </c>
      <c r="J26" s="28">
        <f t="shared" si="1"/>
        <v>-6.3141683778234092E-2</v>
      </c>
    </row>
    <row r="27" spans="1:10" x14ac:dyDescent="0.2">
      <c r="A27" s="25">
        <v>26</v>
      </c>
      <c r="B27" s="18">
        <v>10</v>
      </c>
      <c r="C27" s="18" t="s">
        <v>7</v>
      </c>
      <c r="D27" s="47" t="s">
        <v>270</v>
      </c>
      <c r="E27" s="12">
        <v>1705</v>
      </c>
      <c r="F27" s="12">
        <f>SUMIFS('Week 26 June 22 - June 28 2020'!F:F,'Week 26 June 22 - June 28 2020'!D:D,'Week 27 June 29 - July 5 2020'!D:D,'Week 26 June 22 - June 28 2020'!C:C,'Week 27 June 29 - July 5 2020'!C:C)+Table361191013555712141752596163656769717375777982[[#This Row],[Week Sales]]</f>
        <v>8366</v>
      </c>
      <c r="G27" s="18" t="str">
        <f>(VLOOKUP(D:D,'Week 26 June 22 - June 28 2020'!D:G,4,FALSE))</f>
        <v>Bandai Namco</v>
      </c>
      <c r="H27" s="67">
        <f>(VLOOKUP(D:D,'Week 26 June 22 - June 28 2020'!D:H,5,FALSE))</f>
        <v>44007</v>
      </c>
      <c r="I27" s="12">
        <f>_xlfn.IFNA(SUMIFS('Week 26 June 22 - June 28 2020'!E:E,'Week 26 June 22 - June 28 2020'!D:D,'Week 27 June 29 - July 5 2020'!D:D,'Week 26 June 22 - June 28 2020'!C:C,'Week 27 June 29 - July 5 2020'!C:C),"New")</f>
        <v>6661</v>
      </c>
      <c r="J27" s="28">
        <f t="shared" si="1"/>
        <v>-0.74403242756342891</v>
      </c>
    </row>
    <row r="28" spans="1:10" x14ac:dyDescent="0.2">
      <c r="A28" s="25">
        <v>27</v>
      </c>
      <c r="B28" s="18">
        <v>26</v>
      </c>
      <c r="C28" s="18" t="s">
        <v>8</v>
      </c>
      <c r="D28" s="47" t="s">
        <v>234</v>
      </c>
      <c r="E28" s="12">
        <v>1656</v>
      </c>
      <c r="F28" s="12">
        <f>SUMIFS('Week 26 June 22 - June 28 2020'!F:F,'Week 26 June 22 - June 28 2020'!D:D,'Week 27 June 29 - July 5 2020'!D:D,'Week 26 June 22 - June 28 2020'!C:C,'Week 27 June 29 - July 5 2020'!C:C)+Table361191013555712141752596163656769717375777982[[#This Row],[Week Sales]]</f>
        <v>932821</v>
      </c>
      <c r="G28" s="18" t="str">
        <f>(VLOOKUP(D:D,'Week 26 June 22 - June 28 2020'!D:G,4,FALSE))</f>
        <v>Square Enix</v>
      </c>
      <c r="H28" s="67">
        <f>(VLOOKUP(D:D,'Week 26 June 22 - June 28 2020'!D:H,5,FALSE))</f>
        <v>43931</v>
      </c>
      <c r="I28" s="12">
        <f>_xlfn.IFNA(SUMIFS('Week 26 June 22 - June 28 2020'!E:E,'Week 26 June 22 - June 28 2020'!D:D,'Week 27 June 29 - July 5 2020'!D:D,'Week 26 June 22 - June 28 2020'!C:C,'Week 27 June 29 - July 5 2020'!C:C),"New")</f>
        <v>1926</v>
      </c>
      <c r="J28" s="28">
        <f t="shared" si="1"/>
        <v>-0.14018691588785046</v>
      </c>
    </row>
    <row r="29" spans="1:10" x14ac:dyDescent="0.2">
      <c r="A29" s="25">
        <v>28</v>
      </c>
      <c r="B29" s="18">
        <v>29</v>
      </c>
      <c r="C29" s="18" t="s">
        <v>7</v>
      </c>
      <c r="D29" s="47" t="s">
        <v>25</v>
      </c>
      <c r="E29" s="12">
        <v>1543</v>
      </c>
      <c r="F29" s="12">
        <f>SUMIFS('Week 26 June 22 - June 28 2020'!F:F,'Week 26 June 22 - June 28 2020'!D:D,'Week 27 June 29 - July 5 2020'!D:D,'Week 26 June 22 - June 28 2020'!C:C,'Week 27 June 29 - July 5 2020'!C:C)+Table361191013555712141752596163656769717375777982[[#This Row],[Week Sales]]</f>
        <v>487592</v>
      </c>
      <c r="G29" s="18" t="str">
        <f>(VLOOKUP(D:D,'Week 26 June 22 - June 28 2020'!D:G,4,FALSE))</f>
        <v>Bandai Namco</v>
      </c>
      <c r="H29" s="67">
        <f>(VLOOKUP(D:D,'Week 26 June 22 - June 28 2020'!D:H,5,FALSE))</f>
        <v>43300</v>
      </c>
      <c r="I29" s="12">
        <f>_xlfn.IFNA(SUMIFS('Week 26 June 22 - June 28 2020'!E:E,'Week 26 June 22 - June 28 2020'!D:D,'Week 27 June 29 - July 5 2020'!D:D,'Week 26 June 22 - June 28 2020'!C:C,'Week 27 June 29 - July 5 2020'!C:C),"New")</f>
        <v>1487</v>
      </c>
      <c r="J29" s="28">
        <f t="shared" si="1"/>
        <v>3.765971755211836E-2</v>
      </c>
    </row>
    <row r="30" spans="1:10" x14ac:dyDescent="0.2">
      <c r="A30" s="35">
        <v>29</v>
      </c>
      <c r="B30" s="31" t="s">
        <v>53</v>
      </c>
      <c r="C30" s="31" t="s">
        <v>7</v>
      </c>
      <c r="D30" s="52" t="s">
        <v>228</v>
      </c>
      <c r="E30" s="33">
        <v>1527</v>
      </c>
      <c r="F30" s="33">
        <v>117712</v>
      </c>
      <c r="G30" s="31" t="str">
        <f>(VLOOKUP(D:D,'Week 24 June 8 - June 14 2020'!D:G,4,FALSE))</f>
        <v>Imagineer</v>
      </c>
      <c r="H30" s="93">
        <f>(VLOOKUP(D:D,'Week 24 June 8 - June 14 2020'!D:H,5,FALSE))</f>
        <v>43454</v>
      </c>
      <c r="I30" s="33"/>
      <c r="J30" s="97"/>
    </row>
    <row r="31" spans="1:10" x14ac:dyDescent="0.2">
      <c r="A31" s="35">
        <v>30</v>
      </c>
      <c r="B31" s="31" t="s">
        <v>53</v>
      </c>
      <c r="C31" s="31" t="s">
        <v>8</v>
      </c>
      <c r="D31" s="113" t="s">
        <v>99</v>
      </c>
      <c r="E31" s="33">
        <v>1485</v>
      </c>
      <c r="F31" s="33">
        <v>480784</v>
      </c>
      <c r="G31" s="31" t="s">
        <v>121</v>
      </c>
      <c r="H31" s="93">
        <v>43714</v>
      </c>
      <c r="I31" s="33"/>
      <c r="J31" s="97"/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202962</v>
      </c>
      <c r="F33" s="2"/>
      <c r="I33" s="2"/>
      <c r="J33" s="19"/>
    </row>
    <row r="34" spans="1:10" x14ac:dyDescent="0.2">
      <c r="A34" s="3"/>
      <c r="B34" s="3"/>
      <c r="D34" s="100" t="s">
        <v>178</v>
      </c>
      <c r="E34" s="101">
        <f>SUM('Week 26 June 22 - June 28 2020'!E34,'Week 27 June 29 - July 5 2020'!E33)</f>
        <v>13152027</v>
      </c>
      <c r="F34" s="2"/>
      <c r="I34" s="2"/>
      <c r="J34" s="19"/>
    </row>
    <row r="35" spans="1:10" x14ac:dyDescent="0.2">
      <c r="A35" s="3"/>
      <c r="B35" s="3"/>
      <c r="D35" s="2" t="s">
        <v>60</v>
      </c>
      <c r="E35" s="2">
        <f>AVERAGE(E2:E31)</f>
        <v>6765.4</v>
      </c>
      <c r="F35" s="2"/>
      <c r="I35" s="2"/>
      <c r="J35" s="19"/>
    </row>
    <row r="36" spans="1:10" x14ac:dyDescent="0.2">
      <c r="A36" s="3"/>
      <c r="B36" s="3"/>
      <c r="D36" s="9" t="s">
        <v>78</v>
      </c>
      <c r="E36" s="10">
        <f>COUNTIF(B:B,"New")</f>
        <v>2</v>
      </c>
      <c r="F36" s="2"/>
      <c r="I36" s="2"/>
      <c r="J36" s="19"/>
    </row>
    <row r="37" spans="1:10" x14ac:dyDescent="0.2">
      <c r="A37" s="3"/>
      <c r="B37" s="3"/>
      <c r="E37" s="2"/>
      <c r="F37" s="2"/>
      <c r="I37" s="2"/>
      <c r="J37" s="19"/>
    </row>
    <row r="38" spans="1:10" x14ac:dyDescent="0.2">
      <c r="A38" s="3"/>
      <c r="B38" s="3"/>
      <c r="D38" t="s">
        <v>66</v>
      </c>
      <c r="E38" s="2"/>
      <c r="F38" s="2"/>
      <c r="I38" s="2"/>
      <c r="J38" s="19"/>
    </row>
    <row r="39" spans="1:10" x14ac:dyDescent="0.2">
      <c r="D39" s="8" t="s">
        <v>67</v>
      </c>
    </row>
    <row r="40" spans="1:10" x14ac:dyDescent="0.2">
      <c r="D40" s="8" t="s">
        <v>65</v>
      </c>
    </row>
    <row r="41" spans="1:10" x14ac:dyDescent="0.2">
      <c r="D41" s="8" t="s">
        <v>71</v>
      </c>
    </row>
  </sheetData>
  <hyperlinks>
    <hyperlink ref="D41" r:id="rId1" xr:uid="{E08C2C6E-AA9C-A140-8A30-A218881F1E3B}"/>
    <hyperlink ref="D40" r:id="rId2" xr:uid="{F1A8CF6C-833C-604D-A40A-BF678460347B}"/>
    <hyperlink ref="D39" r:id="rId3" xr:uid="{7717F543-1309-3943-ACBE-115718FFC1AB}"/>
  </hyperlinks>
  <pageMargins left="0.7" right="0.7" top="0.75" bottom="0.75" header="0.3" footer="0.3"/>
  <pageSetup paperSize="9" orientation="portrait" horizontalDpi="0" verticalDpi="0"/>
  <ignoredErrors>
    <ignoredError sqref="F1:J31" calculatedColumn="1"/>
  </ignoredErrors>
  <tableParts count="1">
    <tablePart r:id="rId4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284A9-CF4A-D748-A4B9-D03339D0128F}">
  <dimension ref="A1:J41"/>
  <sheetViews>
    <sheetView workbookViewId="0">
      <selection activeCell="D11" sqref="D2:E11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9.8320312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0" x14ac:dyDescent="0.2">
      <c r="A2" s="13">
        <v>1</v>
      </c>
      <c r="B2" s="9" t="s">
        <v>36</v>
      </c>
      <c r="C2" s="9" t="s">
        <v>7</v>
      </c>
      <c r="D2" s="9" t="s">
        <v>14</v>
      </c>
      <c r="E2" s="10">
        <v>94876</v>
      </c>
      <c r="F2" s="10">
        <f>SUMIFS('Week 27 June 29 - July 5 2020'!F:F,'Week 27 June 29 - July 5 2020'!D:D,'Week 28 July 6 - July 12 2020'!D:D,'Week 27 June 29 - July 5 2020'!C:C,'Week 28 July 6 - July 12 2020'!C:C)+Table36119101355571214175259616365676971737577798284[[#This Row],[Week Sales]]</f>
        <v>94876</v>
      </c>
      <c r="G2" s="9" t="s">
        <v>32</v>
      </c>
      <c r="H2" s="14">
        <v>44021</v>
      </c>
      <c r="I2" s="10" t="s">
        <v>36</v>
      </c>
      <c r="J2" s="92" t="str">
        <f>IFERROR((E2-I2)/I2,"New")</f>
        <v>New</v>
      </c>
    </row>
    <row r="3" spans="1:10" x14ac:dyDescent="0.2">
      <c r="A3" s="13">
        <v>2</v>
      </c>
      <c r="B3" s="9" t="s">
        <v>36</v>
      </c>
      <c r="C3" s="9" t="s">
        <v>8</v>
      </c>
      <c r="D3" s="9" t="s">
        <v>14</v>
      </c>
      <c r="E3" s="10">
        <v>91547</v>
      </c>
      <c r="F3" s="10">
        <f>SUMIFS('Week 27 June 29 - July 5 2020'!F:F,'Week 27 June 29 - July 5 2020'!D:D,'Week 28 July 6 - July 12 2020'!D:D,'Week 27 June 29 - July 5 2020'!C:C,'Week 28 July 6 - July 12 2020'!C:C)+Table36119101355571214175259616365676971737577798284[[#This Row],[Week Sales]]</f>
        <v>91547</v>
      </c>
      <c r="G3" s="9" t="s">
        <v>32</v>
      </c>
      <c r="H3" s="14">
        <v>44021</v>
      </c>
      <c r="I3" s="10" t="s">
        <v>36</v>
      </c>
      <c r="J3" s="92" t="str">
        <f t="shared" ref="J3:J31" si="0">IFERROR((E3-I3)/I3,"New")</f>
        <v>New</v>
      </c>
    </row>
    <row r="4" spans="1:10" x14ac:dyDescent="0.2">
      <c r="A4" s="13">
        <v>3</v>
      </c>
      <c r="B4" s="9" t="s">
        <v>36</v>
      </c>
      <c r="C4" s="9" t="s">
        <v>8</v>
      </c>
      <c r="D4" s="9" t="s">
        <v>276</v>
      </c>
      <c r="E4" s="10">
        <v>73331</v>
      </c>
      <c r="F4" s="10">
        <f>SUMIFS('Week 27 June 29 - July 5 2020'!F:F,'Week 27 June 29 - July 5 2020'!D:D,'Week 28 July 6 - July 12 2020'!D:D,'Week 27 June 29 - July 5 2020'!C:C,'Week 28 July 6 - July 12 2020'!C:C)+Table36119101355571214175259616365676971737577798284[[#This Row],[Week Sales]]</f>
        <v>73331</v>
      </c>
      <c r="G4" s="9" t="s">
        <v>34</v>
      </c>
      <c r="H4" s="14">
        <v>44021</v>
      </c>
      <c r="I4" s="10" t="s">
        <v>36</v>
      </c>
      <c r="J4" s="92" t="str">
        <f t="shared" si="0"/>
        <v>New</v>
      </c>
    </row>
    <row r="5" spans="1:10" x14ac:dyDescent="0.2">
      <c r="A5" s="25">
        <v>4</v>
      </c>
      <c r="B5">
        <v>1</v>
      </c>
      <c r="C5" t="s">
        <v>7</v>
      </c>
      <c r="D5" s="86" t="s">
        <v>46</v>
      </c>
      <c r="E5" s="12">
        <v>56160</v>
      </c>
      <c r="F5" s="12">
        <f>SUMIFS('Week 27 June 29 - July 5 2020'!F:F,'Week 27 June 29 - July 5 2020'!D:D,'Week 28 July 6 - July 12 2020'!D:D,'Week 27 June 29 - July 5 2020'!C:C,'Week 28 July 6 - July 12 2020'!C:C)+Table36119101355571214175259616365676971737577798284[[#This Row],[Week Sales]]</f>
        <v>5114386</v>
      </c>
      <c r="G5" s="18" t="str">
        <f>(VLOOKUP(D:D,'Week 27 June 29 - July 5 2020'!D:G,4,FALSE))</f>
        <v>Nintendo</v>
      </c>
      <c r="H5" s="67">
        <f>(VLOOKUP(D:D,'Week 27 June 29 - July 5 2020'!D:H,5,FALSE))</f>
        <v>43910</v>
      </c>
      <c r="I5" s="12">
        <f>_xlfn.IFNA(SUMIFS('Week 27 June 29 - July 5 2020'!E:E,'Week 27 June 29 - July 5 2020'!D:D,'Week 28 July 6 - July 12 2020'!D:D,'Week 27 June 29 - July 5 2020'!C:C,'Week 28 July 6 - July 12 2020'!C:C),"New")</f>
        <v>53506</v>
      </c>
      <c r="J5" s="28">
        <f t="shared" si="0"/>
        <v>4.9601913804059358E-2</v>
      </c>
    </row>
    <row r="6" spans="1:10" x14ac:dyDescent="0.2">
      <c r="A6" s="25">
        <v>5</v>
      </c>
      <c r="B6">
        <v>3</v>
      </c>
      <c r="C6" t="s">
        <v>7</v>
      </c>
      <c r="D6" s="47" t="s">
        <v>45</v>
      </c>
      <c r="E6" s="12">
        <v>44261</v>
      </c>
      <c r="F6" s="12">
        <f>SUMIFS('Week 27 June 29 - July 5 2020'!F:F,'Week 27 June 29 - July 5 2020'!D:D,'Week 28 July 6 - July 12 2020'!D:D,'Week 27 June 29 - July 5 2020'!C:C,'Week 28 July 6 - July 12 2020'!C:C)+Table36119101355571214175259616365676971737577798284[[#This Row],[Week Sales]]</f>
        <v>1137060</v>
      </c>
      <c r="G6" s="18" t="str">
        <f>(VLOOKUP(D:D,'Week 27 June 29 - July 5 2020'!D:G,4,FALSE))</f>
        <v>Nintendo</v>
      </c>
      <c r="H6" s="67">
        <f>(VLOOKUP(D:D,'Week 27 June 29 - July 5 2020'!D:H,5,FALSE))</f>
        <v>43756</v>
      </c>
      <c r="I6" s="12">
        <f>_xlfn.IFNA(SUMIFS('Week 27 June 29 - July 5 2020'!E:E,'Week 27 June 29 - July 5 2020'!D:D,'Week 28 July 6 - July 12 2020'!D:D,'Week 27 June 29 - July 5 2020'!C:C,'Week 28 July 6 - July 12 2020'!C:C),"New")</f>
        <v>19285</v>
      </c>
      <c r="J6" s="28">
        <f t="shared" si="0"/>
        <v>1.2950998185117968</v>
      </c>
    </row>
    <row r="7" spans="1:10" x14ac:dyDescent="0.2">
      <c r="A7" s="25">
        <v>6</v>
      </c>
      <c r="B7">
        <v>2</v>
      </c>
      <c r="C7" t="s">
        <v>7</v>
      </c>
      <c r="D7" s="47" t="s">
        <v>50</v>
      </c>
      <c r="E7" s="12">
        <v>20094</v>
      </c>
      <c r="F7" s="12">
        <f>SUMIFS('Week 27 June 29 - July 5 2020'!F:F,'Week 27 June 29 - July 5 2020'!D:D,'Week 28 July 6 - July 12 2020'!D:D,'Week 27 June 29 - July 5 2020'!C:C,'Week 28 July 6 - July 12 2020'!C:C)+Table36119101355571214175259616365676971737577798284[[#This Row],[Week Sales]]</f>
        <v>215305</v>
      </c>
      <c r="G7" s="18" t="str">
        <f>(VLOOKUP(D:D,'Week 27 June 29 - July 5 2020'!D:G,4,FALSE))</f>
        <v>Nintendo</v>
      </c>
      <c r="H7" s="67">
        <f>(VLOOKUP(D:D,'Week 27 June 29 - July 5 2020'!D:H,5,FALSE))</f>
        <v>43987</v>
      </c>
      <c r="I7" s="12">
        <f>_xlfn.IFNA(SUMIFS('Week 27 June 29 - July 5 2020'!E:E,'Week 27 June 29 - July 5 2020'!D:D,'Week 28 July 6 - July 12 2020'!D:D,'Week 27 June 29 - July 5 2020'!C:C,'Week 28 July 6 - July 12 2020'!C:C),"New")</f>
        <v>23591</v>
      </c>
      <c r="J7" s="28">
        <f t="shared" si="0"/>
        <v>-0.14823449620618032</v>
      </c>
    </row>
    <row r="8" spans="1:10" x14ac:dyDescent="0.2">
      <c r="A8" s="25">
        <v>7</v>
      </c>
      <c r="B8">
        <v>4</v>
      </c>
      <c r="C8" t="s">
        <v>7</v>
      </c>
      <c r="D8" s="47" t="s">
        <v>49</v>
      </c>
      <c r="E8" s="12">
        <v>10878</v>
      </c>
      <c r="F8" s="12">
        <f>SUMIFS('Week 27 June 29 - July 5 2020'!F:F,'Week 27 June 29 - July 5 2020'!D:D,'Week 28 July 6 - July 12 2020'!D:D,'Week 27 June 29 - July 5 2020'!C:C,'Week 28 July 6 - July 12 2020'!C:C)+Table36119101355571214175259616365676971737577798284[[#This Row],[Week Sales]]</f>
        <v>3025958</v>
      </c>
      <c r="G8" s="18" t="str">
        <f>(VLOOKUP(D:D,'Week 27 June 29 - July 5 2020'!D:G,4,FALSE))</f>
        <v>Nintendo</v>
      </c>
      <c r="H8" s="67">
        <f>(VLOOKUP(D:D,'Week 27 June 29 - July 5 2020'!D:H,5,FALSE))</f>
        <v>42853</v>
      </c>
      <c r="I8" s="12">
        <f>_xlfn.IFNA(SUMIFS('Week 27 June 29 - July 5 2020'!E:E,'Week 27 June 29 - July 5 2020'!D:D,'Week 28 July 6 - July 12 2020'!D:D,'Week 27 June 29 - July 5 2020'!C:C,'Week 28 July 6 - July 12 2020'!C:C),"New")</f>
        <v>10037</v>
      </c>
      <c r="J8" s="28">
        <f t="shared" si="0"/>
        <v>8.3789977084786291E-2</v>
      </c>
    </row>
    <row r="9" spans="1:10" x14ac:dyDescent="0.2">
      <c r="A9" s="25">
        <v>8</v>
      </c>
      <c r="B9">
        <v>7</v>
      </c>
      <c r="C9" t="s">
        <v>7</v>
      </c>
      <c r="D9" s="47" t="s">
        <v>62</v>
      </c>
      <c r="E9" s="12">
        <v>7857</v>
      </c>
      <c r="F9" s="12">
        <f>SUMIFS('Week 27 June 29 - July 5 2020'!F:F,'Week 27 June 29 - July 5 2020'!D:D,'Week 28 July 6 - July 12 2020'!D:D,'Week 27 June 29 - July 5 2020'!C:C,'Week 28 July 6 - July 12 2020'!C:C)+Table36119101355571214175259616365676971737577798284[[#This Row],[Week Sales]]</f>
        <v>3654961</v>
      </c>
      <c r="G9" s="18" t="str">
        <f>(VLOOKUP(D:D,'Week 27 June 29 - July 5 2020'!D:G,4,FALSE))</f>
        <v>The Pokemon Company</v>
      </c>
      <c r="H9" s="67">
        <f>(VLOOKUP(D:D,'Week 27 June 29 - July 5 2020'!D:H,5,FALSE))</f>
        <v>43784</v>
      </c>
      <c r="I9" s="12">
        <f>_xlfn.IFNA(SUMIFS('Week 27 June 29 - July 5 2020'!E:E,'Week 27 June 29 - July 5 2020'!D:D,'Week 28 July 6 - July 12 2020'!D:D,'Week 27 June 29 - July 5 2020'!C:C,'Week 28 July 6 - July 12 2020'!C:C),"New")</f>
        <v>8111</v>
      </c>
      <c r="J9" s="28">
        <f t="shared" si="0"/>
        <v>-3.1315497472568114E-2</v>
      </c>
    </row>
    <row r="10" spans="1:10" x14ac:dyDescent="0.2">
      <c r="A10" s="5">
        <v>9</v>
      </c>
      <c r="B10">
        <v>6</v>
      </c>
      <c r="C10" t="s">
        <v>7</v>
      </c>
      <c r="D10" s="47" t="s">
        <v>10</v>
      </c>
      <c r="E10" s="2">
        <v>7450</v>
      </c>
      <c r="F10" s="12">
        <f>SUMIFS('Week 27 June 29 - July 5 2020'!F:F,'Week 27 June 29 - July 5 2020'!D:D,'Week 28 July 6 - July 12 2020'!D:D,'Week 27 June 29 - July 5 2020'!C:C,'Week 28 July 6 - July 12 2020'!C:C)+Table36119101355571214175259616365676971737577798284[[#This Row],[Week Sales]]</f>
        <v>3486199</v>
      </c>
      <c r="G10" s="18" t="str">
        <f>(VLOOKUP(D:D,'Week 27 June 29 - July 5 2020'!D:G,4,FALSE))</f>
        <v>Nintendo</v>
      </c>
      <c r="H10" s="67">
        <f>(VLOOKUP(D:D,'Week 27 June 29 - July 5 2020'!D:H,5,FALSE))</f>
        <v>42937</v>
      </c>
      <c r="I10" s="12">
        <f>_xlfn.IFNA(SUMIFS('Week 27 June 29 - July 5 2020'!E:E,'Week 27 June 29 - July 5 2020'!D:D,'Week 28 July 6 - July 12 2020'!D:D,'Week 27 June 29 - July 5 2020'!C:C,'Week 28 July 6 - July 12 2020'!C:C),"New")</f>
        <v>8114</v>
      </c>
      <c r="J10" s="28">
        <f t="shared" si="0"/>
        <v>-8.1833867389696821E-2</v>
      </c>
    </row>
    <row r="11" spans="1:10" x14ac:dyDescent="0.2">
      <c r="A11" s="5">
        <v>10</v>
      </c>
      <c r="B11">
        <v>8</v>
      </c>
      <c r="C11" t="s">
        <v>7</v>
      </c>
      <c r="D11" s="47" t="s">
        <v>52</v>
      </c>
      <c r="E11" s="12">
        <v>6900</v>
      </c>
      <c r="F11" s="12">
        <f>SUMIFS('Week 27 June 29 - July 5 2020'!F:F,'Week 27 June 29 - July 5 2020'!D:D,'Week 28 July 6 - July 12 2020'!D:D,'Week 27 June 29 - July 5 2020'!C:C,'Week 28 July 6 - July 12 2020'!C:C)+Table36119101355571214175259616365676971737577798284[[#This Row],[Week Sales]]</f>
        <v>3751780</v>
      </c>
      <c r="G11" s="18" t="str">
        <f>(VLOOKUP(D:D,'Week 27 June 29 - July 5 2020'!D:G,4,FALSE))</f>
        <v>Nintendo</v>
      </c>
      <c r="H11" s="67">
        <f>(VLOOKUP(D:D,'Week 27 June 29 - July 5 2020'!D:H,5,FALSE))</f>
        <v>43441</v>
      </c>
      <c r="I11" s="12">
        <f>_xlfn.IFNA(SUMIFS('Week 27 June 29 - July 5 2020'!E:E,'Week 27 June 29 - July 5 2020'!D:D,'Week 28 July 6 - July 12 2020'!D:D,'Week 27 June 29 - July 5 2020'!C:C,'Week 28 July 6 - July 12 2020'!C:C),"New")</f>
        <v>7111</v>
      </c>
      <c r="J11" s="28">
        <f t="shared" si="0"/>
        <v>-2.9672338630291097E-2</v>
      </c>
    </row>
    <row r="12" spans="1:10" x14ac:dyDescent="0.2">
      <c r="A12" s="5">
        <v>11</v>
      </c>
      <c r="B12">
        <v>10</v>
      </c>
      <c r="C12" t="s">
        <v>7</v>
      </c>
      <c r="D12" s="47" t="s">
        <v>12</v>
      </c>
      <c r="E12" s="12">
        <v>5967</v>
      </c>
      <c r="F12" s="12">
        <f>SUMIFS('Week 27 June 29 - July 5 2020'!F:F,'Week 27 June 29 - July 5 2020'!D:D,'Week 28 July 6 - July 12 2020'!D:D,'Week 27 June 29 - July 5 2020'!C:C,'Week 28 July 6 - July 12 2020'!C:C)+Table36119101355571214175259616365676971737577798284[[#This Row],[Week Sales]]</f>
        <v>1438672</v>
      </c>
      <c r="G12" s="18" t="str">
        <f>(VLOOKUP(D:D,'Week 27 June 29 - July 5 2020'!D:G,4,FALSE))</f>
        <v>Microsoft</v>
      </c>
      <c r="H12" s="67">
        <f>(VLOOKUP(D:D,'Week 27 June 29 - July 5 2020'!D:H,5,FALSE))</f>
        <v>43272</v>
      </c>
      <c r="I12" s="12">
        <f>_xlfn.IFNA(SUMIFS('Week 27 June 29 - July 5 2020'!E:E,'Week 27 June 29 - July 5 2020'!D:D,'Week 28 July 6 - July 12 2020'!D:D,'Week 27 June 29 - July 5 2020'!C:C,'Week 28 July 6 - July 12 2020'!C:C),"New")</f>
        <v>6104</v>
      </c>
      <c r="J12" s="28">
        <f t="shared" si="0"/>
        <v>-2.2444298820445609E-2</v>
      </c>
    </row>
    <row r="13" spans="1:10" x14ac:dyDescent="0.2">
      <c r="A13" s="5">
        <v>12</v>
      </c>
      <c r="B13">
        <v>11</v>
      </c>
      <c r="C13" t="s">
        <v>7</v>
      </c>
      <c r="D13" s="47" t="s">
        <v>13</v>
      </c>
      <c r="E13" s="12">
        <v>5331</v>
      </c>
      <c r="F13" s="12">
        <f>SUMIFS('Week 27 June 29 - July 5 2020'!F:F,'Week 27 June 29 - July 5 2020'!D:D,'Week 28 July 6 - July 12 2020'!D:D,'Week 27 June 29 - July 5 2020'!C:C,'Week 28 July 6 - July 12 2020'!C:C)+Table36119101355571214175259616365676971737577798284[[#This Row],[Week Sales]]</f>
        <v>1486459</v>
      </c>
      <c r="G13" s="18" t="str">
        <f>(VLOOKUP(D:D,'Week 27 June 29 - July 5 2020'!D:G,4,FALSE))</f>
        <v>Nintendo</v>
      </c>
      <c r="H13" s="67">
        <f>(VLOOKUP(D:D,'Week 27 June 29 - July 5 2020'!D:H,5,FALSE))</f>
        <v>43378</v>
      </c>
      <c r="I13" s="12">
        <f>_xlfn.IFNA(SUMIFS('Week 27 June 29 - July 5 2020'!E:E,'Week 27 June 29 - July 5 2020'!D:D,'Week 28 July 6 - July 12 2020'!D:D,'Week 27 June 29 - July 5 2020'!C:C,'Week 28 July 6 - July 12 2020'!C:C),"New")</f>
        <v>4903</v>
      </c>
      <c r="J13" s="28">
        <f t="shared" si="0"/>
        <v>8.729349377931879E-2</v>
      </c>
    </row>
    <row r="14" spans="1:10" x14ac:dyDescent="0.2">
      <c r="A14" s="5">
        <v>13</v>
      </c>
      <c r="B14">
        <v>5</v>
      </c>
      <c r="C14" t="s">
        <v>8</v>
      </c>
      <c r="D14" s="47" t="s">
        <v>262</v>
      </c>
      <c r="E14" s="12">
        <v>4223</v>
      </c>
      <c r="F14" s="12">
        <f>SUMIFS('Week 27 June 29 - July 5 2020'!F:F,'Week 27 June 29 - July 5 2020'!D:D,'Week 28 July 6 - July 12 2020'!D:D,'Week 27 June 29 - July 5 2020'!C:C,'Week 28 July 6 - July 12 2020'!C:C)+Table36119101355571214175259616365676971737577798284[[#This Row],[Week Sales]]</f>
        <v>218191</v>
      </c>
      <c r="G14" s="18" t="str">
        <f>(VLOOKUP(D:D,'Week 27 June 29 - July 5 2020'!D:G,4,FALSE))</f>
        <v>Sony</v>
      </c>
      <c r="H14" s="67">
        <f>(VLOOKUP(D:D,'Week 27 June 29 - July 5 2020'!D:H,5,FALSE))</f>
        <v>44001</v>
      </c>
      <c r="I14" s="12">
        <f>_xlfn.IFNA(SUMIFS('Week 27 June 29 - July 5 2020'!E:E,'Week 27 June 29 - July 5 2020'!D:D,'Week 28 July 6 - July 12 2020'!D:D,'Week 27 June 29 - July 5 2020'!C:C,'Week 28 July 6 - July 12 2020'!C:C),"New")</f>
        <v>9279</v>
      </c>
      <c r="J14" s="28">
        <f t="shared" si="0"/>
        <v>-0.54488630240327618</v>
      </c>
    </row>
    <row r="15" spans="1:10" x14ac:dyDescent="0.2">
      <c r="A15" s="5">
        <v>14</v>
      </c>
      <c r="B15">
        <v>15</v>
      </c>
      <c r="C15" t="s">
        <v>7</v>
      </c>
      <c r="D15" s="47" t="s">
        <v>39</v>
      </c>
      <c r="E15" s="2">
        <v>3124</v>
      </c>
      <c r="F15" s="12">
        <f>SUMIFS('Week 27 June 29 - July 5 2020'!F:F,'Week 27 June 29 - July 5 2020'!D:D,'Week 28 July 6 - July 12 2020'!D:D,'Week 27 June 29 - July 5 2020'!C:C,'Week 28 July 6 - July 12 2020'!C:C)+Table36119101355571214175259616365676971737577798284[[#This Row],[Week Sales]]</f>
        <v>1609787</v>
      </c>
      <c r="G15" s="18" t="str">
        <f>(VLOOKUP(D:D,'Week 27 June 29 - July 5 2020'!D:G,4,FALSE))</f>
        <v>Nintendo</v>
      </c>
      <c r="H15" s="67">
        <f>(VLOOKUP(D:D,'Week 27 June 29 - July 5 2020'!D:H,5,FALSE))</f>
        <v>42797</v>
      </c>
      <c r="I15" s="12">
        <f>_xlfn.IFNA(SUMIFS('Week 27 June 29 - July 5 2020'!E:E,'Week 27 June 29 - July 5 2020'!D:D,'Week 28 July 6 - July 12 2020'!D:D,'Week 27 June 29 - July 5 2020'!C:C,'Week 28 July 6 - July 12 2020'!C:C),"New")</f>
        <v>3223</v>
      </c>
      <c r="J15" s="28">
        <f t="shared" si="0"/>
        <v>-3.0716723549488054E-2</v>
      </c>
    </row>
    <row r="16" spans="1:10" x14ac:dyDescent="0.2">
      <c r="A16" s="5">
        <v>15</v>
      </c>
      <c r="B16">
        <v>21</v>
      </c>
      <c r="C16" t="s">
        <v>7</v>
      </c>
      <c r="D16" s="47" t="s">
        <v>17</v>
      </c>
      <c r="E16" s="12">
        <v>2863</v>
      </c>
      <c r="F16" s="12">
        <f>SUMIFS('Week 27 June 29 - July 5 2020'!F:F,'Week 27 June 29 - July 5 2020'!D:D,'Week 28 July 6 - July 12 2020'!D:D,'Week 27 June 29 - July 5 2020'!C:C,'Week 28 July 6 - July 12 2020'!C:C)+Table36119101355571214175259616365676971737577798284[[#This Row],[Week Sales]]</f>
        <v>862423</v>
      </c>
      <c r="G16" s="18" t="str">
        <f>(VLOOKUP(D:D,'Week 27 June 29 - July 5 2020'!D:G,4,FALSE))</f>
        <v>Nintendo</v>
      </c>
      <c r="H16" s="67">
        <f>(VLOOKUP(D:D,'Week 27 June 29 - July 5 2020'!D:H,5,FALSE))</f>
        <v>43476</v>
      </c>
      <c r="I16" s="12">
        <f>_xlfn.IFNA(SUMIFS('Week 27 June 29 - July 5 2020'!E:E,'Week 27 June 29 - July 5 2020'!D:D,'Week 28 July 6 - July 12 2020'!D:D,'Week 27 June 29 - July 5 2020'!C:C,'Week 28 July 6 - July 12 2020'!C:C),"New")</f>
        <v>2387</v>
      </c>
      <c r="J16" s="28">
        <f t="shared" si="0"/>
        <v>0.19941348973607037</v>
      </c>
    </row>
    <row r="17" spans="1:10" x14ac:dyDescent="0.2">
      <c r="A17" s="5">
        <v>16</v>
      </c>
      <c r="B17">
        <v>19</v>
      </c>
      <c r="C17" t="s">
        <v>7</v>
      </c>
      <c r="D17" s="47" t="s">
        <v>19</v>
      </c>
      <c r="E17" s="12">
        <v>2860</v>
      </c>
      <c r="F17" s="12">
        <f>SUMIFS('Week 27 June 29 - July 5 2020'!F:F,'Week 27 June 29 - July 5 2020'!D:D,'Week 28 July 6 - July 12 2020'!D:D,'Week 27 June 29 - July 5 2020'!C:C,'Week 28 July 6 - July 12 2020'!C:C)+Table36119101355571214175259616365676971737577798284[[#This Row],[Week Sales]]</f>
        <v>936280</v>
      </c>
      <c r="G17" s="18" t="str">
        <f>(VLOOKUP(D:D,'Week 27 June 29 - July 5 2020'!D:G,4,FALSE))</f>
        <v>Nintendo</v>
      </c>
      <c r="H17" s="67">
        <f>(VLOOKUP(D:D,'Week 27 June 29 - July 5 2020'!D:H,5,FALSE))</f>
        <v>43644</v>
      </c>
      <c r="I17" s="12">
        <f>_xlfn.IFNA(SUMIFS('Week 27 June 29 - July 5 2020'!E:E,'Week 27 June 29 - July 5 2020'!D:D,'Week 28 July 6 - July 12 2020'!D:D,'Week 27 June 29 - July 5 2020'!C:C,'Week 28 July 6 - July 12 2020'!C:C),"New")</f>
        <v>2547</v>
      </c>
      <c r="J17" s="28">
        <f t="shared" si="0"/>
        <v>0.12288967412642324</v>
      </c>
    </row>
    <row r="18" spans="1:10" x14ac:dyDescent="0.2">
      <c r="A18" s="5">
        <v>17</v>
      </c>
      <c r="B18">
        <v>13</v>
      </c>
      <c r="C18" t="s">
        <v>8</v>
      </c>
      <c r="D18" s="47" t="s">
        <v>246</v>
      </c>
      <c r="E18" s="12">
        <v>2733</v>
      </c>
      <c r="F18" s="12">
        <f>SUMIFS('Week 27 June 29 - July 5 2020'!F:F,'Week 27 June 29 - July 5 2020'!D:D,'Week 28 July 6 - July 12 2020'!D:D,'Week 27 June 29 - July 5 2020'!C:C,'Week 28 July 6 - July 12 2020'!C:C)+Table36119101355571214175259616365676971737577798284[[#This Row],[Week Sales]]</f>
        <v>107068</v>
      </c>
      <c r="G18" s="18" t="str">
        <f>(VLOOKUP(D:D,'Week 27 June 29 - July 5 2020'!D:G,4,FALSE))</f>
        <v>Sony</v>
      </c>
      <c r="H18" s="67">
        <f>(VLOOKUP(D:D,'Week 27 June 29 - July 5 2020'!D:H,5,FALSE))</f>
        <v>43307</v>
      </c>
      <c r="I18" s="12">
        <f>_xlfn.IFNA(SUMIFS('Week 27 June 29 - July 5 2020'!E:E,'Week 27 June 29 - July 5 2020'!D:D,'Week 28 July 6 - July 12 2020'!D:D,'Week 27 June 29 - July 5 2020'!C:C,'Week 28 July 6 - July 12 2020'!C:C),"New")</f>
        <v>3735</v>
      </c>
      <c r="J18" s="28">
        <f t="shared" si="0"/>
        <v>-0.26827309236947794</v>
      </c>
    </row>
    <row r="19" spans="1:10" x14ac:dyDescent="0.2">
      <c r="A19" s="5">
        <v>18</v>
      </c>
      <c r="B19">
        <v>18</v>
      </c>
      <c r="C19" t="s">
        <v>7</v>
      </c>
      <c r="D19" s="47" t="s">
        <v>16</v>
      </c>
      <c r="E19" s="12">
        <v>2701</v>
      </c>
      <c r="F19" s="12">
        <f>SUMIFS('Week 27 June 29 - July 5 2020'!F:F,'Week 27 June 29 - July 5 2020'!D:D,'Week 28 July 6 - July 12 2020'!D:D,'Week 27 June 29 - July 5 2020'!C:C,'Week 28 July 6 - July 12 2020'!C:C)+Table36119101355571214175259616365676971737577798284[[#This Row],[Week Sales]]</f>
        <v>259110</v>
      </c>
      <c r="G19" s="18" t="str">
        <f>(VLOOKUP(D:D,'Week 27 June 29 - July 5 2020'!D:G,4,FALSE))</f>
        <v>Nintendo</v>
      </c>
      <c r="H19" s="67">
        <f>(VLOOKUP(D:D,'Week 27 June 29 - July 5 2020'!D:H,5,FALSE))</f>
        <v>43826</v>
      </c>
      <c r="I19" s="12">
        <f>_xlfn.IFNA(SUMIFS('Week 27 June 29 - July 5 2020'!E:E,'Week 27 June 29 - July 5 2020'!D:D,'Week 28 July 6 - July 12 2020'!D:D,'Week 27 June 29 - July 5 2020'!C:C,'Week 28 July 6 - July 12 2020'!C:C),"New")</f>
        <v>2674</v>
      </c>
      <c r="J19" s="28">
        <f t="shared" si="0"/>
        <v>1.0097232610321616E-2</v>
      </c>
    </row>
    <row r="20" spans="1:10" x14ac:dyDescent="0.2">
      <c r="A20" s="5">
        <v>19</v>
      </c>
      <c r="B20">
        <v>17</v>
      </c>
      <c r="C20" t="s">
        <v>7</v>
      </c>
      <c r="D20" s="47" t="s">
        <v>250</v>
      </c>
      <c r="E20" s="12">
        <v>2327</v>
      </c>
      <c r="F20" s="12">
        <f>SUMIFS('Week 27 June 29 - July 5 2020'!F:F,'Week 27 June 29 - July 5 2020'!D:D,'Week 28 July 6 - July 12 2020'!D:D,'Week 27 June 29 - July 5 2020'!C:C,'Week 28 July 6 - July 12 2020'!C:C)+Table36119101355571214175259616365676971737577798284[[#This Row],[Week Sales]]</f>
        <v>128989</v>
      </c>
      <c r="G20" s="18" t="str">
        <f>(VLOOKUP(D:D,'Week 27 June 29 - July 5 2020'!D:G,4,FALSE))</f>
        <v>Nintendo</v>
      </c>
      <c r="H20" s="67">
        <f>(VLOOKUP(D:D,'Week 27 June 29 - July 5 2020'!D:H,5,FALSE))</f>
        <v>43980</v>
      </c>
      <c r="I20" s="12">
        <f>_xlfn.IFNA(SUMIFS('Week 27 June 29 - July 5 2020'!E:E,'Week 27 June 29 - July 5 2020'!D:D,'Week 28 July 6 - July 12 2020'!D:D,'Week 27 June 29 - July 5 2020'!C:C,'Week 28 July 6 - July 12 2020'!C:C),"New")</f>
        <v>2742</v>
      </c>
      <c r="J20" s="28">
        <f t="shared" si="0"/>
        <v>-0.15134938001458789</v>
      </c>
    </row>
    <row r="21" spans="1:10" x14ac:dyDescent="0.2">
      <c r="A21" s="5">
        <v>20</v>
      </c>
      <c r="B21">
        <v>22</v>
      </c>
      <c r="C21" t="s">
        <v>7</v>
      </c>
      <c r="D21" s="47" t="s">
        <v>79</v>
      </c>
      <c r="E21" s="12">
        <v>2235</v>
      </c>
      <c r="F21" s="12">
        <f>SUMIFS('Week 27 June 29 - July 5 2020'!F:F,'Week 27 June 29 - July 5 2020'!D:D,'Week 28 July 6 - July 12 2020'!D:D,'Week 27 June 29 - July 5 2020'!C:C,'Week 28 July 6 - July 12 2020'!C:C)+Table36119101355571214175259616365676971737577798284[[#This Row],[Week Sales]]</f>
        <v>662696</v>
      </c>
      <c r="G21" s="18" t="str">
        <f>(VLOOKUP(D:D,'Week 27 June 29 - July 5 2020'!D:G,4,FALSE))</f>
        <v>Nintendo</v>
      </c>
      <c r="H21" s="67">
        <f>(VLOOKUP(D:D,'Week 27 June 29 - July 5 2020'!D:H,5,FALSE))</f>
        <v>43769</v>
      </c>
      <c r="I21" s="12">
        <f>_xlfn.IFNA(SUMIFS('Week 27 June 29 - July 5 2020'!E:E,'Week 27 June 29 - July 5 2020'!D:D,'Week 28 July 6 - July 12 2020'!D:D,'Week 27 June 29 - July 5 2020'!C:C,'Week 28 July 6 - July 12 2020'!C:C),"New")</f>
        <v>2224</v>
      </c>
      <c r="J21" s="28">
        <f t="shared" si="0"/>
        <v>4.9460431654676255E-3</v>
      </c>
    </row>
    <row r="22" spans="1:10" x14ac:dyDescent="0.2">
      <c r="A22" s="9">
        <v>21</v>
      </c>
      <c r="B22" s="9" t="s">
        <v>36</v>
      </c>
      <c r="C22" s="9" t="s">
        <v>8</v>
      </c>
      <c r="D22" s="9" t="s">
        <v>277</v>
      </c>
      <c r="E22" s="10">
        <v>2171</v>
      </c>
      <c r="F22" s="10">
        <f>SUMIFS('Week 27 June 29 - July 5 2020'!F:F,'Week 27 June 29 - July 5 2020'!D:D,'Week 28 July 6 - July 12 2020'!D:D,'Week 27 June 29 - July 5 2020'!C:C,'Week 28 July 6 - July 12 2020'!C:C)+Table36119101355571214175259616365676971737577798284[[#This Row],[Week Sales]]</f>
        <v>2171</v>
      </c>
      <c r="G22" s="9" t="s">
        <v>278</v>
      </c>
      <c r="H22" s="14">
        <v>44021</v>
      </c>
      <c r="I22" s="10" t="s">
        <v>36</v>
      </c>
      <c r="J22" s="92" t="str">
        <f t="shared" si="0"/>
        <v>New</v>
      </c>
    </row>
    <row r="23" spans="1:10" x14ac:dyDescent="0.2">
      <c r="A23" s="5">
        <v>22</v>
      </c>
      <c r="B23">
        <v>24</v>
      </c>
      <c r="C23" t="s">
        <v>7</v>
      </c>
      <c r="D23" s="86" t="s">
        <v>20</v>
      </c>
      <c r="E23" s="12">
        <v>2110</v>
      </c>
      <c r="F23" s="12">
        <f>SUMIFS('Week 27 June 29 - July 5 2020'!F:F,'Week 27 June 29 - July 5 2020'!D:D,'Week 28 July 6 - July 12 2020'!D:D,'Week 27 June 29 - July 5 2020'!C:C,'Week 28 July 6 - July 12 2020'!C:C)+Table36119101355571214175259616365676971737577798284[[#This Row],[Week Sales]]</f>
        <v>452409</v>
      </c>
      <c r="G23" s="18" t="str">
        <f>(VLOOKUP(D:D,'Week 27 June 29 - July 5 2020'!D:G,4,FALSE))</f>
        <v>Bandai Namco</v>
      </c>
      <c r="H23" s="67">
        <f>(VLOOKUP(D:D,'Week 27 June 29 - July 5 2020'!D:H,5,FALSE))</f>
        <v>43671</v>
      </c>
      <c r="I23" s="12">
        <f>_xlfn.IFNA(SUMIFS('Week 27 June 29 - July 5 2020'!E:E,'Week 27 June 29 - July 5 2020'!D:D,'Week 28 July 6 - July 12 2020'!D:D,'Week 27 June 29 - July 5 2020'!C:C,'Week 28 July 6 - July 12 2020'!C:C),"New")</f>
        <v>1830</v>
      </c>
      <c r="J23" s="28">
        <f t="shared" si="0"/>
        <v>0.15300546448087432</v>
      </c>
    </row>
    <row r="24" spans="1:10" x14ac:dyDescent="0.2">
      <c r="A24" s="5">
        <v>23</v>
      </c>
      <c r="B24">
        <v>20</v>
      </c>
      <c r="C24" t="s">
        <v>7</v>
      </c>
      <c r="D24" s="47" t="s">
        <v>56</v>
      </c>
      <c r="E24" s="12">
        <v>2088</v>
      </c>
      <c r="F24" s="12">
        <f>SUMIFS('Week 27 June 29 - July 5 2020'!F:F,'Week 27 June 29 - July 5 2020'!D:D,'Week 28 July 6 - July 12 2020'!D:D,'Week 27 June 29 - July 5 2020'!C:C,'Week 28 July 6 - July 12 2020'!C:C)+Table36119101355571214175259616365676971737577798284[[#This Row],[Week Sales]]</f>
        <v>9756</v>
      </c>
      <c r="G24" s="18" t="str">
        <f>(VLOOKUP(D:D,'Week 27 June 29 - July 5 2020'!D:G,4,FALSE))</f>
        <v>Teyon Japan</v>
      </c>
      <c r="H24" s="67">
        <f>(VLOOKUP(D:D,'Week 27 June 29 - July 5 2020'!D:H,5,FALSE))</f>
        <v>44007</v>
      </c>
      <c r="I24" s="12">
        <f>_xlfn.IFNA(SUMIFS('Week 27 June 29 - July 5 2020'!E:E,'Week 27 June 29 - July 5 2020'!D:D,'Week 28 July 6 - July 12 2020'!D:D,'Week 27 June 29 - July 5 2020'!C:C,'Week 28 July 6 - July 12 2020'!C:C),"New")</f>
        <v>2427</v>
      </c>
      <c r="J24" s="28">
        <f t="shared" si="0"/>
        <v>-0.13967861557478367</v>
      </c>
    </row>
    <row r="25" spans="1:10" x14ac:dyDescent="0.2">
      <c r="A25" s="5">
        <v>24</v>
      </c>
      <c r="B25">
        <v>16</v>
      </c>
      <c r="C25" t="s">
        <v>8</v>
      </c>
      <c r="D25" s="47" t="s">
        <v>268</v>
      </c>
      <c r="E25" s="12">
        <v>2001</v>
      </c>
      <c r="F25" s="12">
        <f>SUMIFS('Week 27 June 29 - July 5 2020'!F:F,'Week 27 June 29 - July 5 2020'!D:D,'Week 28 July 6 - July 12 2020'!D:D,'Week 27 June 29 - July 5 2020'!C:C,'Week 28 July 6 - July 12 2020'!C:C)+Table36119101355571214175259616365676971737577798284[[#This Row],[Week Sales]]</f>
        <v>24150</v>
      </c>
      <c r="G25" s="18" t="str">
        <f>(VLOOKUP(D:D,'Week 27 June 29 - July 5 2020'!D:G,4,FALSE))</f>
        <v>DMM Games</v>
      </c>
      <c r="H25" s="67">
        <f>(VLOOKUP(D:D,'Week 27 June 29 - July 5 2020'!D:H,5,FALSE))</f>
        <v>44007</v>
      </c>
      <c r="I25" s="12">
        <f>_xlfn.IFNA(SUMIFS('Week 27 June 29 - July 5 2020'!E:E,'Week 27 June 29 - July 5 2020'!D:D,'Week 28 July 6 - July 12 2020'!D:D,'Week 27 June 29 - July 5 2020'!C:C,'Week 28 July 6 - July 12 2020'!C:C),"New")</f>
        <v>2905</v>
      </c>
      <c r="J25" s="28">
        <f t="shared" si="0"/>
        <v>-0.31118760757314973</v>
      </c>
    </row>
    <row r="26" spans="1:10" x14ac:dyDescent="0.2">
      <c r="A26" s="5">
        <v>25</v>
      </c>
      <c r="B26">
        <v>23</v>
      </c>
      <c r="C26" t="s">
        <v>7</v>
      </c>
      <c r="D26" s="86" t="s">
        <v>83</v>
      </c>
      <c r="E26" s="12">
        <v>1863</v>
      </c>
      <c r="F26" s="12">
        <f>SUMIFS('Week 27 June 29 - July 5 2020'!F:F,'Week 27 June 29 - July 5 2020'!D:D,'Week 28 July 6 - July 12 2020'!D:D,'Week 27 June 29 - July 5 2020'!C:C,'Week 28 July 6 - July 12 2020'!C:C)+Table36119101355571214175259616365676971737577798284[[#This Row],[Week Sales]]</f>
        <v>534177</v>
      </c>
      <c r="G26" s="18" t="str">
        <f>(VLOOKUP(D:D,'Week 27 June 29 - July 5 2020'!D:G,4,FALSE))</f>
        <v>Square Enix</v>
      </c>
      <c r="H26" s="67">
        <f>(VLOOKUP(D:D,'Week 27 June 29 - July 5 2020'!D:H,5,FALSE))</f>
        <v>43735</v>
      </c>
      <c r="I26" s="12">
        <f>_xlfn.IFNA(SUMIFS('Week 27 June 29 - July 5 2020'!E:E,'Week 27 June 29 - July 5 2020'!D:D,'Week 28 July 6 - July 12 2020'!D:D,'Week 27 June 29 - July 5 2020'!C:C,'Week 28 July 6 - July 12 2020'!C:C),"New")</f>
        <v>2035</v>
      </c>
      <c r="J26" s="28">
        <f t="shared" si="0"/>
        <v>-8.4520884520884521E-2</v>
      </c>
    </row>
    <row r="27" spans="1:10" x14ac:dyDescent="0.2">
      <c r="A27" s="5">
        <v>26</v>
      </c>
      <c r="B27">
        <v>9</v>
      </c>
      <c r="C27" t="s">
        <v>7</v>
      </c>
      <c r="D27" s="105" t="s">
        <v>274</v>
      </c>
      <c r="E27" s="12">
        <v>1855</v>
      </c>
      <c r="F27" s="12">
        <f>SUMIFS('Week 27 June 29 - July 5 2020'!F:F,'Week 27 June 29 - July 5 2020'!D:D,'Week 28 July 6 - July 12 2020'!D:D,'Week 27 June 29 - July 5 2020'!C:C,'Week 28 July 6 - July 12 2020'!C:C)+Table36119101355571214175259616365676971737577798284[[#This Row],[Week Sales]]</f>
        <v>8772</v>
      </c>
      <c r="G27" s="18" t="str">
        <f>(VLOOKUP(D:D,'Week 27 June 29 - July 5 2020'!D:G,4,FALSE))</f>
        <v>Atlus</v>
      </c>
      <c r="H27" s="67">
        <f>(VLOOKUP(D:D,'Week 27 June 29 - July 5 2020'!D:H,5,FALSE))</f>
        <v>44014</v>
      </c>
      <c r="I27" s="12">
        <f>_xlfn.IFNA(SUMIFS('Week 27 June 29 - July 5 2020'!E:E,'Week 27 June 29 - July 5 2020'!D:D,'Week 28 July 6 - July 12 2020'!D:D,'Week 27 June 29 - July 5 2020'!C:C,'Week 28 July 6 - July 12 2020'!C:C),"New")</f>
        <v>6917</v>
      </c>
      <c r="J27" s="28">
        <f t="shared" si="0"/>
        <v>-0.73182015324562677</v>
      </c>
    </row>
    <row r="28" spans="1:10" x14ac:dyDescent="0.2">
      <c r="A28" s="5">
        <v>27</v>
      </c>
      <c r="B28">
        <v>12</v>
      </c>
      <c r="C28" t="s">
        <v>7</v>
      </c>
      <c r="D28" s="47" t="s">
        <v>269</v>
      </c>
      <c r="E28" s="12">
        <v>1706</v>
      </c>
      <c r="F28" s="12">
        <f>SUMIFS('Week 27 June 29 - July 5 2020'!F:F,'Week 27 June 29 - July 5 2020'!D:D,'Week 28 July 6 - July 12 2020'!D:D,'Week 27 June 29 - July 5 2020'!C:C,'Week 28 July 6 - July 12 2020'!C:C)+Table36119101355571214175259616365676971737577798284[[#This Row],[Week Sales]]</f>
        <v>21124</v>
      </c>
      <c r="G28" s="18" t="str">
        <f>(VLOOKUP(D:D,'Week 27 June 29 - July 5 2020'!D:G,4,FALSE))</f>
        <v>Happinet</v>
      </c>
      <c r="H28" s="67">
        <f>(VLOOKUP(D:D,'Week 27 June 29 - July 5 2020'!D:H,5,FALSE))</f>
        <v>44007</v>
      </c>
      <c r="I28" s="12">
        <f>_xlfn.IFNA(SUMIFS('Week 27 June 29 - July 5 2020'!E:E,'Week 27 June 29 - July 5 2020'!D:D,'Week 28 July 6 - July 12 2020'!D:D,'Week 27 June 29 - July 5 2020'!C:C,'Week 28 July 6 - July 12 2020'!C:C),"New")</f>
        <v>4176</v>
      </c>
      <c r="J28" s="28">
        <f t="shared" si="0"/>
        <v>-0.59147509578544066</v>
      </c>
    </row>
    <row r="29" spans="1:10" x14ac:dyDescent="0.2">
      <c r="A29" s="5">
        <v>28</v>
      </c>
      <c r="B29">
        <v>28</v>
      </c>
      <c r="C29" t="s">
        <v>7</v>
      </c>
      <c r="D29" s="47" t="s">
        <v>25</v>
      </c>
      <c r="E29" s="12">
        <v>1659</v>
      </c>
      <c r="F29" s="12">
        <f>SUMIFS('Week 27 June 29 - July 5 2020'!F:F,'Week 27 June 29 - July 5 2020'!D:D,'Week 28 July 6 - July 12 2020'!D:D,'Week 27 June 29 - July 5 2020'!C:C,'Week 28 July 6 - July 12 2020'!C:C)+Table36119101355571214175259616365676971737577798284[[#This Row],[Week Sales]]</f>
        <v>489251</v>
      </c>
      <c r="G29" s="18" t="str">
        <f>(VLOOKUP(D:D,'Week 27 June 29 - July 5 2020'!D:G,4,FALSE))</f>
        <v>Bandai Namco</v>
      </c>
      <c r="H29" s="67">
        <f>(VLOOKUP(D:D,'Week 27 June 29 - July 5 2020'!D:H,5,FALSE))</f>
        <v>43300</v>
      </c>
      <c r="I29" s="12">
        <f>_xlfn.IFNA(SUMIFS('Week 27 June 29 - July 5 2020'!E:E,'Week 27 June 29 - July 5 2020'!D:D,'Week 28 July 6 - July 12 2020'!D:D,'Week 27 June 29 - July 5 2020'!C:C,'Week 28 July 6 - July 12 2020'!C:C),"New")</f>
        <v>1543</v>
      </c>
      <c r="J29" s="28">
        <f t="shared" si="0"/>
        <v>7.5178224238496433E-2</v>
      </c>
    </row>
    <row r="30" spans="1:10" x14ac:dyDescent="0.2">
      <c r="A30" s="30">
        <v>29</v>
      </c>
      <c r="B30" s="32" t="s">
        <v>53</v>
      </c>
      <c r="C30" s="32" t="s">
        <v>7</v>
      </c>
      <c r="D30" s="32" t="s">
        <v>26</v>
      </c>
      <c r="E30" s="37">
        <v>1654</v>
      </c>
      <c r="F30" s="33">
        <v>2109315</v>
      </c>
      <c r="G30" s="31" t="str">
        <f>(VLOOKUP(D:D,'Week 26 June 22 - June 28 2020'!D:G,4,FALSE))</f>
        <v>Nintendo</v>
      </c>
      <c r="H30" s="93">
        <f>(VLOOKUP(D:D,'Week 26 June 22 - June 28 2020'!D:H,5,FALSE))</f>
        <v>43035</v>
      </c>
      <c r="I30" s="33">
        <v>1469</v>
      </c>
      <c r="J30" s="97">
        <f>IFERROR((E30-I30)/I30,"New")</f>
        <v>0.12593601089176309</v>
      </c>
    </row>
    <row r="31" spans="1:10" x14ac:dyDescent="0.2">
      <c r="A31" s="5">
        <v>30</v>
      </c>
      <c r="B31">
        <v>25</v>
      </c>
      <c r="C31" t="s">
        <v>8</v>
      </c>
      <c r="D31" s="86" t="s">
        <v>187</v>
      </c>
      <c r="E31" s="2">
        <v>1527</v>
      </c>
      <c r="F31" s="12">
        <f>SUMIFS('Week 27 June 29 - July 5 2020'!F:F,'Week 27 June 29 - July 5 2020'!D:D,'Week 28 July 6 - July 12 2020'!D:D,'Week 27 June 29 - July 5 2020'!C:C,'Week 28 July 6 - July 12 2020'!C:C)+Table36119101355571214175259616365676971737577798284[[#This Row],[Week Sales]]</f>
        <v>70032</v>
      </c>
      <c r="G31" s="18" t="str">
        <f>(VLOOKUP(D:D,'Week 27 June 29 - July 5 2020'!D:G,4,FALSE))</f>
        <v>Rockstar Games</v>
      </c>
      <c r="H31" s="67">
        <f>(VLOOKUP(D:D,'Week 27 June 29 - July 5 2020'!D:H,5,FALSE))</f>
        <v>43440</v>
      </c>
      <c r="I31" s="12">
        <f>_xlfn.IFNA(SUMIFS('Week 27 June 29 - July 5 2020'!E:E,'Week 27 June 29 - July 5 2020'!D:D,'Week 28 July 6 - July 12 2020'!D:D,'Week 27 June 29 - July 5 2020'!C:C,'Week 28 July 6 - July 12 2020'!C:C),"New")</f>
        <v>1825</v>
      </c>
      <c r="J31" s="28">
        <f t="shared" si="0"/>
        <v>-0.16328767123287671</v>
      </c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466352</v>
      </c>
      <c r="F33" s="2"/>
      <c r="I33" s="2"/>
      <c r="J33" s="19"/>
    </row>
    <row r="34" spans="1:10" x14ac:dyDescent="0.2">
      <c r="A34" s="3"/>
      <c r="B34" s="3"/>
      <c r="D34" s="100" t="s">
        <v>178</v>
      </c>
      <c r="E34" s="101">
        <f>SUM('Week 27 June 29 - July 5 2020'!E34,'Week 28 July 6 - July 12 2020'!E33)</f>
        <v>13618379</v>
      </c>
      <c r="F34" s="2"/>
      <c r="I34" s="2"/>
      <c r="J34" s="19"/>
    </row>
    <row r="35" spans="1:10" x14ac:dyDescent="0.2">
      <c r="A35" s="3"/>
      <c r="B35" s="3"/>
      <c r="D35" s="2" t="s">
        <v>60</v>
      </c>
      <c r="E35" s="2">
        <f>AVERAGE(E2:E31)</f>
        <v>15545.066666666668</v>
      </c>
      <c r="F35" s="2"/>
      <c r="I35" s="2"/>
      <c r="J35" s="19"/>
    </row>
    <row r="36" spans="1:10" x14ac:dyDescent="0.2">
      <c r="A36" s="3"/>
      <c r="B36" s="3"/>
      <c r="D36" s="9" t="s">
        <v>78</v>
      </c>
      <c r="E36" s="10">
        <f>COUNTIF(B:B,"New")</f>
        <v>4</v>
      </c>
      <c r="F36" s="2"/>
      <c r="I36" s="2"/>
      <c r="J36" s="19"/>
    </row>
    <row r="37" spans="1:10" x14ac:dyDescent="0.2">
      <c r="A37" s="3"/>
      <c r="B37" s="3"/>
      <c r="E37" s="2"/>
      <c r="F37" s="2"/>
      <c r="I37" s="2"/>
      <c r="J37" s="19"/>
    </row>
    <row r="38" spans="1:10" x14ac:dyDescent="0.2">
      <c r="A38" s="3"/>
      <c r="B38" s="3"/>
      <c r="D38" t="s">
        <v>66</v>
      </c>
      <c r="E38" s="2"/>
      <c r="F38" s="2"/>
      <c r="I38" s="2"/>
      <c r="J38" s="19"/>
    </row>
    <row r="39" spans="1:10" x14ac:dyDescent="0.2">
      <c r="A39" s="3"/>
      <c r="B39" s="3"/>
      <c r="D39" s="8" t="s">
        <v>67</v>
      </c>
      <c r="E39" s="2"/>
      <c r="F39" s="2"/>
      <c r="I39" s="2"/>
      <c r="J39" s="19"/>
    </row>
    <row r="40" spans="1:10" x14ac:dyDescent="0.2">
      <c r="A40" s="3"/>
      <c r="B40" s="3"/>
      <c r="D40" s="8" t="s">
        <v>65</v>
      </c>
      <c r="E40" s="2"/>
      <c r="F40" s="2"/>
      <c r="I40" s="2"/>
      <c r="J40" s="19"/>
    </row>
    <row r="41" spans="1:10" x14ac:dyDescent="0.2">
      <c r="D41" s="8" t="s">
        <v>71</v>
      </c>
    </row>
  </sheetData>
  <hyperlinks>
    <hyperlink ref="D41" r:id="rId1" xr:uid="{8D341A42-3E00-3F41-80BA-D16948929EFD}"/>
    <hyperlink ref="D40" r:id="rId2" xr:uid="{39791F90-B0EE-D141-8001-D04E1073D478}"/>
    <hyperlink ref="D39" r:id="rId3" xr:uid="{71F66DA3-76DE-B541-8350-97DC4718EB10}"/>
  </hyperlinks>
  <pageMargins left="0.7" right="0.7" top="0.75" bottom="0.75" header="0.3" footer="0.3"/>
  <pageSetup paperSize="9" orientation="portrait" horizontalDpi="0" verticalDpi="0"/>
  <ignoredErrors>
    <ignoredError sqref="F30:I30" calculatedColumn="1"/>
  </ignoredErrors>
  <tableParts count="1">
    <tablePart r:id="rId4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365F2-4E32-274A-B345-879295B7CA7B}">
  <dimension ref="A1:J41"/>
  <sheetViews>
    <sheetView workbookViewId="0">
      <selection activeCell="D11" sqref="D2:E11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3.8320312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0" x14ac:dyDescent="0.2">
      <c r="A2" s="13">
        <v>1</v>
      </c>
      <c r="B2" s="9" t="s">
        <v>36</v>
      </c>
      <c r="C2" s="9" t="s">
        <v>8</v>
      </c>
      <c r="D2" s="9" t="s">
        <v>11</v>
      </c>
      <c r="E2" s="10">
        <v>212915</v>
      </c>
      <c r="F2" s="10">
        <f>SUMIFS('Week 28 July 6 - July 12 2020'!F:F,'Week 28 July 6 - July 12 2020'!D:D,'Week 29 July 13 - July 19 2020'!D:D,'Week 28 July 6 - July 12 2020'!C:C,'Week 29 July 13 - July 19 2020'!C:C)+Table3611910135557121417525961636567697173757779828486[[#This Row],[Week Sales]]</f>
        <v>212915</v>
      </c>
      <c r="G2" s="9" t="s">
        <v>30</v>
      </c>
      <c r="H2" s="14">
        <v>44029</v>
      </c>
      <c r="I2" s="10" t="s">
        <v>36</v>
      </c>
      <c r="J2" s="92" t="str">
        <f>IFERROR((E2-I2)/I2,"New")</f>
        <v>New</v>
      </c>
    </row>
    <row r="3" spans="1:10" x14ac:dyDescent="0.2">
      <c r="A3" s="13">
        <v>2</v>
      </c>
      <c r="B3" s="9" t="s">
        <v>36</v>
      </c>
      <c r="C3" s="9" t="s">
        <v>7</v>
      </c>
      <c r="D3" s="9" t="s">
        <v>15</v>
      </c>
      <c r="E3" s="10">
        <v>109092</v>
      </c>
      <c r="F3" s="10">
        <f>SUMIFS('Week 28 July 6 - July 12 2020'!F:F,'Week 28 July 6 - July 12 2020'!D:D,'Week 29 July 13 - July 19 2020'!D:D,'Week 28 July 6 - July 12 2020'!C:C,'Week 29 July 13 - July 19 2020'!C:C)+Table3611910135557121417525961636567697173757779828486[[#This Row],[Week Sales]]</f>
        <v>109092</v>
      </c>
      <c r="G3" s="9" t="s">
        <v>9</v>
      </c>
      <c r="H3" s="14">
        <v>44029</v>
      </c>
      <c r="I3" s="10" t="s">
        <v>36</v>
      </c>
      <c r="J3" s="92" t="str">
        <f t="shared" ref="J3:J31" si="0">IFERROR((E3-I3)/I3,"New")</f>
        <v>New</v>
      </c>
    </row>
    <row r="4" spans="1:10" x14ac:dyDescent="0.2">
      <c r="A4" s="25">
        <v>3</v>
      </c>
      <c r="B4" s="18">
        <v>4</v>
      </c>
      <c r="C4" s="18" t="s">
        <v>7</v>
      </c>
      <c r="D4" s="86" t="s">
        <v>46</v>
      </c>
      <c r="E4" s="12">
        <v>71897</v>
      </c>
      <c r="F4" s="12">
        <f>SUMIFS('Week 28 July 6 - July 12 2020'!F:F,'Week 28 July 6 - July 12 2020'!D:D,'Week 29 July 13 - July 19 2020'!D:D,'Week 28 July 6 - July 12 2020'!C:C,'Week 29 July 13 - July 19 2020'!C:C)+Table3611910135557121417525961636567697173757779828486[[#This Row],[Week Sales]]</f>
        <v>5186283</v>
      </c>
      <c r="G4" s="18" t="str">
        <f>(VLOOKUP(D:D,'Week 28 July 6 - July 12 2020'!D:G,4,FALSE))</f>
        <v>Nintendo</v>
      </c>
      <c r="H4" s="67">
        <f>(VLOOKUP(D:D,'Week 28 July 6 - July 12 2020'!D:H,5,FALSE))</f>
        <v>43910</v>
      </c>
      <c r="I4" s="12">
        <f>_xlfn.IFNA(SUMIFS('Week 28 July 6 - July 12 2020'!E:E,'Week 28 July 6 - July 12 2020'!D:D,'Week 29 July 13 - July 19 2020'!D:D,'Week 28 July 6 - July 12 2020'!C:C,'Week 29 July 13 - July 19 2020'!C:C),"New")</f>
        <v>56160</v>
      </c>
      <c r="J4" s="28">
        <f t="shared" si="0"/>
        <v>0.28021723646723645</v>
      </c>
    </row>
    <row r="5" spans="1:10" x14ac:dyDescent="0.2">
      <c r="A5" s="25">
        <v>4</v>
      </c>
      <c r="B5" s="18">
        <v>5</v>
      </c>
      <c r="C5" s="18" t="s">
        <v>7</v>
      </c>
      <c r="D5" s="47" t="s">
        <v>45</v>
      </c>
      <c r="E5" s="12">
        <v>36183</v>
      </c>
      <c r="F5" s="12">
        <f>SUMIFS('Week 28 July 6 - July 12 2020'!F:F,'Week 28 July 6 - July 12 2020'!D:D,'Week 29 July 13 - July 19 2020'!D:D,'Week 28 July 6 - July 12 2020'!C:C,'Week 29 July 13 - July 19 2020'!C:C)+Table3611910135557121417525961636567697173757779828486[[#This Row],[Week Sales]]</f>
        <v>1173243</v>
      </c>
      <c r="G5" s="18" t="str">
        <f>(VLOOKUP(D:D,'Week 28 July 6 - July 12 2020'!D:G,4,FALSE))</f>
        <v>Nintendo</v>
      </c>
      <c r="H5" s="67">
        <f>(VLOOKUP(D:D,'Week 28 July 6 - July 12 2020'!D:H,5,FALSE))</f>
        <v>43756</v>
      </c>
      <c r="I5" s="12">
        <f>_xlfn.IFNA(SUMIFS('Week 28 July 6 - July 12 2020'!E:E,'Week 28 July 6 - July 12 2020'!D:D,'Week 29 July 13 - July 19 2020'!D:D,'Week 28 July 6 - July 12 2020'!C:C,'Week 29 July 13 - July 19 2020'!C:C),"New")</f>
        <v>44261</v>
      </c>
      <c r="J5" s="28">
        <f t="shared" si="0"/>
        <v>-0.18250830302071802</v>
      </c>
    </row>
    <row r="6" spans="1:10" x14ac:dyDescent="0.2">
      <c r="A6" s="25">
        <v>5</v>
      </c>
      <c r="B6" s="18">
        <v>1</v>
      </c>
      <c r="C6" s="18" t="s">
        <v>7</v>
      </c>
      <c r="D6" s="47" t="s">
        <v>14</v>
      </c>
      <c r="E6" s="12">
        <v>29719</v>
      </c>
      <c r="F6" s="12">
        <f>SUMIFS('Week 28 July 6 - July 12 2020'!F:F,'Week 28 July 6 - July 12 2020'!D:D,'Week 29 July 13 - July 19 2020'!D:D,'Week 28 July 6 - July 12 2020'!C:C,'Week 29 July 13 - July 19 2020'!C:C)+Table3611910135557121417525961636567697173757779828486[[#This Row],[Week Sales]]</f>
        <v>124595</v>
      </c>
      <c r="G6" s="18" t="str">
        <f>(VLOOKUP(D:D,'Week 28 July 6 - July 12 2020'!D:G,4,FALSE))</f>
        <v>Konami</v>
      </c>
      <c r="H6" s="67">
        <f>(VLOOKUP(D:D,'Week 28 July 6 - July 12 2020'!D:H,5,FALSE))</f>
        <v>44021</v>
      </c>
      <c r="I6" s="12">
        <f>_xlfn.IFNA(SUMIFS('Week 28 July 6 - July 12 2020'!E:E,'Week 28 July 6 - July 12 2020'!D:D,'Week 29 July 13 - July 19 2020'!D:D,'Week 28 July 6 - July 12 2020'!C:C,'Week 29 July 13 - July 19 2020'!C:C),"New")</f>
        <v>94876</v>
      </c>
      <c r="J6" s="28">
        <f t="shared" si="0"/>
        <v>-0.68675955984653658</v>
      </c>
    </row>
    <row r="7" spans="1:10" x14ac:dyDescent="0.2">
      <c r="A7" s="25">
        <v>6</v>
      </c>
      <c r="B7" s="18">
        <v>2</v>
      </c>
      <c r="C7" s="18" t="s">
        <v>8</v>
      </c>
      <c r="D7" s="47" t="s">
        <v>14</v>
      </c>
      <c r="E7" s="12">
        <v>26951</v>
      </c>
      <c r="F7" s="12">
        <f>SUMIFS('Week 28 July 6 - July 12 2020'!F:F,'Week 28 July 6 - July 12 2020'!D:D,'Week 29 July 13 - July 19 2020'!D:D,'Week 28 July 6 - July 12 2020'!C:C,'Week 29 July 13 - July 19 2020'!C:C)+Table3611910135557121417525961636567697173757779828486[[#This Row],[Week Sales]]</f>
        <v>118498</v>
      </c>
      <c r="G7" s="18" t="str">
        <f>(VLOOKUP(D:D,'Week 28 July 6 - July 12 2020'!D:G,4,FALSE))</f>
        <v>Konami</v>
      </c>
      <c r="H7" s="67">
        <f>(VLOOKUP(D:D,'Week 28 July 6 - July 12 2020'!D:H,5,FALSE))</f>
        <v>44021</v>
      </c>
      <c r="I7" s="12">
        <f>_xlfn.IFNA(SUMIFS('Week 28 July 6 - July 12 2020'!E:E,'Week 28 July 6 - July 12 2020'!D:D,'Week 29 July 13 - July 19 2020'!D:D,'Week 28 July 6 - July 12 2020'!C:C,'Week 29 July 13 - July 19 2020'!C:C),"New")</f>
        <v>91547</v>
      </c>
      <c r="J7" s="28">
        <f t="shared" si="0"/>
        <v>-0.70560477131965005</v>
      </c>
    </row>
    <row r="8" spans="1:10" x14ac:dyDescent="0.2">
      <c r="A8" s="25">
        <v>7</v>
      </c>
      <c r="B8" s="18">
        <v>6</v>
      </c>
      <c r="C8" s="18" t="s">
        <v>7</v>
      </c>
      <c r="D8" s="47" t="s">
        <v>50</v>
      </c>
      <c r="E8" s="12">
        <v>20586</v>
      </c>
      <c r="F8" s="12">
        <f>SUMIFS('Week 28 July 6 - July 12 2020'!F:F,'Week 28 July 6 - July 12 2020'!D:D,'Week 29 July 13 - July 19 2020'!D:D,'Week 28 July 6 - July 12 2020'!C:C,'Week 29 July 13 - July 19 2020'!C:C)+Table3611910135557121417525961636567697173757779828486[[#This Row],[Week Sales]]</f>
        <v>235891</v>
      </c>
      <c r="G8" s="18" t="str">
        <f>(VLOOKUP(D:D,'Week 28 July 6 - July 12 2020'!D:G,4,FALSE))</f>
        <v>Nintendo</v>
      </c>
      <c r="H8" s="67">
        <f>(VLOOKUP(D:D,'Week 28 July 6 - July 12 2020'!D:H,5,FALSE))</f>
        <v>43987</v>
      </c>
      <c r="I8" s="12">
        <f>_xlfn.IFNA(SUMIFS('Week 28 July 6 - July 12 2020'!E:E,'Week 28 July 6 - July 12 2020'!D:D,'Week 29 July 13 - July 19 2020'!D:D,'Week 28 July 6 - July 12 2020'!C:C,'Week 29 July 13 - July 19 2020'!C:C),"New")</f>
        <v>20094</v>
      </c>
      <c r="J8" s="28">
        <f t="shared" si="0"/>
        <v>2.4484920871902061E-2</v>
      </c>
    </row>
    <row r="9" spans="1:10" x14ac:dyDescent="0.2">
      <c r="A9" s="25">
        <v>8</v>
      </c>
      <c r="B9" s="18">
        <v>7</v>
      </c>
      <c r="C9" s="18" t="s">
        <v>7</v>
      </c>
      <c r="D9" s="47" t="s">
        <v>49</v>
      </c>
      <c r="E9" s="12">
        <v>10031</v>
      </c>
      <c r="F9" s="12">
        <f>SUMIFS('Week 28 July 6 - July 12 2020'!F:F,'Week 28 July 6 - July 12 2020'!D:D,'Week 29 July 13 - July 19 2020'!D:D,'Week 28 July 6 - July 12 2020'!C:C,'Week 29 July 13 - July 19 2020'!C:C)+Table3611910135557121417525961636567697173757779828486[[#This Row],[Week Sales]]</f>
        <v>3035989</v>
      </c>
      <c r="G9" s="18" t="str">
        <f>(VLOOKUP(D:D,'Week 28 July 6 - July 12 2020'!D:G,4,FALSE))</f>
        <v>Nintendo</v>
      </c>
      <c r="H9" s="67">
        <f>(VLOOKUP(D:D,'Week 28 July 6 - July 12 2020'!D:H,5,FALSE))</f>
        <v>42853</v>
      </c>
      <c r="I9" s="12">
        <f>_xlfn.IFNA(SUMIFS('Week 28 July 6 - July 12 2020'!E:E,'Week 28 July 6 - July 12 2020'!D:D,'Week 29 July 13 - July 19 2020'!D:D,'Week 28 July 6 - July 12 2020'!C:C,'Week 29 July 13 - July 19 2020'!C:C),"New")</f>
        <v>10878</v>
      </c>
      <c r="J9" s="28">
        <f t="shared" si="0"/>
        <v>-7.7863577863577865E-2</v>
      </c>
    </row>
    <row r="10" spans="1:10" x14ac:dyDescent="0.2">
      <c r="A10" s="9">
        <v>9</v>
      </c>
      <c r="B10" s="9" t="s">
        <v>36</v>
      </c>
      <c r="C10" s="9" t="s">
        <v>7</v>
      </c>
      <c r="D10" s="46" t="s">
        <v>279</v>
      </c>
      <c r="E10" s="10">
        <v>9725</v>
      </c>
      <c r="F10" s="10">
        <f>SUMIFS('Week 28 July 6 - July 12 2020'!F:F,'Week 28 July 6 - July 12 2020'!D:D,'Week 29 July 13 - July 19 2020'!D:D,'Week 28 July 6 - July 12 2020'!C:C,'Week 29 July 13 - July 19 2020'!C:C)+Table3611910135557121417525961636567697173757779828486[[#This Row],[Week Sales]]</f>
        <v>9725</v>
      </c>
      <c r="G10" s="9" t="s">
        <v>282</v>
      </c>
      <c r="H10" s="14">
        <v>44028</v>
      </c>
      <c r="I10" s="10" t="s">
        <v>36</v>
      </c>
      <c r="J10" s="92" t="str">
        <f t="shared" si="0"/>
        <v>New</v>
      </c>
    </row>
    <row r="11" spans="1:10" x14ac:dyDescent="0.2">
      <c r="A11" s="26">
        <v>10</v>
      </c>
      <c r="B11" s="18">
        <v>8</v>
      </c>
      <c r="C11" s="18" t="s">
        <v>7</v>
      </c>
      <c r="D11" s="47" t="s">
        <v>62</v>
      </c>
      <c r="E11" s="12">
        <v>7843</v>
      </c>
      <c r="F11" s="12">
        <f>SUMIFS('Week 28 July 6 - July 12 2020'!F:F,'Week 28 July 6 - July 12 2020'!D:D,'Week 29 July 13 - July 19 2020'!D:D,'Week 28 July 6 - July 12 2020'!C:C,'Week 29 July 13 - July 19 2020'!C:C)+Table3611910135557121417525961636567697173757779828486[[#This Row],[Week Sales]]</f>
        <v>3662804</v>
      </c>
      <c r="G11" s="18" t="str">
        <f>(VLOOKUP(D:D,'Week 28 July 6 - July 12 2020'!D:G,4,FALSE))</f>
        <v>The Pokemon Company</v>
      </c>
      <c r="H11" s="67">
        <f>(VLOOKUP(D:D,'Week 28 July 6 - July 12 2020'!D:H,5,FALSE))</f>
        <v>43784</v>
      </c>
      <c r="I11" s="12">
        <f>_xlfn.IFNA(SUMIFS('Week 28 July 6 - July 12 2020'!E:E,'Week 28 July 6 - July 12 2020'!D:D,'Week 29 July 13 - July 19 2020'!D:D,'Week 28 July 6 - July 12 2020'!C:C,'Week 29 July 13 - July 19 2020'!C:C),"New")</f>
        <v>7857</v>
      </c>
      <c r="J11" s="28">
        <f t="shared" si="0"/>
        <v>-1.7818505791014382E-3</v>
      </c>
    </row>
    <row r="12" spans="1:10" x14ac:dyDescent="0.2">
      <c r="A12" s="26">
        <v>11</v>
      </c>
      <c r="B12" s="18">
        <v>3</v>
      </c>
      <c r="C12" s="18" t="s">
        <v>8</v>
      </c>
      <c r="D12" s="47" t="s">
        <v>276</v>
      </c>
      <c r="E12" s="12">
        <v>7831</v>
      </c>
      <c r="F12" s="12">
        <f>SUMIFS('Week 28 July 6 - July 12 2020'!F:F,'Week 28 July 6 - July 12 2020'!D:D,'Week 29 July 13 - July 19 2020'!D:D,'Week 28 July 6 - July 12 2020'!C:C,'Week 29 July 13 - July 19 2020'!C:C)+Table3611910135557121417525961636567697173757779828486[[#This Row],[Week Sales]]</f>
        <v>81162</v>
      </c>
      <c r="G12" s="18" t="str">
        <f>(VLOOKUP(D:D,'Week 28 July 6 - July 12 2020'!D:G,4,FALSE))</f>
        <v>Bandai Namco</v>
      </c>
      <c r="H12" s="67">
        <f>(VLOOKUP(D:D,'Week 28 July 6 - July 12 2020'!D:H,5,FALSE))</f>
        <v>44021</v>
      </c>
      <c r="I12" s="12">
        <f>_xlfn.IFNA(SUMIFS('Week 28 July 6 - July 12 2020'!E:E,'Week 28 July 6 - July 12 2020'!D:D,'Week 29 July 13 - July 19 2020'!D:D,'Week 28 July 6 - July 12 2020'!C:C,'Week 29 July 13 - July 19 2020'!C:C),"New")</f>
        <v>73331</v>
      </c>
      <c r="J12" s="28">
        <f t="shared" si="0"/>
        <v>-0.89321023850758885</v>
      </c>
    </row>
    <row r="13" spans="1:10" x14ac:dyDescent="0.2">
      <c r="A13" s="26">
        <v>12</v>
      </c>
      <c r="B13" s="18">
        <v>9</v>
      </c>
      <c r="C13" s="18" t="s">
        <v>7</v>
      </c>
      <c r="D13" s="47" t="s">
        <v>10</v>
      </c>
      <c r="E13" s="12">
        <v>7104</v>
      </c>
      <c r="F13" s="12">
        <f>SUMIFS('Week 28 July 6 - July 12 2020'!F:F,'Week 28 July 6 - July 12 2020'!D:D,'Week 29 July 13 - July 19 2020'!D:D,'Week 28 July 6 - July 12 2020'!C:C,'Week 29 July 13 - July 19 2020'!C:C)+Table3611910135557121417525961636567697173757779828486[[#This Row],[Week Sales]]</f>
        <v>3493303</v>
      </c>
      <c r="G13" s="18" t="str">
        <f>(VLOOKUP(D:D,'Week 28 July 6 - July 12 2020'!D:G,4,FALSE))</f>
        <v>Nintendo</v>
      </c>
      <c r="H13" s="67">
        <f>(VLOOKUP(D:D,'Week 28 July 6 - July 12 2020'!D:H,5,FALSE))</f>
        <v>42937</v>
      </c>
      <c r="I13" s="12">
        <f>_xlfn.IFNA(SUMIFS('Week 28 July 6 - July 12 2020'!E:E,'Week 28 July 6 - July 12 2020'!D:D,'Week 29 July 13 - July 19 2020'!D:D,'Week 28 July 6 - July 12 2020'!C:C,'Week 29 July 13 - July 19 2020'!C:C),"New")</f>
        <v>7450</v>
      </c>
      <c r="J13" s="28">
        <f t="shared" si="0"/>
        <v>-4.644295302013423E-2</v>
      </c>
    </row>
    <row r="14" spans="1:10" x14ac:dyDescent="0.2">
      <c r="A14" s="26">
        <v>13</v>
      </c>
      <c r="B14" s="18">
        <v>10</v>
      </c>
      <c r="C14" s="18" t="s">
        <v>7</v>
      </c>
      <c r="D14" s="47" t="s">
        <v>52</v>
      </c>
      <c r="E14" s="12">
        <v>6253</v>
      </c>
      <c r="F14" s="12">
        <f>SUMIFS('Week 28 July 6 - July 12 2020'!F:F,'Week 28 July 6 - July 12 2020'!D:D,'Week 29 July 13 - July 19 2020'!D:D,'Week 28 July 6 - July 12 2020'!C:C,'Week 29 July 13 - July 19 2020'!C:C)+Table3611910135557121417525961636567697173757779828486[[#This Row],[Week Sales]]</f>
        <v>3758033</v>
      </c>
      <c r="G14" s="18" t="str">
        <f>(VLOOKUP(D:D,'Week 28 July 6 - July 12 2020'!D:G,4,FALSE))</f>
        <v>Nintendo</v>
      </c>
      <c r="H14" s="67">
        <f>(VLOOKUP(D:D,'Week 28 July 6 - July 12 2020'!D:H,5,FALSE))</f>
        <v>43441</v>
      </c>
      <c r="I14" s="12">
        <f>_xlfn.IFNA(SUMIFS('Week 28 July 6 - July 12 2020'!E:E,'Week 28 July 6 - July 12 2020'!D:D,'Week 29 July 13 - July 19 2020'!D:D,'Week 28 July 6 - July 12 2020'!C:C,'Week 29 July 13 - July 19 2020'!C:C),"New")</f>
        <v>6900</v>
      </c>
      <c r="J14" s="28">
        <f t="shared" si="0"/>
        <v>-9.3768115942028982E-2</v>
      </c>
    </row>
    <row r="15" spans="1:10" x14ac:dyDescent="0.2">
      <c r="A15" s="26">
        <v>14</v>
      </c>
      <c r="B15" s="18">
        <v>11</v>
      </c>
      <c r="C15" s="18" t="s">
        <v>7</v>
      </c>
      <c r="D15" s="47" t="s">
        <v>12</v>
      </c>
      <c r="E15" s="12">
        <v>5659</v>
      </c>
      <c r="F15" s="12">
        <f>SUMIFS('Week 28 July 6 - July 12 2020'!F:F,'Week 28 July 6 - July 12 2020'!D:D,'Week 29 July 13 - July 19 2020'!D:D,'Week 28 July 6 - July 12 2020'!C:C,'Week 29 July 13 - July 19 2020'!C:C)+Table3611910135557121417525961636567697173757779828486[[#This Row],[Week Sales]]</f>
        <v>1444331</v>
      </c>
      <c r="G15" s="18" t="str">
        <f>(VLOOKUP(D:D,'Week 28 July 6 - July 12 2020'!D:G,4,FALSE))</f>
        <v>Microsoft</v>
      </c>
      <c r="H15" s="67">
        <f>(VLOOKUP(D:D,'Week 28 July 6 - July 12 2020'!D:H,5,FALSE))</f>
        <v>43272</v>
      </c>
      <c r="I15" s="12">
        <f>_xlfn.IFNA(SUMIFS('Week 28 July 6 - July 12 2020'!E:E,'Week 28 July 6 - July 12 2020'!D:D,'Week 29 July 13 - July 19 2020'!D:D,'Week 28 July 6 - July 12 2020'!C:C,'Week 29 July 13 - July 19 2020'!C:C),"New")</f>
        <v>5967</v>
      </c>
      <c r="J15" s="28">
        <f t="shared" si="0"/>
        <v>-5.1617228087816325E-2</v>
      </c>
    </row>
    <row r="16" spans="1:10" x14ac:dyDescent="0.2">
      <c r="A16" s="26">
        <v>15</v>
      </c>
      <c r="B16" s="18">
        <v>12</v>
      </c>
      <c r="C16" s="18" t="s">
        <v>7</v>
      </c>
      <c r="D16" s="47" t="s">
        <v>13</v>
      </c>
      <c r="E16" s="12">
        <v>5190</v>
      </c>
      <c r="F16" s="12">
        <f>SUMIFS('Week 28 July 6 - July 12 2020'!F:F,'Week 28 July 6 - July 12 2020'!D:D,'Week 29 July 13 - July 19 2020'!D:D,'Week 28 July 6 - July 12 2020'!C:C,'Week 29 July 13 - July 19 2020'!C:C)+Table3611910135557121417525961636567697173757779828486[[#This Row],[Week Sales]]</f>
        <v>1491649</v>
      </c>
      <c r="G16" s="18" t="str">
        <f>(VLOOKUP(D:D,'Week 28 July 6 - July 12 2020'!D:G,4,FALSE))</f>
        <v>Nintendo</v>
      </c>
      <c r="H16" s="67">
        <f>(VLOOKUP(D:D,'Week 28 July 6 - July 12 2020'!D:H,5,FALSE))</f>
        <v>43378</v>
      </c>
      <c r="I16" s="12">
        <f>_xlfn.IFNA(SUMIFS('Week 28 July 6 - July 12 2020'!E:E,'Week 28 July 6 - July 12 2020'!D:D,'Week 29 July 13 - July 19 2020'!D:D,'Week 28 July 6 - July 12 2020'!C:C,'Week 29 July 13 - July 19 2020'!C:C),"New")</f>
        <v>5331</v>
      </c>
      <c r="J16" s="28">
        <f t="shared" si="0"/>
        <v>-2.6449071468767585E-2</v>
      </c>
    </row>
    <row r="17" spans="1:10" x14ac:dyDescent="0.2">
      <c r="A17" s="26">
        <v>16</v>
      </c>
      <c r="B17" s="18">
        <v>18</v>
      </c>
      <c r="C17" s="18" t="s">
        <v>7</v>
      </c>
      <c r="D17" s="47" t="s">
        <v>16</v>
      </c>
      <c r="E17" s="12">
        <v>3114</v>
      </c>
      <c r="F17" s="12">
        <f>SUMIFS('Week 28 July 6 - July 12 2020'!F:F,'Week 28 July 6 - July 12 2020'!D:D,'Week 29 July 13 - July 19 2020'!D:D,'Week 28 July 6 - July 12 2020'!C:C,'Week 29 July 13 - July 19 2020'!C:C)+Table3611910135557121417525961636567697173757779828486[[#This Row],[Week Sales]]</f>
        <v>262224</v>
      </c>
      <c r="G17" s="18" t="str">
        <f>(VLOOKUP(D:D,'Week 28 July 6 - July 12 2020'!D:G,4,FALSE))</f>
        <v>Nintendo</v>
      </c>
      <c r="H17" s="67">
        <f>(VLOOKUP(D:D,'Week 28 July 6 - July 12 2020'!D:H,5,FALSE))</f>
        <v>43826</v>
      </c>
      <c r="I17" s="12">
        <f>_xlfn.IFNA(SUMIFS('Week 28 July 6 - July 12 2020'!E:E,'Week 28 July 6 - July 12 2020'!D:D,'Week 29 July 13 - July 19 2020'!D:D,'Week 28 July 6 - July 12 2020'!C:C,'Week 29 July 13 - July 19 2020'!C:C),"New")</f>
        <v>2701</v>
      </c>
      <c r="J17" s="28">
        <f t="shared" si="0"/>
        <v>0.15290633098852277</v>
      </c>
    </row>
    <row r="18" spans="1:10" x14ac:dyDescent="0.2">
      <c r="A18" s="26">
        <v>17</v>
      </c>
      <c r="B18" s="18">
        <v>14</v>
      </c>
      <c r="C18" s="18" t="s">
        <v>7</v>
      </c>
      <c r="D18" s="47" t="s">
        <v>39</v>
      </c>
      <c r="E18" s="12">
        <v>3053</v>
      </c>
      <c r="F18" s="12">
        <f>SUMIFS('Week 28 July 6 - July 12 2020'!F:F,'Week 28 July 6 - July 12 2020'!D:D,'Week 29 July 13 - July 19 2020'!D:D,'Week 28 July 6 - July 12 2020'!C:C,'Week 29 July 13 - July 19 2020'!C:C)+Table3611910135557121417525961636567697173757779828486[[#This Row],[Week Sales]]</f>
        <v>1612840</v>
      </c>
      <c r="G18" s="18" t="str">
        <f>(VLOOKUP(D:D,'Week 28 July 6 - July 12 2020'!D:G,4,FALSE))</f>
        <v>Nintendo</v>
      </c>
      <c r="H18" s="67">
        <f>(VLOOKUP(D:D,'Week 28 July 6 - July 12 2020'!D:H,5,FALSE))</f>
        <v>42797</v>
      </c>
      <c r="I18" s="12">
        <f>_xlfn.IFNA(SUMIFS('Week 28 July 6 - July 12 2020'!E:E,'Week 28 July 6 - July 12 2020'!D:D,'Week 29 July 13 - July 19 2020'!D:D,'Week 28 July 6 - July 12 2020'!C:C,'Week 29 July 13 - July 19 2020'!C:C),"New")</f>
        <v>3124</v>
      </c>
      <c r="J18" s="28">
        <f t="shared" si="0"/>
        <v>-2.2727272727272728E-2</v>
      </c>
    </row>
    <row r="19" spans="1:10" x14ac:dyDescent="0.2">
      <c r="A19" s="26">
        <v>18</v>
      </c>
      <c r="B19" s="18">
        <v>15</v>
      </c>
      <c r="C19" s="18" t="s">
        <v>7</v>
      </c>
      <c r="D19" s="47" t="s">
        <v>17</v>
      </c>
      <c r="E19" s="12">
        <v>2794</v>
      </c>
      <c r="F19" s="12">
        <f>SUMIFS('Week 28 July 6 - July 12 2020'!F:F,'Week 28 July 6 - July 12 2020'!D:D,'Week 29 July 13 - July 19 2020'!D:D,'Week 28 July 6 - July 12 2020'!C:C,'Week 29 July 13 - July 19 2020'!C:C)+Table3611910135557121417525961636567697173757779828486[[#This Row],[Week Sales]]</f>
        <v>865217</v>
      </c>
      <c r="G19" s="18" t="str">
        <f>(VLOOKUP(D:D,'Week 28 July 6 - July 12 2020'!D:G,4,FALSE))</f>
        <v>Nintendo</v>
      </c>
      <c r="H19" s="67">
        <f>(VLOOKUP(D:D,'Week 28 July 6 - July 12 2020'!D:H,5,FALSE))</f>
        <v>43476</v>
      </c>
      <c r="I19" s="12">
        <f>_xlfn.IFNA(SUMIFS('Week 28 July 6 - July 12 2020'!E:E,'Week 28 July 6 - July 12 2020'!D:D,'Week 29 July 13 - July 19 2020'!D:D,'Week 28 July 6 - July 12 2020'!C:C,'Week 29 July 13 - July 19 2020'!C:C),"New")</f>
        <v>2863</v>
      </c>
      <c r="J19" s="28">
        <f t="shared" si="0"/>
        <v>-2.4100593782745372E-2</v>
      </c>
    </row>
    <row r="20" spans="1:10" x14ac:dyDescent="0.2">
      <c r="A20" s="26">
        <v>19</v>
      </c>
      <c r="B20" s="18">
        <v>16</v>
      </c>
      <c r="C20" s="18" t="s">
        <v>7</v>
      </c>
      <c r="D20" s="47" t="s">
        <v>19</v>
      </c>
      <c r="E20" s="12">
        <v>2578</v>
      </c>
      <c r="F20" s="12">
        <f>SUMIFS('Week 28 July 6 - July 12 2020'!F:F,'Week 28 July 6 - July 12 2020'!D:D,'Week 29 July 13 - July 19 2020'!D:D,'Week 28 July 6 - July 12 2020'!C:C,'Week 29 July 13 - July 19 2020'!C:C)+Table3611910135557121417525961636567697173757779828486[[#This Row],[Week Sales]]</f>
        <v>938858</v>
      </c>
      <c r="G20" s="18" t="str">
        <f>(VLOOKUP(D:D,'Week 28 July 6 - July 12 2020'!D:G,4,FALSE))</f>
        <v>Nintendo</v>
      </c>
      <c r="H20" s="67">
        <f>(VLOOKUP(D:D,'Week 28 July 6 - July 12 2020'!D:H,5,FALSE))</f>
        <v>43644</v>
      </c>
      <c r="I20" s="12">
        <f>_xlfn.IFNA(SUMIFS('Week 28 July 6 - July 12 2020'!E:E,'Week 28 July 6 - July 12 2020'!D:D,'Week 29 July 13 - July 19 2020'!D:D,'Week 28 July 6 - July 12 2020'!C:C,'Week 29 July 13 - July 19 2020'!C:C),"New")</f>
        <v>2860</v>
      </c>
      <c r="J20" s="28">
        <f t="shared" si="0"/>
        <v>-9.8601398601398604E-2</v>
      </c>
    </row>
    <row r="21" spans="1:10" x14ac:dyDescent="0.2">
      <c r="A21" s="26">
        <v>20</v>
      </c>
      <c r="B21" s="18">
        <v>24</v>
      </c>
      <c r="C21" s="18" t="s">
        <v>8</v>
      </c>
      <c r="D21" s="47" t="s">
        <v>268</v>
      </c>
      <c r="E21" s="12">
        <v>2520</v>
      </c>
      <c r="F21" s="12">
        <f>SUMIFS('Week 28 July 6 - July 12 2020'!F:F,'Week 28 July 6 - July 12 2020'!D:D,'Week 29 July 13 - July 19 2020'!D:D,'Week 28 July 6 - July 12 2020'!C:C,'Week 29 July 13 - July 19 2020'!C:C)+Table3611910135557121417525961636567697173757779828486[[#This Row],[Week Sales]]</f>
        <v>26670</v>
      </c>
      <c r="G21" s="18" t="str">
        <f>(VLOOKUP(D:D,'Week 28 July 6 - July 12 2020'!D:G,4,FALSE))</f>
        <v>DMM Games</v>
      </c>
      <c r="H21" s="67">
        <f>(VLOOKUP(D:D,'Week 28 July 6 - July 12 2020'!D:H,5,FALSE))</f>
        <v>44007</v>
      </c>
      <c r="I21" s="12">
        <f>_xlfn.IFNA(SUMIFS('Week 28 July 6 - July 12 2020'!E:E,'Week 28 July 6 - July 12 2020'!D:D,'Week 29 July 13 - July 19 2020'!D:D,'Week 28 July 6 - July 12 2020'!C:C,'Week 29 July 13 - July 19 2020'!C:C),"New")</f>
        <v>2001</v>
      </c>
      <c r="J21" s="28">
        <f t="shared" si="0"/>
        <v>0.25937031484257872</v>
      </c>
    </row>
    <row r="22" spans="1:10" x14ac:dyDescent="0.2">
      <c r="A22" s="9">
        <v>21</v>
      </c>
      <c r="B22" s="9" t="s">
        <v>36</v>
      </c>
      <c r="C22" s="9" t="s">
        <v>7</v>
      </c>
      <c r="D22" s="46" t="s">
        <v>280</v>
      </c>
      <c r="E22" s="10">
        <v>2479</v>
      </c>
      <c r="F22" s="10">
        <f>SUMIFS('Week 28 July 6 - July 12 2020'!F:F,'Week 28 July 6 - July 12 2020'!D:D,'Week 29 July 13 - July 19 2020'!D:D,'Week 28 July 6 - July 12 2020'!C:C,'Week 29 July 13 - July 19 2020'!C:C)+Table3611910135557121417525961636567697173757779828486[[#This Row],[Week Sales]]</f>
        <v>2479</v>
      </c>
      <c r="G22" s="9" t="s">
        <v>130</v>
      </c>
      <c r="H22" s="14">
        <v>44028</v>
      </c>
      <c r="I22" s="10" t="s">
        <v>36</v>
      </c>
      <c r="J22" s="92" t="str">
        <f t="shared" si="0"/>
        <v>New</v>
      </c>
    </row>
    <row r="23" spans="1:10" x14ac:dyDescent="0.2">
      <c r="A23" s="26">
        <v>22</v>
      </c>
      <c r="B23" s="18">
        <v>13</v>
      </c>
      <c r="C23" s="18" t="s">
        <v>8</v>
      </c>
      <c r="D23" s="47" t="s">
        <v>262</v>
      </c>
      <c r="E23" s="12">
        <v>2427</v>
      </c>
      <c r="F23" s="12">
        <f>SUMIFS('Week 28 July 6 - July 12 2020'!F:F,'Week 28 July 6 - July 12 2020'!D:D,'Week 29 July 13 - July 19 2020'!D:D,'Week 28 July 6 - July 12 2020'!C:C,'Week 29 July 13 - July 19 2020'!C:C)+Table3611910135557121417525961636567697173757779828486[[#This Row],[Week Sales]]</f>
        <v>220618</v>
      </c>
      <c r="G23" s="18" t="str">
        <f>(VLOOKUP(D:D,'Week 28 July 6 - July 12 2020'!D:G,4,FALSE))</f>
        <v>Sony</v>
      </c>
      <c r="H23" s="67">
        <f>(VLOOKUP(D:D,'Week 28 July 6 - July 12 2020'!D:H,5,FALSE))</f>
        <v>44001</v>
      </c>
      <c r="I23" s="12">
        <f>_xlfn.IFNA(SUMIFS('Week 28 July 6 - July 12 2020'!E:E,'Week 28 July 6 - July 12 2020'!D:D,'Week 29 July 13 - July 19 2020'!D:D,'Week 28 July 6 - July 12 2020'!C:C,'Week 29 July 13 - July 19 2020'!C:C),"New")</f>
        <v>4223</v>
      </c>
      <c r="J23" s="28">
        <f t="shared" si="0"/>
        <v>-0.42529007814349989</v>
      </c>
    </row>
    <row r="24" spans="1:10" x14ac:dyDescent="0.2">
      <c r="A24" s="9">
        <v>23</v>
      </c>
      <c r="B24" s="9" t="s">
        <v>36</v>
      </c>
      <c r="C24" s="9" t="s">
        <v>8</v>
      </c>
      <c r="D24" s="46" t="s">
        <v>280</v>
      </c>
      <c r="E24" s="10">
        <v>2132</v>
      </c>
      <c r="F24" s="10">
        <f>SUMIFS('Week 28 July 6 - July 12 2020'!F:F,'Week 28 July 6 - July 12 2020'!D:D,'Week 29 July 13 - July 19 2020'!D:D,'Week 28 July 6 - July 12 2020'!C:C,'Week 29 July 13 - July 19 2020'!C:C)+Table3611910135557121417525961636567697173757779828486[[#This Row],[Week Sales]]</f>
        <v>2132</v>
      </c>
      <c r="G24" s="9" t="s">
        <v>130</v>
      </c>
      <c r="H24" s="14">
        <v>44028</v>
      </c>
      <c r="I24" s="10" t="s">
        <v>36</v>
      </c>
      <c r="J24" s="92" t="str">
        <f t="shared" si="0"/>
        <v>New</v>
      </c>
    </row>
    <row r="25" spans="1:10" x14ac:dyDescent="0.2">
      <c r="A25" s="26">
        <v>24</v>
      </c>
      <c r="B25" s="18">
        <v>20</v>
      </c>
      <c r="C25" s="18" t="s">
        <v>7</v>
      </c>
      <c r="D25" s="47" t="s">
        <v>79</v>
      </c>
      <c r="E25" s="12">
        <v>2072</v>
      </c>
      <c r="F25" s="12">
        <f>SUMIFS('Week 28 July 6 - July 12 2020'!F:F,'Week 28 July 6 - July 12 2020'!D:D,'Week 29 July 13 - July 19 2020'!D:D,'Week 28 July 6 - July 12 2020'!C:C,'Week 29 July 13 - July 19 2020'!C:C)+Table3611910135557121417525961636567697173757779828486[[#This Row],[Week Sales]]</f>
        <v>664768</v>
      </c>
      <c r="G25" s="18" t="str">
        <f>(VLOOKUP(D:D,'Week 28 July 6 - July 12 2020'!D:G,4,FALSE))</f>
        <v>Nintendo</v>
      </c>
      <c r="H25" s="67">
        <f>(VLOOKUP(D:D,'Week 28 July 6 - July 12 2020'!D:H,5,FALSE))</f>
        <v>43769</v>
      </c>
      <c r="I25" s="12">
        <f>_xlfn.IFNA(SUMIFS('Week 28 July 6 - July 12 2020'!E:E,'Week 28 July 6 - July 12 2020'!D:D,'Week 29 July 13 - July 19 2020'!D:D,'Week 28 July 6 - July 12 2020'!C:C,'Week 29 July 13 - July 19 2020'!C:C),"New")</f>
        <v>2235</v>
      </c>
      <c r="J25" s="28">
        <f t="shared" si="0"/>
        <v>-7.2930648769574946E-2</v>
      </c>
    </row>
    <row r="26" spans="1:10" x14ac:dyDescent="0.2">
      <c r="A26" s="26">
        <v>25</v>
      </c>
      <c r="B26" s="18">
        <v>22</v>
      </c>
      <c r="C26" s="18" t="s">
        <v>7</v>
      </c>
      <c r="D26" s="86" t="s">
        <v>20</v>
      </c>
      <c r="E26" s="12">
        <v>2071</v>
      </c>
      <c r="F26" s="12">
        <f>SUMIFS('Week 28 July 6 - July 12 2020'!F:F,'Week 28 July 6 - July 12 2020'!D:D,'Week 29 July 13 - July 19 2020'!D:D,'Week 28 July 6 - July 12 2020'!C:C,'Week 29 July 13 - July 19 2020'!C:C)+Table3611910135557121417525961636567697173757779828486[[#This Row],[Week Sales]]</f>
        <v>454480</v>
      </c>
      <c r="G26" s="18" t="str">
        <f>(VLOOKUP(D:D,'Week 28 July 6 - July 12 2020'!D:G,4,FALSE))</f>
        <v>Bandai Namco</v>
      </c>
      <c r="H26" s="67">
        <f>(VLOOKUP(D:D,'Week 28 July 6 - July 12 2020'!D:H,5,FALSE))</f>
        <v>43671</v>
      </c>
      <c r="I26" s="12">
        <f>_xlfn.IFNA(SUMIFS('Week 28 July 6 - July 12 2020'!E:E,'Week 28 July 6 - July 12 2020'!D:D,'Week 29 July 13 - July 19 2020'!D:D,'Week 28 July 6 - July 12 2020'!C:C,'Week 29 July 13 - July 19 2020'!C:C),"New")</f>
        <v>2110</v>
      </c>
      <c r="J26" s="28">
        <f t="shared" si="0"/>
        <v>-1.8483412322274882E-2</v>
      </c>
    </row>
    <row r="27" spans="1:10" x14ac:dyDescent="0.2">
      <c r="A27" s="26">
        <v>26</v>
      </c>
      <c r="B27" s="18">
        <v>17</v>
      </c>
      <c r="C27" s="18" t="s">
        <v>8</v>
      </c>
      <c r="D27" s="47" t="s">
        <v>246</v>
      </c>
      <c r="E27" s="12">
        <v>1955</v>
      </c>
      <c r="F27" s="12">
        <f>SUMIFS('Week 28 July 6 - July 12 2020'!F:F,'Week 28 July 6 - July 12 2020'!D:D,'Week 29 July 13 - July 19 2020'!D:D,'Week 28 July 6 - July 12 2020'!C:C,'Week 29 July 13 - July 19 2020'!C:C)+Table3611910135557121417525961636567697173757779828486[[#This Row],[Week Sales]]</f>
        <v>109023</v>
      </c>
      <c r="G27" s="18" t="str">
        <f>(VLOOKUP(D:D,'Week 28 July 6 - July 12 2020'!D:G,4,FALSE))</f>
        <v>Sony</v>
      </c>
      <c r="H27" s="67">
        <f>(VLOOKUP(D:D,'Week 28 July 6 - July 12 2020'!D:H,5,FALSE))</f>
        <v>43307</v>
      </c>
      <c r="I27" s="12">
        <f>_xlfn.IFNA(SUMIFS('Week 28 July 6 - July 12 2020'!E:E,'Week 28 July 6 - July 12 2020'!D:D,'Week 29 July 13 - July 19 2020'!D:D,'Week 28 July 6 - July 12 2020'!C:C,'Week 29 July 13 - July 19 2020'!C:C),"New")</f>
        <v>2733</v>
      </c>
      <c r="J27" s="28">
        <f t="shared" si="0"/>
        <v>-0.28466886205634834</v>
      </c>
    </row>
    <row r="28" spans="1:10" x14ac:dyDescent="0.2">
      <c r="A28" s="26">
        <v>27</v>
      </c>
      <c r="B28" s="18">
        <v>25</v>
      </c>
      <c r="C28" s="18" t="s">
        <v>7</v>
      </c>
      <c r="D28" s="86" t="s">
        <v>83</v>
      </c>
      <c r="E28" s="12">
        <v>1708</v>
      </c>
      <c r="F28" s="12">
        <f>SUMIFS('Week 28 July 6 - July 12 2020'!F:F,'Week 28 July 6 - July 12 2020'!D:D,'Week 29 July 13 - July 19 2020'!D:D,'Week 28 July 6 - July 12 2020'!C:C,'Week 29 July 13 - July 19 2020'!C:C)+Table3611910135557121417525961636567697173757779828486[[#This Row],[Week Sales]]</f>
        <v>535885</v>
      </c>
      <c r="G28" s="18" t="str">
        <f>(VLOOKUP(D:D,'Week 28 July 6 - July 12 2020'!D:G,4,FALSE))</f>
        <v>Square Enix</v>
      </c>
      <c r="H28" s="67">
        <f>(VLOOKUP(D:D,'Week 28 July 6 - July 12 2020'!D:H,5,FALSE))</f>
        <v>43735</v>
      </c>
      <c r="I28" s="12">
        <f>_xlfn.IFNA(SUMIFS('Week 28 July 6 - July 12 2020'!E:E,'Week 28 July 6 - July 12 2020'!D:D,'Week 29 July 13 - July 19 2020'!D:D,'Week 28 July 6 - July 12 2020'!C:C,'Week 29 July 13 - July 19 2020'!C:C),"New")</f>
        <v>1863</v>
      </c>
      <c r="J28" s="28">
        <f t="shared" si="0"/>
        <v>-8.3199141170155658E-2</v>
      </c>
    </row>
    <row r="29" spans="1:10" x14ac:dyDescent="0.2">
      <c r="A29" s="26">
        <v>28</v>
      </c>
      <c r="B29" s="18">
        <v>29</v>
      </c>
      <c r="C29" s="18" t="s">
        <v>7</v>
      </c>
      <c r="D29" s="47" t="s">
        <v>26</v>
      </c>
      <c r="E29" s="12">
        <v>1675</v>
      </c>
      <c r="F29" s="12">
        <f>SUMIFS('Week 28 July 6 - July 12 2020'!F:F,'Week 28 July 6 - July 12 2020'!D:D,'Week 29 July 13 - July 19 2020'!D:D,'Week 28 July 6 - July 12 2020'!C:C,'Week 29 July 13 - July 19 2020'!C:C)+Table3611910135557121417525961636567697173757779828486[[#This Row],[Week Sales]]</f>
        <v>2110990</v>
      </c>
      <c r="G29" s="18" t="str">
        <f>(VLOOKUP(D:D,'Week 28 July 6 - July 12 2020'!D:G,4,FALSE))</f>
        <v>Nintendo</v>
      </c>
      <c r="H29" s="67">
        <f>(VLOOKUP(D:D,'Week 28 July 6 - July 12 2020'!D:H,5,FALSE))</f>
        <v>43035</v>
      </c>
      <c r="I29" s="12">
        <f>_xlfn.IFNA(SUMIFS('Week 28 July 6 - July 12 2020'!E:E,'Week 28 July 6 - July 12 2020'!D:D,'Week 29 July 13 - July 19 2020'!D:D,'Week 28 July 6 - July 12 2020'!C:C,'Week 29 July 13 - July 19 2020'!C:C),"New")</f>
        <v>1654</v>
      </c>
      <c r="J29" s="28">
        <f t="shared" si="0"/>
        <v>1.2696493349455865E-2</v>
      </c>
    </row>
    <row r="30" spans="1:10" x14ac:dyDescent="0.2">
      <c r="A30" s="9">
        <v>29</v>
      </c>
      <c r="B30" s="9" t="s">
        <v>36</v>
      </c>
      <c r="C30" s="9" t="s">
        <v>7</v>
      </c>
      <c r="D30" s="9" t="s">
        <v>281</v>
      </c>
      <c r="E30" s="10">
        <v>1620</v>
      </c>
      <c r="F30" s="10">
        <f>SUMIFS('Week 28 July 6 - July 12 2020'!F:F,'Week 28 July 6 - July 12 2020'!D:D,'Week 29 July 13 - July 19 2020'!D:D,'Week 28 July 6 - July 12 2020'!C:C,'Week 29 July 13 - July 19 2020'!C:C)+Table3611910135557121417525961636567697173757779828486[[#This Row],[Week Sales]]</f>
        <v>1620</v>
      </c>
      <c r="G30" s="9" t="s">
        <v>43</v>
      </c>
      <c r="H30" s="118">
        <v>44028</v>
      </c>
      <c r="I30" s="10" t="s">
        <v>36</v>
      </c>
      <c r="J30" s="92" t="str">
        <f>IFERROR((E30-I30)/I30,"New")</f>
        <v>New</v>
      </c>
    </row>
    <row r="31" spans="1:10" x14ac:dyDescent="0.2">
      <c r="A31" s="26">
        <v>30</v>
      </c>
      <c r="B31" s="18">
        <v>23</v>
      </c>
      <c r="C31" s="18" t="s">
        <v>7</v>
      </c>
      <c r="D31" s="47" t="s">
        <v>56</v>
      </c>
      <c r="E31" s="12">
        <v>1619</v>
      </c>
      <c r="F31" s="12">
        <f>SUMIFS('Week 28 July 6 - July 12 2020'!F:F,'Week 28 July 6 - July 12 2020'!D:D,'Week 29 July 13 - July 19 2020'!D:D,'Week 28 July 6 - July 12 2020'!C:C,'Week 29 July 13 - July 19 2020'!C:C)+Table3611910135557121417525961636567697173757779828486[[#This Row],[Week Sales]]</f>
        <v>11375</v>
      </c>
      <c r="G31" s="18" t="str">
        <f>(VLOOKUP(D:D,'Week 28 July 6 - July 12 2020'!D:G,4,FALSE))</f>
        <v>Teyon Japan</v>
      </c>
      <c r="H31" s="67">
        <f>(VLOOKUP(D:D,'Week 28 July 6 - July 12 2020'!D:H,5,FALSE))</f>
        <v>44007</v>
      </c>
      <c r="I31" s="12">
        <f>_xlfn.IFNA(SUMIFS('Week 28 July 6 - July 12 2020'!E:E,'Week 28 July 6 - July 12 2020'!D:D,'Week 29 July 13 - July 19 2020'!D:D,'Week 28 July 6 - July 12 2020'!C:C,'Week 29 July 13 - July 19 2020'!C:C),"New")</f>
        <v>2088</v>
      </c>
      <c r="J31" s="28">
        <f t="shared" si="0"/>
        <v>-0.2246168582375479</v>
      </c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600796</v>
      </c>
      <c r="F33" s="2"/>
      <c r="I33" s="2"/>
      <c r="J33" s="19"/>
    </row>
    <row r="34" spans="1:10" x14ac:dyDescent="0.2">
      <c r="A34" s="3"/>
      <c r="B34" s="3"/>
      <c r="D34" s="100" t="s">
        <v>178</v>
      </c>
      <c r="E34" s="101">
        <f>SUM('Week 28 July 6 - July 12 2020'!E34,'Week 29 July 13 - July 19 2020'!E33)</f>
        <v>14219175</v>
      </c>
      <c r="F34" s="2"/>
      <c r="I34" s="2"/>
      <c r="J34" s="19"/>
    </row>
    <row r="35" spans="1:10" x14ac:dyDescent="0.2">
      <c r="A35" s="3"/>
      <c r="B35" s="3"/>
      <c r="D35" s="2" t="s">
        <v>60</v>
      </c>
      <c r="E35" s="2">
        <f>AVERAGE(E2:E31)</f>
        <v>20026.533333333333</v>
      </c>
      <c r="F35" s="2"/>
      <c r="I35" s="2"/>
      <c r="J35" s="19"/>
    </row>
    <row r="36" spans="1:10" x14ac:dyDescent="0.2">
      <c r="A36" s="3"/>
      <c r="B36" s="3"/>
      <c r="D36" s="9" t="s">
        <v>78</v>
      </c>
      <c r="E36" s="10">
        <f>COUNTIF(B:B,"New")</f>
        <v>6</v>
      </c>
      <c r="F36" s="2"/>
      <c r="I36" s="2"/>
      <c r="J36" s="19"/>
    </row>
    <row r="37" spans="1:10" x14ac:dyDescent="0.2">
      <c r="A37" s="3"/>
      <c r="B37" s="3"/>
      <c r="E37" s="2"/>
      <c r="F37" s="2"/>
      <c r="I37" s="2"/>
      <c r="J37" s="19"/>
    </row>
    <row r="38" spans="1:10" x14ac:dyDescent="0.2">
      <c r="A38" s="3"/>
      <c r="B38" s="3"/>
      <c r="D38" t="s">
        <v>66</v>
      </c>
      <c r="E38" s="2"/>
      <c r="F38" s="2"/>
      <c r="I38" s="2"/>
      <c r="J38" s="19"/>
    </row>
    <row r="39" spans="1:10" x14ac:dyDescent="0.2">
      <c r="A39" s="3"/>
      <c r="B39" s="3"/>
      <c r="D39" s="8" t="s">
        <v>67</v>
      </c>
      <c r="E39" s="2"/>
      <c r="F39" s="2"/>
      <c r="I39" s="2"/>
      <c r="J39" s="19"/>
    </row>
    <row r="40" spans="1:10" x14ac:dyDescent="0.2">
      <c r="A40" s="3"/>
      <c r="B40" s="3"/>
      <c r="D40" s="8" t="s">
        <v>65</v>
      </c>
      <c r="E40" s="2"/>
      <c r="F40" s="2"/>
      <c r="I40" s="2"/>
      <c r="J40" s="19"/>
    </row>
    <row r="41" spans="1:10" x14ac:dyDescent="0.2">
      <c r="D41" s="8" t="s">
        <v>71</v>
      </c>
    </row>
  </sheetData>
  <hyperlinks>
    <hyperlink ref="D41" r:id="rId1" xr:uid="{6267D0DD-2E23-0A4D-855A-A8C60CEBFF5C}"/>
    <hyperlink ref="D40" r:id="rId2" xr:uid="{D42EBBCF-3EBD-B947-BC6B-DA3196FF0274}"/>
    <hyperlink ref="D39" r:id="rId3" xr:uid="{2B520D0F-2D5A-DD48-8D7F-A9208DCF592D}"/>
  </hyperlinks>
  <pageMargins left="0.7" right="0.7" top="0.75" bottom="0.75" header="0.3" footer="0.3"/>
  <pageSetup paperSize="9" orientation="portrait" horizontalDpi="0" verticalDpi="0"/>
  <ignoredErrors>
    <ignoredError sqref="G2:I30" calculatedColumn="1"/>
  </ignoredErrors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970C4-2B18-0D4D-BFD1-AFAF856590D3}">
  <dimension ref="A1:L41"/>
  <sheetViews>
    <sheetView workbookViewId="0">
      <selection activeCell="E11" sqref="E11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9.83203125" bestFit="1" customWidth="1"/>
    <col min="5" max="5" width="10.83203125" style="2"/>
    <col min="6" max="6" width="10.1640625" style="2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2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2" x14ac:dyDescent="0.2">
      <c r="A2" s="13">
        <v>1</v>
      </c>
      <c r="B2" s="9" t="s">
        <v>36</v>
      </c>
      <c r="C2" s="9" t="s">
        <v>8</v>
      </c>
      <c r="D2" s="9" t="s">
        <v>181</v>
      </c>
      <c r="E2" s="10">
        <v>156993</v>
      </c>
      <c r="F2" s="10">
        <f>SUMIFS('Week 2 Jan 6 - Jan 12 2020'!F:F,'Week 2 Jan 6 - Jan 12 2020'!D:D,'Week 3 Jan 13 - Jan 19 2020'!D:D,'Week 2 Jan 6 - Jan 12 2020'!C:C,'Week 3 Jan 13 - Jan 19 2020'!C:C)+Table36749[[#This Row],[Week Sales]]</f>
        <v>156993</v>
      </c>
      <c r="G2" s="9" t="s">
        <v>95</v>
      </c>
      <c r="H2" s="14">
        <v>43847</v>
      </c>
      <c r="I2" s="10" t="str">
        <f>_xlfn.IFNA(VLOOKUP('Week 3 Jan 13 - Jan 19 2020'!D:D,'Week 2 Jan 6 - Jan 12 2020'!D:E, 2, FALSE),"New")</f>
        <v>New</v>
      </c>
      <c r="J2" s="92" t="str">
        <f>IFERROR((E2-I2)/I2,"New")</f>
        <v>New</v>
      </c>
    </row>
    <row r="3" spans="1:12" x14ac:dyDescent="0.2">
      <c r="A3" s="13">
        <v>2</v>
      </c>
      <c r="B3" s="13" t="s">
        <v>36</v>
      </c>
      <c r="C3" s="9" t="s">
        <v>8</v>
      </c>
      <c r="D3" s="9" t="s">
        <v>182</v>
      </c>
      <c r="E3" s="10">
        <v>89537</v>
      </c>
      <c r="F3" s="10">
        <f>SUMIFS('Week 2 Jan 6 - Jan 12 2020'!F:F,'Week 2 Jan 6 - Jan 12 2020'!D:D,'Week 3 Jan 13 - Jan 19 2020'!D:D,'Week 2 Jan 6 - Jan 12 2020'!C:C,'Week 3 Jan 13 - Jan 19 2020'!C:C)+Table36749[[#This Row],[Week Sales]]</f>
        <v>89537</v>
      </c>
      <c r="G3" s="9" t="s">
        <v>34</v>
      </c>
      <c r="H3" s="14">
        <v>43847</v>
      </c>
      <c r="I3" s="10" t="str">
        <f>_xlfn.IFNA(VLOOKUP('Week 3 Jan 13 - Jan 19 2020'!D:D,'Week 2 Jan 6 - Jan 12 2020'!D:E, 2, FALSE),"New")</f>
        <v>New</v>
      </c>
      <c r="J3" s="92" t="str">
        <f t="shared" ref="J3:J23" si="0">IFERROR((E3-I3)/I3,"New")</f>
        <v>New</v>
      </c>
    </row>
    <row r="4" spans="1:12" x14ac:dyDescent="0.2">
      <c r="A4" s="27">
        <v>3</v>
      </c>
      <c r="B4" s="27">
        <v>1</v>
      </c>
      <c r="C4" s="18" t="s">
        <v>7</v>
      </c>
      <c r="D4" s="86" t="s">
        <v>62</v>
      </c>
      <c r="E4" s="71">
        <v>55604</v>
      </c>
      <c r="F4" s="12">
        <f>SUMIFS('Week 2 Jan 6 - Jan 12 2020'!F:F,'Week 2 Jan 6 - Jan 12 2020'!D:D,'Week 3 Jan 13 - Jan 19 2020'!D:D,'Week 2 Jan 6 - Jan 12 2020'!C:C,'Week 3 Jan 13 - Jan 19 2020'!C:C)+Table36749[[#This Row],[Week Sales]]</f>
        <v>3312358</v>
      </c>
      <c r="G4" s="18" t="str">
        <f>(VLOOKUP(D:D,'Week 2 Jan 6 - Jan 12 2020'!D:G,4,FALSE))</f>
        <v>The Pokemon Company</v>
      </c>
      <c r="H4" s="67">
        <f>(VLOOKUP(D:D,'Week 2 Jan 6 - Jan 12 2020'!D:H,5,FALSE))</f>
        <v>43784</v>
      </c>
      <c r="I4" s="12">
        <f>_xlfn.IFNA(VLOOKUP('Week 3 Jan 13 - Jan 19 2020'!D:D,'Week 2 Jan 6 - Jan 12 2020'!D:E, 2, FALSE),"New")</f>
        <v>71695</v>
      </c>
      <c r="J4" s="28">
        <f t="shared" si="0"/>
        <v>-0.22443685054745799</v>
      </c>
    </row>
    <row r="5" spans="1:12" x14ac:dyDescent="0.2">
      <c r="A5" s="27">
        <v>4</v>
      </c>
      <c r="B5" s="27">
        <v>2</v>
      </c>
      <c r="C5" s="18" t="s">
        <v>7</v>
      </c>
      <c r="D5" s="86" t="s">
        <v>45</v>
      </c>
      <c r="E5" s="12">
        <v>35860</v>
      </c>
      <c r="F5" s="12">
        <f>SUMIFS('Week 2 Jan 6 - Jan 12 2020'!F:F,'Week 2 Jan 6 - Jan 12 2020'!D:D,'Week 3 Jan 13 - Jan 19 2020'!D:D,'Week 2 Jan 6 - Jan 12 2020'!C:C,'Week 3 Jan 13 - Jan 19 2020'!C:C)+Table36749[[#This Row],[Week Sales]]</f>
        <v>583429</v>
      </c>
      <c r="G5" s="18" t="str">
        <f>(VLOOKUP(D:D,'Week 2 Jan 6 - Jan 12 2020'!D:G,4,FALSE))</f>
        <v>Nintendo</v>
      </c>
      <c r="H5" s="67">
        <f>(VLOOKUP(D:D,'Week 2 Jan 6 - Jan 12 2020'!D:H,5,FALSE))</f>
        <v>43756</v>
      </c>
      <c r="I5" s="12">
        <f>_xlfn.IFNA(VLOOKUP('Week 3 Jan 13 - Jan 19 2020'!D:D,'Week 2 Jan 6 - Jan 12 2020'!D:E, 2, FALSE),"New")</f>
        <v>21498</v>
      </c>
      <c r="J5" s="28">
        <f t="shared" si="0"/>
        <v>0.66806214531584329</v>
      </c>
    </row>
    <row r="6" spans="1:12" x14ac:dyDescent="0.2">
      <c r="A6" s="13">
        <v>5</v>
      </c>
      <c r="B6" s="9" t="s">
        <v>36</v>
      </c>
      <c r="C6" s="9" t="s">
        <v>8</v>
      </c>
      <c r="D6" s="9" t="s">
        <v>180</v>
      </c>
      <c r="E6" s="10">
        <v>20095</v>
      </c>
      <c r="F6" s="10">
        <f>SUMIFS('Week 2 Jan 6 - Jan 12 2020'!F:F,'Week 2 Jan 6 - Jan 12 2020'!D:D,'Week 3 Jan 13 - Jan 19 2020'!D:D,'Week 2 Jan 6 - Jan 12 2020'!C:C,'Week 3 Jan 13 - Jan 19 2020'!C:C)+Table36749[[#This Row],[Week Sales]]</f>
        <v>20095</v>
      </c>
      <c r="G6" s="9" t="s">
        <v>166</v>
      </c>
      <c r="H6" s="14">
        <v>43847</v>
      </c>
      <c r="I6" s="10" t="str">
        <f>_xlfn.IFNA(VLOOKUP('Week 3 Jan 13 - Jan 19 2020'!D:D,'Week 2 Jan 6 - Jan 12 2020'!D:E, 2, FALSE),"New")</f>
        <v>New</v>
      </c>
      <c r="J6" s="92" t="str">
        <f t="shared" si="0"/>
        <v>New</v>
      </c>
    </row>
    <row r="7" spans="1:12" x14ac:dyDescent="0.2">
      <c r="A7" s="13">
        <v>6</v>
      </c>
      <c r="B7" s="13" t="s">
        <v>36</v>
      </c>
      <c r="C7" s="9" t="s">
        <v>7</v>
      </c>
      <c r="D7" s="9" t="s">
        <v>183</v>
      </c>
      <c r="E7" s="10">
        <v>18797</v>
      </c>
      <c r="F7" s="10">
        <f>SUMIFS('Week 2 Jan 6 - Jan 12 2020'!F:F,'Week 2 Jan 6 - Jan 12 2020'!D:D,'Week 3 Jan 13 - Jan 19 2020'!D:D,'Week 2 Jan 6 - Jan 12 2020'!C:C,'Week 3 Jan 13 - Jan 19 2020'!C:C)+Table36749[[#This Row],[Week Sales]]</f>
        <v>18797</v>
      </c>
      <c r="G7" s="9" t="s">
        <v>9</v>
      </c>
      <c r="H7" s="14">
        <v>43847</v>
      </c>
      <c r="I7" s="10" t="str">
        <f>_xlfn.IFNA(VLOOKUP('Week 3 Jan 13 - Jan 19 2020'!D:D,'Week 2 Jan 6 - Jan 12 2020'!D:E, 2, FALSE),"New")</f>
        <v>New</v>
      </c>
      <c r="J7" s="92" t="str">
        <f t="shared" si="0"/>
        <v>New</v>
      </c>
    </row>
    <row r="8" spans="1:12" x14ac:dyDescent="0.2">
      <c r="A8" s="27">
        <v>7</v>
      </c>
      <c r="B8" s="27">
        <v>4</v>
      </c>
      <c r="C8" s="18" t="s">
        <v>7</v>
      </c>
      <c r="D8" s="86" t="s">
        <v>16</v>
      </c>
      <c r="E8" s="12">
        <v>15790</v>
      </c>
      <c r="F8" s="12">
        <f>SUMIFS('Week 2 Jan 6 - Jan 12 2020'!F:F,'Week 2 Jan 6 - Jan 12 2020'!D:D,'Week 3 Jan 13 - Jan 19 2020'!D:D,'Week 2 Jan 6 - Jan 12 2020'!C:C,'Week 3 Jan 13 - Jan 19 2020'!C:C)+Table36749[[#This Row],[Week Sales]]</f>
        <v>107698</v>
      </c>
      <c r="G8" s="18" t="str">
        <f>(VLOOKUP(D:D,'Week 2 Jan 6 - Jan 12 2020'!D:G,4,FALSE))</f>
        <v>Nintendo</v>
      </c>
      <c r="H8" s="67">
        <f>(VLOOKUP(D:D,'Week 2 Jan 6 - Jan 12 2020'!D:H,5,FALSE))</f>
        <v>43826</v>
      </c>
      <c r="I8" s="12">
        <f>_xlfn.IFNA(VLOOKUP('Week 3 Jan 13 - Jan 19 2020'!D:D,'Week 2 Jan 6 - Jan 12 2020'!D:E, 2, FALSE),"New")</f>
        <v>15757</v>
      </c>
      <c r="J8" s="28">
        <f t="shared" si="0"/>
        <v>2.0943072919972078E-3</v>
      </c>
    </row>
    <row r="9" spans="1:12" x14ac:dyDescent="0.2">
      <c r="A9" s="27">
        <v>8</v>
      </c>
      <c r="B9" s="27">
        <v>3</v>
      </c>
      <c r="C9" s="18" t="s">
        <v>7</v>
      </c>
      <c r="D9" s="86" t="s">
        <v>12</v>
      </c>
      <c r="E9" s="12">
        <v>13919</v>
      </c>
      <c r="F9" s="12">
        <f>SUMIFS('Week 2 Jan 6 - Jan 12 2020'!F:F,'Week 2 Jan 6 - Jan 12 2020'!D:D,'Week 3 Jan 13 - Jan 19 2020'!D:D,'Week 2 Jan 6 - Jan 12 2020'!C:C,'Week 3 Jan 13 - Jan 19 2020'!C:C)+Table36749[[#This Row],[Week Sales]]</f>
        <v>1222666</v>
      </c>
      <c r="G9" s="18" t="str">
        <f>(VLOOKUP(D:D,'Week 2 Jan 6 - Jan 12 2020'!D:G,4,FALSE))</f>
        <v>Microsoft</v>
      </c>
      <c r="H9" s="67">
        <f>(VLOOKUP(D:D,'Week 2 Jan 6 - Jan 12 2020'!D:H,5,FALSE))</f>
        <v>43272</v>
      </c>
      <c r="I9" s="12">
        <f>_xlfn.IFNA(VLOOKUP('Week 3 Jan 13 - Jan 19 2020'!D:D,'Week 2 Jan 6 - Jan 12 2020'!D:E, 2, FALSE),"New")</f>
        <v>15845</v>
      </c>
      <c r="J9" s="28">
        <f t="shared" si="0"/>
        <v>-0.12155254023351215</v>
      </c>
    </row>
    <row r="10" spans="1:12" x14ac:dyDescent="0.2">
      <c r="A10" s="27">
        <v>9</v>
      </c>
      <c r="B10" s="27">
        <v>6</v>
      </c>
      <c r="C10" s="18" t="s">
        <v>7</v>
      </c>
      <c r="D10" s="86" t="s">
        <v>49</v>
      </c>
      <c r="E10" s="12">
        <v>12370</v>
      </c>
      <c r="F10" s="12">
        <f>SUMIFS('Week 2 Jan 6 - Jan 12 2020'!F:F,'Week 2 Jan 6 - Jan 12 2020'!D:D,'Week 3 Jan 13 - Jan 19 2020'!D:D,'Week 2 Jan 6 - Jan 12 2020'!C:C,'Week 3 Jan 13 - Jan 19 2020'!C:C)+Table36749[[#This Row],[Week Sales]]</f>
        <v>2737674</v>
      </c>
      <c r="G10" s="18" t="str">
        <f>(VLOOKUP(D:D,'Week 2 Jan 6 - Jan 12 2020'!D:G,4,FALSE))</f>
        <v>Nintendo</v>
      </c>
      <c r="H10" s="67">
        <f>(VLOOKUP(D:D,'Week 2 Jan 6 - Jan 12 2020'!D:H,5,FALSE))</f>
        <v>42853</v>
      </c>
      <c r="I10" s="12">
        <f>_xlfn.IFNA(VLOOKUP('Week 3 Jan 13 - Jan 19 2020'!D:D,'Week 2 Jan 6 - Jan 12 2020'!D:E, 2, FALSE),"New")</f>
        <v>14100</v>
      </c>
      <c r="J10" s="28">
        <f t="shared" si="0"/>
        <v>-0.1226950354609929</v>
      </c>
    </row>
    <row r="11" spans="1:12" x14ac:dyDescent="0.2">
      <c r="A11" s="27">
        <v>10</v>
      </c>
      <c r="B11" s="27">
        <v>5</v>
      </c>
      <c r="C11" s="18" t="s">
        <v>7</v>
      </c>
      <c r="D11" s="86" t="s">
        <v>52</v>
      </c>
      <c r="E11" s="12">
        <v>12347</v>
      </c>
      <c r="F11" s="12">
        <f>SUMIFS('Week 2 Jan 6 - Jan 12 2020'!F:F,'Week 2 Jan 6 - Jan 12 2020'!D:D,'Week 3 Jan 13 - Jan 19 2020'!D:D,'Week 2 Jan 6 - Jan 12 2020'!C:C,'Week 3 Jan 13 - Jan 19 2020'!C:C)+Table36749[[#This Row],[Week Sales]]</f>
        <v>3522802</v>
      </c>
      <c r="G11" s="18" t="str">
        <f>(VLOOKUP(D:D,'Week 2 Jan 6 - Jan 12 2020'!D:G,4,FALSE))</f>
        <v>Nintendo</v>
      </c>
      <c r="H11" s="67">
        <f>(VLOOKUP(D:D,'Week 2 Jan 6 - Jan 12 2020'!D:H,5,FALSE))</f>
        <v>43441</v>
      </c>
      <c r="I11" s="12">
        <f>_xlfn.IFNA(VLOOKUP('Week 3 Jan 13 - Jan 19 2020'!D:D,'Week 2 Jan 6 - Jan 12 2020'!D:E, 2, FALSE),"New")</f>
        <v>14129</v>
      </c>
      <c r="J11" s="28">
        <f t="shared" si="0"/>
        <v>-0.12612357562460189</v>
      </c>
    </row>
    <row r="12" spans="1:12" x14ac:dyDescent="0.2">
      <c r="A12" s="27">
        <v>11</v>
      </c>
      <c r="B12" s="27">
        <v>7</v>
      </c>
      <c r="C12" s="18" t="s">
        <v>7</v>
      </c>
      <c r="D12" s="86" t="s">
        <v>79</v>
      </c>
      <c r="E12" s="12">
        <v>8676</v>
      </c>
      <c r="F12" s="12">
        <f>SUMIFS('Week 2 Jan 6 - Jan 12 2020'!F:F,'Week 2 Jan 6 - Jan 12 2020'!D:D,'Week 3 Jan 13 - Jan 19 2020'!D:D,'Week 2 Jan 6 - Jan 12 2020'!C:C,'Week 3 Jan 13 - Jan 19 2020'!C:C)+Table36749[[#This Row],[Week Sales]]</f>
        <v>578747</v>
      </c>
      <c r="G12" s="18" t="str">
        <f>(VLOOKUP(D:D,'Week 2 Jan 6 - Jan 12 2020'!D:G,4,FALSE))</f>
        <v>Nintendo</v>
      </c>
      <c r="H12" s="67">
        <f>(VLOOKUP(D:D,'Week 2 Jan 6 - Jan 12 2020'!D:H,5,FALSE))</f>
        <v>43769</v>
      </c>
      <c r="I12" s="12">
        <f>_xlfn.IFNA(VLOOKUP('Week 3 Jan 13 - Jan 19 2020'!D:D,'Week 2 Jan 6 - Jan 12 2020'!D:E, 2, FALSE),"New")</f>
        <v>11639</v>
      </c>
      <c r="J12" s="28">
        <f t="shared" si="0"/>
        <v>-0.25457513532090387</v>
      </c>
    </row>
    <row r="13" spans="1:12" x14ac:dyDescent="0.2">
      <c r="A13" s="13">
        <v>12</v>
      </c>
      <c r="B13" s="13" t="s">
        <v>36</v>
      </c>
      <c r="C13" s="9" t="s">
        <v>8</v>
      </c>
      <c r="D13" s="9" t="s">
        <v>184</v>
      </c>
      <c r="E13" s="10">
        <v>7749</v>
      </c>
      <c r="F13" s="10">
        <f>SUMIFS('Week 2 Jan 6 - Jan 12 2020'!F:F,'Week 2 Jan 6 - Jan 12 2020'!D:D,'Week 3 Jan 13 - Jan 19 2020'!D:D,'Week 2 Jan 6 - Jan 12 2020'!C:C,'Week 3 Jan 13 - Jan 19 2020'!C:C)+Table36749[[#This Row],[Week Sales]]</f>
        <v>7749</v>
      </c>
      <c r="G13" s="9" t="s">
        <v>97</v>
      </c>
      <c r="H13" s="14">
        <v>43846</v>
      </c>
      <c r="I13" s="10" t="str">
        <f>_xlfn.IFNA(VLOOKUP('Week 3 Jan 13 - Jan 19 2020'!D:D,'Week 2 Jan 6 - Jan 12 2020'!D:E, 2, FALSE),"New")</f>
        <v>New</v>
      </c>
      <c r="J13" s="92" t="str">
        <f t="shared" si="0"/>
        <v>New</v>
      </c>
    </row>
    <row r="14" spans="1:12" x14ac:dyDescent="0.2">
      <c r="A14" s="27">
        <v>13</v>
      </c>
      <c r="B14" s="27">
        <v>8</v>
      </c>
      <c r="C14" s="18" t="s">
        <v>7</v>
      </c>
      <c r="D14" s="86" t="s">
        <v>13</v>
      </c>
      <c r="E14" s="12">
        <v>7690</v>
      </c>
      <c r="F14" s="12">
        <f>SUMIFS('Week 2 Jan 6 - Jan 12 2020'!F:F,'Week 2 Jan 6 - Jan 12 2020'!D:D,'Week 3 Jan 13 - Jan 19 2020'!D:D,'Week 2 Jan 6 - Jan 12 2020'!C:C,'Week 3 Jan 13 - Jan 19 2020'!C:C)+Table36749[[#This Row],[Week Sales]]</f>
        <v>1318863</v>
      </c>
      <c r="G14" s="18" t="str">
        <f>(VLOOKUP(D:D,'Week 2 Jan 6 - Jan 12 2020'!D:G,4,FALSE))</f>
        <v>Nintendo</v>
      </c>
      <c r="H14" s="67">
        <f>(VLOOKUP(D:D,'Week 2 Jan 6 - Jan 12 2020'!D:H,5,FALSE))</f>
        <v>43378</v>
      </c>
      <c r="I14" s="12">
        <f>_xlfn.IFNA(VLOOKUP('Week 3 Jan 13 - Jan 19 2020'!D:D,'Week 2 Jan 6 - Jan 12 2020'!D:E, 2, FALSE),"New")</f>
        <v>9560</v>
      </c>
      <c r="J14" s="28">
        <f t="shared" si="0"/>
        <v>-0.19560669456066945</v>
      </c>
    </row>
    <row r="15" spans="1:12" x14ac:dyDescent="0.2">
      <c r="A15" s="27">
        <v>14</v>
      </c>
      <c r="B15" s="27">
        <v>9</v>
      </c>
      <c r="C15" s="18" t="s">
        <v>7</v>
      </c>
      <c r="D15" s="86" t="s">
        <v>80</v>
      </c>
      <c r="E15" s="12">
        <v>7193</v>
      </c>
      <c r="F15" s="12">
        <f>SUMIFS('Week 2 Jan 6 - Jan 12 2020'!F:F,'Week 2 Jan 6 - Jan 12 2020'!D:D,'Week 3 Jan 13 - Jan 19 2020'!D:D,'Week 2 Jan 6 - Jan 12 2020'!C:C,'Week 3 Jan 13 - Jan 19 2020'!C:C)+Table36749[[#This Row],[Week Sales]]</f>
        <v>255700</v>
      </c>
      <c r="G15" s="18" t="str">
        <f>(VLOOKUP(D:D,'Week 2 Jan 6 - Jan 12 2020'!D:G,4,FALSE))</f>
        <v>Sega</v>
      </c>
      <c r="H15" s="67">
        <f>(VLOOKUP(D:D,'Week 2 Jan 6 - Jan 12 2020'!D:H,5,FALSE))</f>
        <v>43770</v>
      </c>
      <c r="I15" s="12">
        <f>_xlfn.IFNA(VLOOKUP('Week 3 Jan 13 - Jan 19 2020'!D:D,'Week 2 Jan 6 - Jan 12 2020'!D:E, 2, FALSE),"New")</f>
        <v>8774</v>
      </c>
      <c r="J15" s="28">
        <f t="shared" si="0"/>
        <v>-0.18019147481194439</v>
      </c>
    </row>
    <row r="16" spans="1:12" x14ac:dyDescent="0.2">
      <c r="A16" s="27">
        <v>15</v>
      </c>
      <c r="B16" s="27">
        <v>10</v>
      </c>
      <c r="C16" s="18" t="s">
        <v>7</v>
      </c>
      <c r="D16" s="86" t="s">
        <v>10</v>
      </c>
      <c r="E16" s="12">
        <v>7023</v>
      </c>
      <c r="F16" s="12">
        <f>SUMIFS('Week 2 Jan 6 - Jan 12 2020'!F:F,'Week 2 Jan 6 - Jan 12 2020'!D:D,'Week 3 Jan 13 - Jan 19 2020'!D:D,'Week 2 Jan 6 - Jan 12 2020'!C:C,'Week 3 Jan 13 - Jan 19 2020'!C:C)+Table36749[[#This Row],[Week Sales]]</f>
        <v>3295293</v>
      </c>
      <c r="G16" s="18" t="str">
        <f>(VLOOKUP(D:D,'Week 2 Jan 6 - Jan 12 2020'!D:G,4,FALSE))</f>
        <v>Nintendo</v>
      </c>
      <c r="H16" s="67">
        <f>(VLOOKUP(D:D,'Week 2 Jan 6 - Jan 12 2020'!D:H,5,FALSE))</f>
        <v>42937</v>
      </c>
      <c r="I16" s="12">
        <f>_xlfn.IFNA(VLOOKUP('Week 3 Jan 13 - Jan 19 2020'!D:D,'Week 2 Jan 6 - Jan 12 2020'!D:E, 2, FALSE),"New")</f>
        <v>8055</v>
      </c>
      <c r="J16" s="28">
        <f t="shared" si="0"/>
        <v>-0.12811918063314712</v>
      </c>
      <c r="L16" s="86"/>
    </row>
    <row r="17" spans="1:12" x14ac:dyDescent="0.2">
      <c r="A17" s="27">
        <v>16</v>
      </c>
      <c r="B17" s="27">
        <v>11</v>
      </c>
      <c r="C17" s="18" t="s">
        <v>7</v>
      </c>
      <c r="D17" s="86" t="s">
        <v>19</v>
      </c>
      <c r="E17" s="12">
        <v>5096</v>
      </c>
      <c r="F17" s="12">
        <f>SUMIFS('Week 2 Jan 6 - Jan 12 2020'!F:F,'Week 2 Jan 6 - Jan 12 2020'!D:D,'Week 3 Jan 13 - Jan 19 2020'!D:D,'Week 2 Jan 6 - Jan 12 2020'!C:C,'Week 3 Jan 13 - Jan 19 2020'!C:C)+Table36749[[#This Row],[Week Sales]]</f>
        <v>839314</v>
      </c>
      <c r="G17" s="18" t="str">
        <f>(VLOOKUP(D:D,'Week 2 Jan 6 - Jan 12 2020'!D:G,4,FALSE))</f>
        <v>Nintendo</v>
      </c>
      <c r="H17" s="67">
        <f>(VLOOKUP(D:D,'Week 2 Jan 6 - Jan 12 2020'!D:H,5,FALSE))</f>
        <v>43644</v>
      </c>
      <c r="I17" s="12">
        <f>_xlfn.IFNA(VLOOKUP('Week 3 Jan 13 - Jan 19 2020'!D:D,'Week 2 Jan 6 - Jan 12 2020'!D:E, 2, FALSE),"New")</f>
        <v>6336</v>
      </c>
      <c r="J17" s="28">
        <f t="shared" si="0"/>
        <v>-0.19570707070707072</v>
      </c>
    </row>
    <row r="18" spans="1:12" x14ac:dyDescent="0.2">
      <c r="A18" s="27">
        <v>17</v>
      </c>
      <c r="B18" s="27">
        <v>12</v>
      </c>
      <c r="C18" s="18" t="s">
        <v>7</v>
      </c>
      <c r="D18" s="86" t="s">
        <v>20</v>
      </c>
      <c r="E18" s="12">
        <v>4738</v>
      </c>
      <c r="F18" s="12">
        <f>SUMIFS('Week 2 Jan 6 - Jan 12 2020'!F:F,'Week 2 Jan 6 - Jan 12 2020'!D:D,'Week 3 Jan 13 - Jan 19 2020'!D:D,'Week 2 Jan 6 - Jan 12 2020'!C:C,'Week 3 Jan 13 - Jan 19 2020'!C:C)+Table36749[[#This Row],[Week Sales]]</f>
        <v>377671</v>
      </c>
      <c r="G18" s="18" t="str">
        <f>(VLOOKUP(D:D,'Week 2 Jan 6 - Jan 12 2020'!D:G,4,FALSE))</f>
        <v>Bandai Namco</v>
      </c>
      <c r="H18" s="67">
        <f>(VLOOKUP(D:D,'Week 2 Jan 6 - Jan 12 2020'!D:H,5,FALSE))</f>
        <v>43671</v>
      </c>
      <c r="I18" s="12">
        <f>_xlfn.IFNA(VLOOKUP('Week 3 Jan 13 - Jan 19 2020'!D:D,'Week 2 Jan 6 - Jan 12 2020'!D:E, 2, FALSE),"New")</f>
        <v>5233</v>
      </c>
      <c r="J18" s="28">
        <f t="shared" si="0"/>
        <v>-9.4592012230078348E-2</v>
      </c>
    </row>
    <row r="19" spans="1:12" x14ac:dyDescent="0.2">
      <c r="A19" s="27">
        <v>18</v>
      </c>
      <c r="B19" s="27">
        <v>13</v>
      </c>
      <c r="C19" s="18" t="s">
        <v>7</v>
      </c>
      <c r="D19" s="86" t="s">
        <v>39</v>
      </c>
      <c r="E19" s="12">
        <v>4488</v>
      </c>
      <c r="F19" s="12">
        <f>SUMIFS('Week 2 Jan 6 - Jan 12 2020'!F:F,'Week 2 Jan 6 - Jan 12 2020'!D:D,'Week 3 Jan 13 - Jan 19 2020'!D:D,'Week 2 Jan 6 - Jan 12 2020'!C:C,'Week 3 Jan 13 - Jan 19 2020'!C:C)+Table36749[[#This Row],[Week Sales]]</f>
        <v>1502526</v>
      </c>
      <c r="G19" s="18" t="str">
        <f>(VLOOKUP(D:D,'Week 2 Jan 6 - Jan 12 2020'!D:G,4,FALSE))</f>
        <v>Nintendo</v>
      </c>
      <c r="H19" s="67">
        <f>(VLOOKUP(D:D,'Week 2 Jan 6 - Jan 12 2020'!D:H,5,FALSE))</f>
        <v>42797</v>
      </c>
      <c r="I19" s="12">
        <f>_xlfn.IFNA(VLOOKUP('Week 3 Jan 13 - Jan 19 2020'!D:D,'Week 2 Jan 6 - Jan 12 2020'!D:E, 2, FALSE),"New")</f>
        <v>5103</v>
      </c>
      <c r="J19" s="28">
        <f t="shared" si="0"/>
        <v>-0.12051734273956496</v>
      </c>
    </row>
    <row r="20" spans="1:12" x14ac:dyDescent="0.2">
      <c r="A20" s="27">
        <v>19</v>
      </c>
      <c r="B20" s="27">
        <v>20</v>
      </c>
      <c r="C20" s="18" t="s">
        <v>8</v>
      </c>
      <c r="D20" s="86" t="s">
        <v>117</v>
      </c>
      <c r="E20" s="12">
        <v>4329</v>
      </c>
      <c r="F20" s="12">
        <f>SUMIFS('Week 2 Jan 6 - Jan 12 2020'!F:F,'Week 2 Jan 6 - Jan 12 2020'!D:D,'Week 3 Jan 13 - Jan 19 2020'!D:D,'Week 2 Jan 6 - Jan 12 2020'!C:C,'Week 3 Jan 13 - Jan 19 2020'!C:C)+Table36749[[#This Row],[Week Sales]]</f>
        <v>57681</v>
      </c>
      <c r="G20" s="18" t="str">
        <f>(VLOOKUP(D:D,'Week 2 Jan 6 - Jan 12 2020'!D:G,4,FALSE))</f>
        <v>Atlus</v>
      </c>
      <c r="H20" s="67">
        <f>(VLOOKUP(D:D,'Week 2 Jan 6 - Jan 12 2020'!D:H,5,FALSE))</f>
        <v>43797</v>
      </c>
      <c r="I20" s="12">
        <f>_xlfn.IFNA(VLOOKUP('Week 3 Jan 13 - Jan 19 2020'!D:D,'Week 2 Jan 6 - Jan 12 2020'!D:E, 2, FALSE),"New")</f>
        <v>2856</v>
      </c>
      <c r="J20" s="28">
        <f t="shared" si="0"/>
        <v>0.51575630252100846</v>
      </c>
    </row>
    <row r="21" spans="1:12" x14ac:dyDescent="0.2">
      <c r="A21" s="27">
        <v>20</v>
      </c>
      <c r="B21" s="27">
        <v>14</v>
      </c>
      <c r="C21" s="18" t="s">
        <v>7</v>
      </c>
      <c r="D21" s="86" t="s">
        <v>17</v>
      </c>
      <c r="E21" s="12">
        <v>3202</v>
      </c>
      <c r="F21" s="12">
        <f>SUMIFS('Week 2 Jan 6 - Jan 12 2020'!F:F,'Week 2 Jan 6 - Jan 12 2020'!D:D,'Week 3 Jan 13 - Jan 19 2020'!D:D,'Week 2 Jan 6 - Jan 12 2020'!C:C,'Week 3 Jan 13 - Jan 19 2020'!C:C)+Table36749[[#This Row],[Week Sales]]</f>
        <v>768672</v>
      </c>
      <c r="G21" s="18" t="str">
        <f>(VLOOKUP(D:D,'Week 2 Jan 6 - Jan 12 2020'!D:G,4,FALSE))</f>
        <v>Nintendo</v>
      </c>
      <c r="H21" s="67">
        <f>(VLOOKUP(D:D,'Week 2 Jan 6 - Jan 12 2020'!D:H,5,FALSE))</f>
        <v>43476</v>
      </c>
      <c r="I21" s="12">
        <f>_xlfn.IFNA(VLOOKUP('Week 3 Jan 13 - Jan 19 2020'!D:D,'Week 2 Jan 6 - Jan 12 2020'!D:E, 2, FALSE),"New")</f>
        <v>3440</v>
      </c>
      <c r="J21" s="28">
        <f t="shared" si="0"/>
        <v>-6.9186046511627908E-2</v>
      </c>
    </row>
    <row r="22" spans="1:12" x14ac:dyDescent="0.2">
      <c r="A22" s="27">
        <v>21</v>
      </c>
      <c r="B22" s="27">
        <v>16</v>
      </c>
      <c r="C22" s="18" t="s">
        <v>7</v>
      </c>
      <c r="D22" s="86" t="s">
        <v>83</v>
      </c>
      <c r="E22" s="12">
        <v>2927</v>
      </c>
      <c r="F22" s="12">
        <f>SUMIFS('Week 2 Jan 6 - Jan 12 2020'!F:F,'Week 2 Jan 6 - Jan 12 2020'!D:D,'Week 3 Jan 13 - Jan 19 2020'!D:D,'Week 2 Jan 6 - Jan 12 2020'!C:C,'Week 3 Jan 13 - Jan 19 2020'!C:C)+Table36749[[#This Row],[Week Sales]]</f>
        <v>477782</v>
      </c>
      <c r="G22" s="18" t="str">
        <f>(VLOOKUP(D:D,'Week 2 Jan 6 - Jan 12 2020'!D:G,4,FALSE))</f>
        <v>Square Enix</v>
      </c>
      <c r="H22" s="67">
        <f>(VLOOKUP(D:D,'Week 2 Jan 6 - Jan 12 2020'!D:H,5,FALSE))</f>
        <v>43735</v>
      </c>
      <c r="I22" s="12">
        <f>_xlfn.IFNA(VLOOKUP('Week 3 Jan 13 - Jan 19 2020'!D:D,'Week 2 Jan 6 - Jan 12 2020'!D:E, 2, FALSE),"New")</f>
        <v>3183</v>
      </c>
      <c r="J22" s="28">
        <f t="shared" si="0"/>
        <v>-8.0427269871190699E-2</v>
      </c>
      <c r="L22" s="86"/>
    </row>
    <row r="23" spans="1:12" x14ac:dyDescent="0.2">
      <c r="A23" s="27">
        <v>22</v>
      </c>
      <c r="B23" s="18">
        <v>19</v>
      </c>
      <c r="C23" s="18" t="s">
        <v>7</v>
      </c>
      <c r="D23" s="86" t="s">
        <v>25</v>
      </c>
      <c r="E23" s="12">
        <v>2599</v>
      </c>
      <c r="F23" s="12">
        <f>SUMIFS('Week 2 Jan 6 - Jan 12 2020'!F:F,'Week 2 Jan 6 - Jan 12 2020'!D:D,'Week 3 Jan 13 - Jan 19 2020'!D:D,'Week 2 Jan 6 - Jan 12 2020'!C:C,'Week 3 Jan 13 - Jan 19 2020'!C:C)+Table36749[[#This Row],[Week Sales]]</f>
        <v>437278</v>
      </c>
      <c r="G23" s="18" t="str">
        <f>(VLOOKUP(D:D,'Week 2 Jan 6 - Jan 12 2020'!D:G,4,FALSE))</f>
        <v>Bandai Namco</v>
      </c>
      <c r="H23" s="67">
        <f>(VLOOKUP(D:D,'Week 2 Jan 6 - Jan 12 2020'!D:H,5,FALSE))</f>
        <v>43300</v>
      </c>
      <c r="I23" s="12">
        <f>_xlfn.IFNA(VLOOKUP('Week 3 Jan 13 - Jan 19 2020'!D:D,'Week 2 Jan 6 - Jan 12 2020'!D:E, 2, FALSE),"New")</f>
        <v>2889</v>
      </c>
      <c r="J23" s="28">
        <f t="shared" si="0"/>
        <v>-0.10038075458636206</v>
      </c>
    </row>
    <row r="24" spans="1:12" x14ac:dyDescent="0.2">
      <c r="A24" s="29">
        <v>23</v>
      </c>
      <c r="B24" s="29" t="s">
        <v>53</v>
      </c>
      <c r="C24" s="31" t="s">
        <v>7</v>
      </c>
      <c r="D24" s="31" t="s">
        <v>185</v>
      </c>
      <c r="E24" s="33">
        <v>2371</v>
      </c>
      <c r="F24" s="33">
        <v>281032</v>
      </c>
      <c r="G24" s="31" t="s">
        <v>9</v>
      </c>
      <c r="H24" s="93">
        <v>43672</v>
      </c>
      <c r="I24" s="33"/>
      <c r="J24" s="97"/>
    </row>
    <row r="25" spans="1:12" x14ac:dyDescent="0.2">
      <c r="A25" s="27">
        <v>24</v>
      </c>
      <c r="B25" s="27">
        <v>17</v>
      </c>
      <c r="C25" s="18" t="s">
        <v>7</v>
      </c>
      <c r="D25" s="86" t="s">
        <v>81</v>
      </c>
      <c r="E25" s="12">
        <v>2354</v>
      </c>
      <c r="F25" s="12">
        <f>SUMIFS('Week 2 Jan 6 - Jan 12 2020'!F:F,'Week 2 Jan 6 - Jan 12 2020'!D:D,'Week 3 Jan 13 - Jan 19 2020'!D:D,'Week 2 Jan 6 - Jan 12 2020'!C:C,'Week 3 Jan 13 - Jan 19 2020'!C:C)+Table36749[[#This Row],[Week Sales]]</f>
        <v>148013</v>
      </c>
      <c r="G25" s="18" t="str">
        <f>(VLOOKUP(D:D,'Week 2 Jan 6 - Jan 12 2020'!D:G,4,FALSE))</f>
        <v>Bandai Namco</v>
      </c>
      <c r="H25" s="67">
        <f>(VLOOKUP(D:D,'Week 2 Jan 6 - Jan 12 2020'!D:H,5,FALSE))</f>
        <v>43748</v>
      </c>
      <c r="I25" s="12">
        <f>_xlfn.IFNA(VLOOKUP('Week 3 Jan 13 - Jan 19 2020'!D:D,'Week 2 Jan 6 - Jan 12 2020'!D:E, 2, FALSE),"New")</f>
        <v>3177</v>
      </c>
      <c r="J25" s="28">
        <f>IFERROR((E25-I25)/I25,"New")</f>
        <v>-0.25904941768964435</v>
      </c>
      <c r="L25" s="86"/>
    </row>
    <row r="26" spans="1:12" x14ac:dyDescent="0.2">
      <c r="A26" s="27">
        <v>25</v>
      </c>
      <c r="B26" s="27">
        <v>27</v>
      </c>
      <c r="C26" s="18" t="s">
        <v>8</v>
      </c>
      <c r="D26" s="86" t="s">
        <v>99</v>
      </c>
      <c r="E26" s="12">
        <v>2247</v>
      </c>
      <c r="F26" s="12">
        <f>SUMIFS('Week 2 Jan 6 - Jan 12 2020'!F:F,'Week 2 Jan 6 - Jan 12 2020'!D:D,'Week 3 Jan 13 - Jan 19 2020'!D:D,'Week 2 Jan 6 - Jan 12 2020'!C:C,'Week 3 Jan 13 - Jan 19 2020'!C:C)+Table36749[[#This Row],[Week Sales]]</f>
        <v>426945</v>
      </c>
      <c r="G26" s="18" t="str">
        <f>(VLOOKUP(D:D,'Week 2 Jan 6 - Jan 12 2020'!D:G,4,FALSE))</f>
        <v>Capcom</v>
      </c>
      <c r="H26" s="67">
        <f>(VLOOKUP(D:D,'Week 2 Jan 6 - Jan 12 2020'!D:H,5,FALSE))</f>
        <v>43714</v>
      </c>
      <c r="I26" s="12">
        <f>_xlfn.IFNA(VLOOKUP('Week 3 Jan 13 - Jan 19 2020'!D:D,'Week 2 Jan 6 - Jan 12 2020'!D:E, 2, FALSE),"New")</f>
        <v>2170</v>
      </c>
      <c r="J26" s="28">
        <f t="shared" ref="J26:J30" si="1">IFERROR((E26-I26)/I26,"New")</f>
        <v>3.5483870967741936E-2</v>
      </c>
      <c r="L26" s="86"/>
    </row>
    <row r="27" spans="1:12" x14ac:dyDescent="0.2">
      <c r="A27" s="27">
        <v>26</v>
      </c>
      <c r="B27" s="27">
        <v>18</v>
      </c>
      <c r="C27" s="18" t="s">
        <v>7</v>
      </c>
      <c r="D27" s="86" t="s">
        <v>26</v>
      </c>
      <c r="E27" s="12">
        <v>2244</v>
      </c>
      <c r="F27" s="12">
        <f>SUMIFS('Week 2 Jan 6 - Jan 12 2020'!F:F,'Week 2 Jan 6 - Jan 12 2020'!D:D,'Week 3 Jan 13 - Jan 19 2020'!D:D,'Week 2 Jan 6 - Jan 12 2020'!C:C,'Week 3 Jan 13 - Jan 19 2020'!C:C)+Table36749[[#This Row],[Week Sales]]</f>
        <v>2062855</v>
      </c>
      <c r="G27" s="18" t="str">
        <f>(VLOOKUP(D:D,'Week 2 Jan 6 - Jan 12 2020'!D:G,4,FALSE))</f>
        <v>Nintendo</v>
      </c>
      <c r="H27" s="67">
        <f>(VLOOKUP(D:D,'Week 2 Jan 6 - Jan 12 2020'!D:H,5,FALSE))</f>
        <v>43035</v>
      </c>
      <c r="I27" s="12">
        <f>_xlfn.IFNA(VLOOKUP('Week 3 Jan 13 - Jan 19 2020'!D:D,'Week 2 Jan 6 - Jan 12 2020'!D:E, 2, FALSE),"New")</f>
        <v>3020</v>
      </c>
      <c r="J27" s="28">
        <f t="shared" si="1"/>
        <v>-0.25695364238410595</v>
      </c>
      <c r="L27" s="86"/>
    </row>
    <row r="28" spans="1:12" x14ac:dyDescent="0.2">
      <c r="A28" s="27">
        <v>27</v>
      </c>
      <c r="B28" s="27">
        <v>23</v>
      </c>
      <c r="C28" s="18" t="s">
        <v>7</v>
      </c>
      <c r="D28" s="86" t="s">
        <v>89</v>
      </c>
      <c r="E28" s="12">
        <v>2040</v>
      </c>
      <c r="F28" s="12">
        <f>SUMIFS('Week 2 Jan 6 - Jan 12 2020'!F:F,'Week 2 Jan 6 - Jan 12 2020'!D:D,'Week 3 Jan 13 - Jan 19 2020'!D:D,'Week 2 Jan 6 - Jan 12 2020'!C:C,'Week 3 Jan 13 - Jan 19 2020'!C:C)+Table36749[[#This Row],[Week Sales]]</f>
        <v>128562</v>
      </c>
      <c r="G28" s="18" t="str">
        <f>(VLOOKUP(D:D,'Week 2 Jan 6 - Jan 12 2020'!D:G,4,FALSE))</f>
        <v>Marvelous</v>
      </c>
      <c r="H28" s="67">
        <f>(VLOOKUP(D:D,'Week 2 Jan 6 - Jan 12 2020'!D:H,5,FALSE))</f>
        <v>43755</v>
      </c>
      <c r="I28" s="12">
        <f>_xlfn.IFNA(VLOOKUP('Week 3 Jan 13 - Jan 19 2020'!D:D,'Week 2 Jan 6 - Jan 12 2020'!D:E, 2, FALSE),"New")</f>
        <v>2490</v>
      </c>
      <c r="J28" s="28">
        <f t="shared" si="1"/>
        <v>-0.18072289156626506</v>
      </c>
    </row>
    <row r="29" spans="1:12" x14ac:dyDescent="0.2">
      <c r="A29" s="27">
        <v>28</v>
      </c>
      <c r="B29" s="27">
        <v>21</v>
      </c>
      <c r="C29" s="18" t="s">
        <v>8</v>
      </c>
      <c r="D29" s="18" t="s">
        <v>88</v>
      </c>
      <c r="E29" s="12">
        <v>1984</v>
      </c>
      <c r="F29" s="12">
        <f>SUMIFS('Week 2 Jan 6 - Jan 12 2020'!F:F,'Week 2 Jan 6 - Jan 12 2020'!D:D,'Week 3 Jan 13 - Jan 19 2020'!D:D,'Week 2 Jan 6 - Jan 12 2020'!C:C,'Week 3 Jan 13 - Jan 19 2020'!C:C)+Table36749[[#This Row],[Week Sales]]</f>
        <v>219733</v>
      </c>
      <c r="G29" s="18" t="str">
        <f>(VLOOKUP(D:D,'Week 2 Jan 6 - Jan 12 2020'!D:G,4,FALSE))</f>
        <v>Sony</v>
      </c>
      <c r="H29" s="67">
        <f>(VLOOKUP(D:D,'Week 2 Jan 6 - Jan 12 2020'!D:H,5,FALSE))</f>
        <v>43763</v>
      </c>
      <c r="I29" s="12">
        <f>_xlfn.IFNA(VLOOKUP('Week 3 Jan 13 - Jan 19 2020'!D:D,'Week 2 Jan 6 - Jan 12 2020'!D:E, 2, FALSE),"New")</f>
        <v>2622</v>
      </c>
      <c r="J29" s="28">
        <f t="shared" si="1"/>
        <v>-0.24332570556826849</v>
      </c>
      <c r="L29" s="86"/>
    </row>
    <row r="30" spans="1:12" x14ac:dyDescent="0.2">
      <c r="A30" s="27">
        <v>29</v>
      </c>
      <c r="B30" s="27">
        <v>22</v>
      </c>
      <c r="C30" s="18" t="s">
        <v>7</v>
      </c>
      <c r="D30" s="86" t="s">
        <v>82</v>
      </c>
      <c r="E30" s="12">
        <v>1958</v>
      </c>
      <c r="F30" s="12">
        <f>SUMIFS('Week 2 Jan 6 - Jan 12 2020'!F:F,'Week 2 Jan 6 - Jan 12 2020'!D:D,'Week 3 Jan 13 - Jan 19 2020'!D:D,'Week 2 Jan 6 - Jan 12 2020'!C:C,'Week 3 Jan 13 - Jan 19 2020'!C:C)+Table36749[[#This Row],[Week Sales]]</f>
        <v>60890</v>
      </c>
      <c r="G30" s="18" t="str">
        <f>(VLOOKUP(D:D,'Week 2 Jan 6 - Jan 12 2020'!D:G,4,FALSE))</f>
        <v>Level-5</v>
      </c>
      <c r="H30" s="67">
        <f>(VLOOKUP(D:D,'Week 2 Jan 6 - Jan 12 2020'!D:H,5,FALSE))</f>
        <v>43804</v>
      </c>
      <c r="I30" s="12">
        <f>_xlfn.IFNA(VLOOKUP('Week 3 Jan 13 - Jan 19 2020'!D:D,'Week 2 Jan 6 - Jan 12 2020'!D:E, 2, FALSE),"New")</f>
        <v>2550</v>
      </c>
      <c r="J30" s="28">
        <f t="shared" si="1"/>
        <v>-0.23215686274509803</v>
      </c>
      <c r="L30" s="86"/>
    </row>
    <row r="31" spans="1:12" x14ac:dyDescent="0.2">
      <c r="A31" s="29">
        <v>30</v>
      </c>
      <c r="B31" s="29" t="s">
        <v>53</v>
      </c>
      <c r="C31" s="31" t="s">
        <v>8</v>
      </c>
      <c r="D31" s="31" t="s">
        <v>187</v>
      </c>
      <c r="E31" s="33">
        <v>1946</v>
      </c>
      <c r="F31" s="33">
        <v>13431</v>
      </c>
      <c r="G31" s="31" t="s">
        <v>186</v>
      </c>
      <c r="H31" s="93">
        <v>43440</v>
      </c>
      <c r="I31" s="33"/>
      <c r="J31" s="97"/>
      <c r="L31" s="86"/>
    </row>
    <row r="32" spans="1:12" x14ac:dyDescent="0.2">
      <c r="A32" s="3"/>
      <c r="B32" s="3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514166</v>
      </c>
      <c r="I33" s="2"/>
      <c r="J33" s="19"/>
    </row>
    <row r="34" spans="1:10" x14ac:dyDescent="0.2">
      <c r="A34" s="3"/>
      <c r="B34" s="3"/>
      <c r="D34" s="100" t="s">
        <v>178</v>
      </c>
      <c r="E34" s="101">
        <f>SUM('Week 2 Jan 6 - Jan 12 2020'!E34,'Week 3 Jan 13 - Jan 19 2020'!E33)</f>
        <v>1547862</v>
      </c>
      <c r="I34" s="2"/>
      <c r="J34" s="19"/>
    </row>
    <row r="35" spans="1:10" x14ac:dyDescent="0.2">
      <c r="A35" s="3"/>
      <c r="B35" s="3"/>
      <c r="D35" s="2" t="s">
        <v>60</v>
      </c>
      <c r="E35" s="2">
        <f>AVERAGE(E2:E31)</f>
        <v>17138.866666666665</v>
      </c>
      <c r="I35" s="2"/>
      <c r="J35" s="19"/>
    </row>
    <row r="36" spans="1:10" x14ac:dyDescent="0.2">
      <c r="A36" s="3"/>
      <c r="B36" s="3"/>
      <c r="D36" s="9" t="s">
        <v>78</v>
      </c>
      <c r="E36" s="10">
        <f>COUNTIF(B:B,"New")</f>
        <v>5</v>
      </c>
      <c r="I36" s="2"/>
      <c r="J36" s="19"/>
    </row>
    <row r="37" spans="1:10" x14ac:dyDescent="0.2">
      <c r="A37" s="3"/>
      <c r="B37" s="3"/>
      <c r="I37" s="2"/>
      <c r="J37" s="19"/>
    </row>
    <row r="38" spans="1:10" x14ac:dyDescent="0.2">
      <c r="A38" s="3"/>
      <c r="B38" s="3"/>
      <c r="D38" t="s">
        <v>66</v>
      </c>
      <c r="I38" s="2"/>
      <c r="J38" s="19"/>
    </row>
    <row r="39" spans="1:10" x14ac:dyDescent="0.2">
      <c r="A39" s="3"/>
      <c r="B39" s="3"/>
      <c r="D39" s="8" t="s">
        <v>67</v>
      </c>
      <c r="I39" s="2"/>
      <c r="J39" s="19"/>
    </row>
    <row r="40" spans="1:10" x14ac:dyDescent="0.2">
      <c r="A40" s="3"/>
      <c r="B40" s="3"/>
      <c r="D40" s="8" t="s">
        <v>65</v>
      </c>
      <c r="I40" s="2"/>
      <c r="J40" s="19"/>
    </row>
    <row r="41" spans="1:10" x14ac:dyDescent="0.2">
      <c r="D41" s="8" t="s">
        <v>71</v>
      </c>
    </row>
  </sheetData>
  <hyperlinks>
    <hyperlink ref="D40" r:id="rId1" xr:uid="{702A6DD4-85FA-4846-8B0A-53CDC9EF619B}"/>
    <hyperlink ref="D41" r:id="rId2" xr:uid="{64016D39-5DC1-C647-9B45-25385EAB70E9}"/>
    <hyperlink ref="D39" r:id="rId3" xr:uid="{EBABD595-2D9F-1A4C-B31A-2839C0BEDD90}"/>
  </hyperlinks>
  <pageMargins left="0.7" right="0.7" top="0.75" bottom="0.75" header="0.3" footer="0.3"/>
  <pageSetup paperSize="9" orientation="portrait" horizontalDpi="0" verticalDpi="0"/>
  <ignoredErrors>
    <ignoredError sqref="G2:G31 F24:F31 H1:H3 H6:H7 H13" calculatedColumn="1"/>
    <ignoredError sqref="H24:H31 H8:H12 H4:H5" evalError="1" calculatedColumn="1"/>
    <ignoredError sqref="H14:H23" evalError="1"/>
  </ignoredErrors>
  <tableParts count="1">
    <tablePart r:id="rId4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021E1-0843-6C47-864A-2EC21E7E2CD5}">
  <dimension ref="A1:J41"/>
  <sheetViews>
    <sheetView workbookViewId="0">
      <selection activeCell="D11" sqref="D2:E11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3.8320312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0" x14ac:dyDescent="0.2">
      <c r="A2" s="25">
        <v>1</v>
      </c>
      <c r="B2" s="18">
        <v>3</v>
      </c>
      <c r="C2" s="18" t="s">
        <v>7</v>
      </c>
      <c r="D2" s="86" t="s">
        <v>46</v>
      </c>
      <c r="E2" s="12">
        <v>94115</v>
      </c>
      <c r="F2" s="12">
        <f>SUMIFS('Week 29 July 13 - July 19 2020'!F:F,'Week 29 July 13 - July 19 2020'!D:D,'Week 30 July 20 - July 26 2020'!D:D,'Week 29 July 13 - July 19 2020'!C:C,'Week 30 July 20 - July 26 2020'!C:C)+Table361191013555712141752596163656769717375777982848688[[#This Row],[Week Sales]]</f>
        <v>5280398</v>
      </c>
      <c r="G2" s="18" t="str">
        <f>(VLOOKUP(D:D,'Week 29 July 13 - July 19 2020'!D:G,4,FALSE))</f>
        <v>Nintendo</v>
      </c>
      <c r="H2" s="67">
        <f>(VLOOKUP(D:D,'Week 29 July 13 - July 19 2020'!D:H,5,FALSE))</f>
        <v>43910</v>
      </c>
      <c r="I2" s="12">
        <f>_xlfn.IFNA(SUMIFS('Week 29 July 13 - July 19 2020'!E:E,'Week 29 July 13 - July 19 2020'!D:D,'Week 30 July 20 - July 26 2020'!D:D,'Week 29 July 13 - July 19 2020'!C:C,'Week 30 July 20 - July 26 2020'!C:C),"New")</f>
        <v>71897</v>
      </c>
      <c r="J2" s="28">
        <f>IFERROR((E2-I2)/I2,"New")</f>
        <v>0.30902541135235129</v>
      </c>
    </row>
    <row r="3" spans="1:10" x14ac:dyDescent="0.2">
      <c r="A3" s="25">
        <v>2</v>
      </c>
      <c r="B3" s="18">
        <v>1</v>
      </c>
      <c r="C3" s="18" t="s">
        <v>8</v>
      </c>
      <c r="D3" s="47" t="s">
        <v>11</v>
      </c>
      <c r="E3" s="12">
        <v>53387</v>
      </c>
      <c r="F3" s="12">
        <f>SUMIFS('Week 29 July 13 - July 19 2020'!F:F,'Week 29 July 13 - July 19 2020'!D:D,'Week 30 July 20 - July 26 2020'!D:D,'Week 29 July 13 - July 19 2020'!C:C,'Week 30 July 20 - July 26 2020'!C:C)+Table361191013555712141752596163656769717375777982848688[[#This Row],[Week Sales]]</f>
        <v>266302</v>
      </c>
      <c r="G3" s="18" t="str">
        <f>(VLOOKUP(D:D,'Week 29 July 13 - July 19 2020'!D:G,4,FALSE))</f>
        <v>Sony</v>
      </c>
      <c r="H3" s="67">
        <f>(VLOOKUP(D:D,'Week 29 July 13 - July 19 2020'!D:H,5,FALSE))</f>
        <v>44029</v>
      </c>
      <c r="I3" s="12">
        <f>_xlfn.IFNA(SUMIFS('Week 29 July 13 - July 19 2020'!E:E,'Week 29 July 13 - July 19 2020'!D:D,'Week 30 July 20 - July 26 2020'!D:D,'Week 29 July 13 - July 19 2020'!C:C,'Week 30 July 20 - July 26 2020'!C:C),"New")</f>
        <v>212915</v>
      </c>
      <c r="J3" s="28">
        <f t="shared" ref="J3:J29" si="0">IFERROR((E3-I3)/I3,"New")</f>
        <v>-0.74925674564967237</v>
      </c>
    </row>
    <row r="4" spans="1:10" x14ac:dyDescent="0.2">
      <c r="A4" s="25">
        <v>3</v>
      </c>
      <c r="B4" s="18">
        <v>2</v>
      </c>
      <c r="C4" s="18" t="s">
        <v>7</v>
      </c>
      <c r="D4" s="47" t="s">
        <v>15</v>
      </c>
      <c r="E4" s="12">
        <v>50643</v>
      </c>
      <c r="F4" s="12">
        <f>SUMIFS('Week 29 July 13 - July 19 2020'!F:F,'Week 29 July 13 - July 19 2020'!D:D,'Week 30 July 20 - July 26 2020'!D:D,'Week 29 July 13 - July 19 2020'!C:C,'Week 30 July 20 - July 26 2020'!C:C)+Table361191013555712141752596163656769717375777982848688[[#This Row],[Week Sales]]</f>
        <v>159735</v>
      </c>
      <c r="G4" s="18" t="str">
        <f>(VLOOKUP(D:D,'Week 29 July 13 - July 19 2020'!D:G,4,FALSE))</f>
        <v>Nintendo</v>
      </c>
      <c r="H4" s="67">
        <f>(VLOOKUP(D:D,'Week 29 July 13 - July 19 2020'!D:H,5,FALSE))</f>
        <v>44029</v>
      </c>
      <c r="I4" s="12">
        <f>_xlfn.IFNA(SUMIFS('Week 29 July 13 - July 19 2020'!E:E,'Week 29 July 13 - July 19 2020'!D:D,'Week 30 July 20 - July 26 2020'!D:D,'Week 29 July 13 - July 19 2020'!C:C,'Week 30 July 20 - July 26 2020'!C:C),"New")</f>
        <v>109092</v>
      </c>
      <c r="J4" s="28">
        <f t="shared" si="0"/>
        <v>-0.53577714222857775</v>
      </c>
    </row>
    <row r="5" spans="1:10" x14ac:dyDescent="0.2">
      <c r="A5" s="25">
        <v>4</v>
      </c>
      <c r="B5" s="18">
        <v>4</v>
      </c>
      <c r="C5" s="18" t="s">
        <v>7</v>
      </c>
      <c r="D5" s="47" t="s">
        <v>45</v>
      </c>
      <c r="E5" s="12">
        <v>32136</v>
      </c>
      <c r="F5" s="12">
        <f>SUMIFS('Week 29 July 13 - July 19 2020'!F:F,'Week 29 July 13 - July 19 2020'!D:D,'Week 30 July 20 - July 26 2020'!D:D,'Week 29 July 13 - July 19 2020'!C:C,'Week 30 July 20 - July 26 2020'!C:C)+Table361191013555712141752596163656769717375777982848688[[#This Row],[Week Sales]]</f>
        <v>1205379</v>
      </c>
      <c r="G5" s="18" t="str">
        <f>(VLOOKUP(D:D,'Week 29 July 13 - July 19 2020'!D:G,4,FALSE))</f>
        <v>Nintendo</v>
      </c>
      <c r="H5" s="67">
        <f>(VLOOKUP(D:D,'Week 29 July 13 - July 19 2020'!D:H,5,FALSE))</f>
        <v>43756</v>
      </c>
      <c r="I5" s="12">
        <f>_xlfn.IFNA(SUMIFS('Week 29 July 13 - July 19 2020'!E:E,'Week 29 July 13 - July 19 2020'!D:D,'Week 30 July 20 - July 26 2020'!D:D,'Week 29 July 13 - July 19 2020'!C:C,'Week 30 July 20 - July 26 2020'!C:C),"New")</f>
        <v>36183</v>
      </c>
      <c r="J5" s="28">
        <f t="shared" si="0"/>
        <v>-0.11184810546389189</v>
      </c>
    </row>
    <row r="6" spans="1:10" x14ac:dyDescent="0.2">
      <c r="A6" s="25">
        <v>5</v>
      </c>
      <c r="B6" s="18">
        <v>7</v>
      </c>
      <c r="C6" s="18" t="s">
        <v>7</v>
      </c>
      <c r="D6" s="47" t="s">
        <v>50</v>
      </c>
      <c r="E6" s="12">
        <v>25136</v>
      </c>
      <c r="F6" s="12">
        <f>SUMIFS('Week 29 July 13 - July 19 2020'!F:F,'Week 29 July 13 - July 19 2020'!D:D,'Week 30 July 20 - July 26 2020'!D:D,'Week 29 July 13 - July 19 2020'!C:C,'Week 30 July 20 - July 26 2020'!C:C)+Table361191013555712141752596163656769717375777982848688[[#This Row],[Week Sales]]</f>
        <v>261027</v>
      </c>
      <c r="G6" s="18" t="str">
        <f>(VLOOKUP(D:D,'Week 29 July 13 - July 19 2020'!D:G,4,FALSE))</f>
        <v>Nintendo</v>
      </c>
      <c r="H6" s="67">
        <f>(VLOOKUP(D:D,'Week 29 July 13 - July 19 2020'!D:H,5,FALSE))</f>
        <v>43987</v>
      </c>
      <c r="I6" s="12">
        <f>_xlfn.IFNA(SUMIFS('Week 29 July 13 - July 19 2020'!E:E,'Week 29 July 13 - July 19 2020'!D:D,'Week 30 July 20 - July 26 2020'!D:D,'Week 29 July 13 - July 19 2020'!C:C,'Week 30 July 20 - July 26 2020'!C:C),"New")</f>
        <v>20586</v>
      </c>
      <c r="J6" s="28">
        <f t="shared" si="0"/>
        <v>0.22102399689109103</v>
      </c>
    </row>
    <row r="7" spans="1:10" x14ac:dyDescent="0.2">
      <c r="A7" s="25">
        <v>6</v>
      </c>
      <c r="B7" s="18">
        <v>5</v>
      </c>
      <c r="C7" s="18" t="s">
        <v>7</v>
      </c>
      <c r="D7" s="47" t="s">
        <v>14</v>
      </c>
      <c r="E7" s="12">
        <v>21094</v>
      </c>
      <c r="F7" s="12">
        <f>SUMIFS('Week 29 July 13 - July 19 2020'!F:F,'Week 29 July 13 - July 19 2020'!D:D,'Week 30 July 20 - July 26 2020'!D:D,'Week 29 July 13 - July 19 2020'!C:C,'Week 30 July 20 - July 26 2020'!C:C)+Table361191013555712141752596163656769717375777982848688[[#This Row],[Week Sales]]</f>
        <v>145689</v>
      </c>
      <c r="G7" s="18" t="str">
        <f>(VLOOKUP(D:D,'Week 29 July 13 - July 19 2020'!D:G,4,FALSE))</f>
        <v>Konami</v>
      </c>
      <c r="H7" s="67">
        <f>(VLOOKUP(D:D,'Week 29 July 13 - July 19 2020'!D:H,5,FALSE))</f>
        <v>44021</v>
      </c>
      <c r="I7" s="12">
        <f>_xlfn.IFNA(SUMIFS('Week 29 July 13 - July 19 2020'!E:E,'Week 29 July 13 - July 19 2020'!D:D,'Week 30 July 20 - July 26 2020'!D:D,'Week 29 July 13 - July 19 2020'!C:C,'Week 30 July 20 - July 26 2020'!C:C),"New")</f>
        <v>29719</v>
      </c>
      <c r="J7" s="28">
        <f t="shared" si="0"/>
        <v>-0.29021837881489954</v>
      </c>
    </row>
    <row r="8" spans="1:10" x14ac:dyDescent="0.2">
      <c r="A8" s="25">
        <v>7</v>
      </c>
      <c r="B8" s="18">
        <v>6</v>
      </c>
      <c r="C8" s="18" t="s">
        <v>8</v>
      </c>
      <c r="D8" s="47" t="s">
        <v>14</v>
      </c>
      <c r="E8" s="12">
        <v>16253</v>
      </c>
      <c r="F8" s="12">
        <f>SUMIFS('Week 29 July 13 - July 19 2020'!F:F,'Week 29 July 13 - July 19 2020'!D:D,'Week 30 July 20 - July 26 2020'!D:D,'Week 29 July 13 - July 19 2020'!C:C,'Week 30 July 20 - July 26 2020'!C:C)+Table361191013555712141752596163656769717375777982848688[[#This Row],[Week Sales]]</f>
        <v>134751</v>
      </c>
      <c r="G8" s="18" t="str">
        <f>(VLOOKUP(D:D,'Week 29 July 13 - July 19 2020'!D:G,4,FALSE))</f>
        <v>Konami</v>
      </c>
      <c r="H8" s="67">
        <f>(VLOOKUP(D:D,'Week 29 July 13 - July 19 2020'!D:H,5,FALSE))</f>
        <v>44021</v>
      </c>
      <c r="I8" s="12">
        <f>_xlfn.IFNA(SUMIFS('Week 29 July 13 - July 19 2020'!E:E,'Week 29 July 13 - July 19 2020'!D:D,'Week 30 July 20 - July 26 2020'!D:D,'Week 29 July 13 - July 19 2020'!C:C,'Week 30 July 20 - July 26 2020'!C:C),"New")</f>
        <v>26951</v>
      </c>
      <c r="J8" s="28">
        <f t="shared" si="0"/>
        <v>-0.3969425995324849</v>
      </c>
    </row>
    <row r="9" spans="1:10" x14ac:dyDescent="0.2">
      <c r="A9" s="25">
        <v>8</v>
      </c>
      <c r="B9" s="18">
        <v>8</v>
      </c>
      <c r="C9" s="18" t="s">
        <v>7</v>
      </c>
      <c r="D9" s="47" t="s">
        <v>49</v>
      </c>
      <c r="E9" s="12">
        <v>15175</v>
      </c>
      <c r="F9" s="12">
        <f>SUMIFS('Week 29 July 13 - July 19 2020'!F:F,'Week 29 July 13 - July 19 2020'!D:D,'Week 30 July 20 - July 26 2020'!D:D,'Week 29 July 13 - July 19 2020'!C:C,'Week 30 July 20 - July 26 2020'!C:C)+Table361191013555712141752596163656769717375777982848688[[#This Row],[Week Sales]]</f>
        <v>3051164</v>
      </c>
      <c r="G9" s="18" t="str">
        <f>(VLOOKUP(D:D,'Week 29 July 13 - July 19 2020'!D:G,4,FALSE))</f>
        <v>Nintendo</v>
      </c>
      <c r="H9" s="67">
        <f>(VLOOKUP(D:D,'Week 29 July 13 - July 19 2020'!D:H,5,FALSE))</f>
        <v>42853</v>
      </c>
      <c r="I9" s="12">
        <f>_xlfn.IFNA(SUMIFS('Week 29 July 13 - July 19 2020'!E:E,'Week 29 July 13 - July 19 2020'!D:D,'Week 30 July 20 - July 26 2020'!D:D,'Week 29 July 13 - July 19 2020'!C:C,'Week 30 July 20 - July 26 2020'!C:C),"New")</f>
        <v>10031</v>
      </c>
      <c r="J9" s="28">
        <f t="shared" si="0"/>
        <v>0.51281028810686868</v>
      </c>
    </row>
    <row r="10" spans="1:10" x14ac:dyDescent="0.2">
      <c r="A10" s="9">
        <v>9</v>
      </c>
      <c r="B10" s="9" t="s">
        <v>36</v>
      </c>
      <c r="C10" s="9" t="s">
        <v>7</v>
      </c>
      <c r="D10" s="46" t="s">
        <v>283</v>
      </c>
      <c r="E10" s="10">
        <v>11693</v>
      </c>
      <c r="F10" s="10">
        <f>SUMIFS('Week 29 July 13 - July 19 2020'!F:F,'Week 29 July 13 - July 19 2020'!D:D,'Week 30 July 20 - July 26 2020'!D:D,'Week 29 July 13 - July 19 2020'!C:C,'Week 30 July 20 - July 26 2020'!C:C)+Table361191013555712141752596163656769717375777982848688[[#This Row],[Week Sales]]</f>
        <v>11693</v>
      </c>
      <c r="G10" s="9" t="s">
        <v>285</v>
      </c>
      <c r="H10" s="14">
        <v>44034</v>
      </c>
      <c r="I10" s="10" t="s">
        <v>36</v>
      </c>
      <c r="J10" s="92" t="str">
        <f t="shared" si="0"/>
        <v>New</v>
      </c>
    </row>
    <row r="11" spans="1:10" x14ac:dyDescent="0.2">
      <c r="A11" s="26">
        <v>10</v>
      </c>
      <c r="B11" s="18">
        <v>10</v>
      </c>
      <c r="C11" s="18" t="s">
        <v>7</v>
      </c>
      <c r="D11" s="47" t="s">
        <v>62</v>
      </c>
      <c r="E11" s="12">
        <v>9845</v>
      </c>
      <c r="F11" s="12">
        <f>SUMIFS('Week 29 July 13 - July 19 2020'!F:F,'Week 29 July 13 - July 19 2020'!D:D,'Week 30 July 20 - July 26 2020'!D:D,'Week 29 July 13 - July 19 2020'!C:C,'Week 30 July 20 - July 26 2020'!C:C)+Table361191013555712141752596163656769717375777982848688[[#This Row],[Week Sales]]</f>
        <v>3672649</v>
      </c>
      <c r="G11" s="18" t="str">
        <f>(VLOOKUP(D:D,'Week 29 July 13 - July 19 2020'!D:G,4,FALSE))</f>
        <v>The Pokemon Company</v>
      </c>
      <c r="H11" s="67">
        <f>(VLOOKUP(D:D,'Week 29 July 13 - July 19 2020'!D:H,5,FALSE))</f>
        <v>43784</v>
      </c>
      <c r="I11" s="12">
        <f>_xlfn.IFNA(SUMIFS('Week 29 July 13 - July 19 2020'!E:E,'Week 29 July 13 - July 19 2020'!D:D,'Week 30 July 20 - July 26 2020'!D:D,'Week 29 July 13 - July 19 2020'!C:C,'Week 30 July 20 - July 26 2020'!C:C),"New")</f>
        <v>7843</v>
      </c>
      <c r="J11" s="28">
        <f t="shared" si="0"/>
        <v>0.2552594670406732</v>
      </c>
    </row>
    <row r="12" spans="1:10" x14ac:dyDescent="0.2">
      <c r="A12" s="26">
        <v>11</v>
      </c>
      <c r="B12" s="18">
        <v>12</v>
      </c>
      <c r="C12" s="18" t="s">
        <v>7</v>
      </c>
      <c r="D12" s="47" t="s">
        <v>10</v>
      </c>
      <c r="E12" s="12">
        <v>9744</v>
      </c>
      <c r="F12" s="12">
        <f>SUMIFS('Week 29 July 13 - July 19 2020'!F:F,'Week 29 July 13 - July 19 2020'!D:D,'Week 30 July 20 - July 26 2020'!D:D,'Week 29 July 13 - July 19 2020'!C:C,'Week 30 July 20 - July 26 2020'!C:C)+Table361191013555712141752596163656769717375777982848688[[#This Row],[Week Sales]]</f>
        <v>3503047</v>
      </c>
      <c r="G12" s="18" t="str">
        <f>(VLOOKUP(D:D,'Week 29 July 13 - July 19 2020'!D:G,4,FALSE))</f>
        <v>Nintendo</v>
      </c>
      <c r="H12" s="67">
        <f>(VLOOKUP(D:D,'Week 29 July 13 - July 19 2020'!D:H,5,FALSE))</f>
        <v>42937</v>
      </c>
      <c r="I12" s="12">
        <f>_xlfn.IFNA(SUMIFS('Week 29 July 13 - July 19 2020'!E:E,'Week 29 July 13 - July 19 2020'!D:D,'Week 30 July 20 - July 26 2020'!D:D,'Week 29 July 13 - July 19 2020'!C:C,'Week 30 July 20 - July 26 2020'!C:C),"New")</f>
        <v>7104</v>
      </c>
      <c r="J12" s="28">
        <f t="shared" si="0"/>
        <v>0.3716216216216216</v>
      </c>
    </row>
    <row r="13" spans="1:10" x14ac:dyDescent="0.2">
      <c r="A13" s="26">
        <v>12</v>
      </c>
      <c r="B13" s="18">
        <v>13</v>
      </c>
      <c r="C13" s="18" t="s">
        <v>7</v>
      </c>
      <c r="D13" s="47" t="s">
        <v>52</v>
      </c>
      <c r="E13" s="12">
        <v>8540</v>
      </c>
      <c r="F13" s="12">
        <f>SUMIFS('Week 29 July 13 - July 19 2020'!F:F,'Week 29 July 13 - July 19 2020'!D:D,'Week 30 July 20 - July 26 2020'!D:D,'Week 29 July 13 - July 19 2020'!C:C,'Week 30 July 20 - July 26 2020'!C:C)+Table361191013555712141752596163656769717375777982848688[[#This Row],[Week Sales]]</f>
        <v>3766573</v>
      </c>
      <c r="G13" s="18" t="str">
        <f>(VLOOKUP(D:D,'Week 29 July 13 - July 19 2020'!D:G,4,FALSE))</f>
        <v>Nintendo</v>
      </c>
      <c r="H13" s="67">
        <f>(VLOOKUP(D:D,'Week 29 July 13 - July 19 2020'!D:H,5,FALSE))</f>
        <v>43441</v>
      </c>
      <c r="I13" s="12">
        <f>_xlfn.IFNA(SUMIFS('Week 29 July 13 - July 19 2020'!E:E,'Week 29 July 13 - July 19 2020'!D:D,'Week 30 July 20 - July 26 2020'!D:D,'Week 29 July 13 - July 19 2020'!C:C,'Week 30 July 20 - July 26 2020'!C:C),"New")</f>
        <v>6253</v>
      </c>
      <c r="J13" s="28">
        <f t="shared" si="0"/>
        <v>0.3657444426675196</v>
      </c>
    </row>
    <row r="14" spans="1:10" x14ac:dyDescent="0.2">
      <c r="A14" s="26">
        <v>13</v>
      </c>
      <c r="B14" s="18">
        <v>15</v>
      </c>
      <c r="C14" s="18" t="s">
        <v>7</v>
      </c>
      <c r="D14" s="47" t="s">
        <v>13</v>
      </c>
      <c r="E14" s="12">
        <v>8071</v>
      </c>
      <c r="F14" s="12">
        <f>SUMIFS('Week 29 July 13 - July 19 2020'!F:F,'Week 29 July 13 - July 19 2020'!D:D,'Week 30 July 20 - July 26 2020'!D:D,'Week 29 July 13 - July 19 2020'!C:C,'Week 30 July 20 - July 26 2020'!C:C)+Table361191013555712141752596163656769717375777982848688[[#This Row],[Week Sales]]</f>
        <v>1499720</v>
      </c>
      <c r="G14" s="18" t="str">
        <f>(VLOOKUP(D:D,'Week 29 July 13 - July 19 2020'!D:G,4,FALSE))</f>
        <v>Nintendo</v>
      </c>
      <c r="H14" s="67">
        <f>(VLOOKUP(D:D,'Week 29 July 13 - July 19 2020'!D:H,5,FALSE))</f>
        <v>43378</v>
      </c>
      <c r="I14" s="12">
        <f>_xlfn.IFNA(SUMIFS('Week 29 July 13 - July 19 2020'!E:E,'Week 29 July 13 - July 19 2020'!D:D,'Week 30 July 20 - July 26 2020'!D:D,'Week 29 July 13 - July 19 2020'!C:C,'Week 30 July 20 - July 26 2020'!C:C),"New")</f>
        <v>5190</v>
      </c>
      <c r="J14" s="28">
        <f t="shared" si="0"/>
        <v>0.55510597302504816</v>
      </c>
    </row>
    <row r="15" spans="1:10" x14ac:dyDescent="0.2">
      <c r="A15" s="26">
        <v>14</v>
      </c>
      <c r="B15" s="18">
        <v>14</v>
      </c>
      <c r="C15" s="18" t="s">
        <v>7</v>
      </c>
      <c r="D15" s="47" t="s">
        <v>12</v>
      </c>
      <c r="E15" s="12">
        <v>8036</v>
      </c>
      <c r="F15" s="12">
        <f>SUMIFS('Week 29 July 13 - July 19 2020'!F:F,'Week 29 July 13 - July 19 2020'!D:D,'Week 30 July 20 - July 26 2020'!D:D,'Week 29 July 13 - July 19 2020'!C:C,'Week 30 July 20 - July 26 2020'!C:C)+Table361191013555712141752596163656769717375777982848688[[#This Row],[Week Sales]]</f>
        <v>1452367</v>
      </c>
      <c r="G15" s="18" t="str">
        <f>(VLOOKUP(D:D,'Week 29 July 13 - July 19 2020'!D:G,4,FALSE))</f>
        <v>Microsoft</v>
      </c>
      <c r="H15" s="67">
        <f>(VLOOKUP(D:D,'Week 29 July 13 - July 19 2020'!D:H,5,FALSE))</f>
        <v>43272</v>
      </c>
      <c r="I15" s="12">
        <f>_xlfn.IFNA(SUMIFS('Week 29 July 13 - July 19 2020'!E:E,'Week 29 July 13 - July 19 2020'!D:D,'Week 30 July 20 - July 26 2020'!D:D,'Week 29 July 13 - July 19 2020'!C:C,'Week 30 July 20 - July 26 2020'!C:C),"New")</f>
        <v>5659</v>
      </c>
      <c r="J15" s="28">
        <f t="shared" si="0"/>
        <v>0.42003887612652413</v>
      </c>
    </row>
    <row r="16" spans="1:10" x14ac:dyDescent="0.2">
      <c r="A16" s="26">
        <v>15</v>
      </c>
      <c r="B16" s="18">
        <v>25</v>
      </c>
      <c r="C16" s="18" t="s">
        <v>7</v>
      </c>
      <c r="D16" s="86" t="s">
        <v>20</v>
      </c>
      <c r="E16" s="12">
        <v>7372</v>
      </c>
      <c r="F16" s="12">
        <f>SUMIFS('Week 29 July 13 - July 19 2020'!F:F,'Week 29 July 13 - July 19 2020'!D:D,'Week 30 July 20 - July 26 2020'!D:D,'Week 29 July 13 - July 19 2020'!C:C,'Week 30 July 20 - July 26 2020'!C:C)+Table361191013555712141752596163656769717375777982848688[[#This Row],[Week Sales]]</f>
        <v>461852</v>
      </c>
      <c r="G16" s="18" t="str">
        <f>(VLOOKUP(D:D,'Week 29 July 13 - July 19 2020'!D:G,4,FALSE))</f>
        <v>Bandai Namco</v>
      </c>
      <c r="H16" s="67">
        <f>(VLOOKUP(D:D,'Week 29 July 13 - July 19 2020'!D:H,5,FALSE))</f>
        <v>43671</v>
      </c>
      <c r="I16" s="12">
        <f>_xlfn.IFNA(SUMIFS('Week 29 July 13 - July 19 2020'!E:E,'Week 29 July 13 - July 19 2020'!D:D,'Week 30 July 20 - July 26 2020'!D:D,'Week 29 July 13 - July 19 2020'!C:C,'Week 30 July 20 - July 26 2020'!C:C),"New")</f>
        <v>2071</v>
      </c>
      <c r="J16" s="28">
        <f t="shared" si="0"/>
        <v>2.5596330275229358</v>
      </c>
    </row>
    <row r="17" spans="1:10" x14ac:dyDescent="0.2">
      <c r="A17" s="26">
        <v>16</v>
      </c>
      <c r="B17" s="18">
        <v>16</v>
      </c>
      <c r="C17" s="18" t="s">
        <v>7</v>
      </c>
      <c r="D17" s="47" t="s">
        <v>16</v>
      </c>
      <c r="E17" s="12">
        <v>4231</v>
      </c>
      <c r="F17" s="12">
        <f>SUMIFS('Week 29 July 13 - July 19 2020'!F:F,'Week 29 July 13 - July 19 2020'!D:D,'Week 30 July 20 - July 26 2020'!D:D,'Week 29 July 13 - July 19 2020'!C:C,'Week 30 July 20 - July 26 2020'!C:C)+Table361191013555712141752596163656769717375777982848688[[#This Row],[Week Sales]]</f>
        <v>266455</v>
      </c>
      <c r="G17" s="18" t="str">
        <f>(VLOOKUP(D:D,'Week 29 July 13 - July 19 2020'!D:G,4,FALSE))</f>
        <v>Nintendo</v>
      </c>
      <c r="H17" s="67">
        <f>(VLOOKUP(D:D,'Week 29 July 13 - July 19 2020'!D:H,5,FALSE))</f>
        <v>43826</v>
      </c>
      <c r="I17" s="12">
        <f>_xlfn.IFNA(SUMIFS('Week 29 July 13 - July 19 2020'!E:E,'Week 29 July 13 - July 19 2020'!D:D,'Week 30 July 20 - July 26 2020'!D:D,'Week 29 July 13 - July 19 2020'!C:C,'Week 30 July 20 - July 26 2020'!C:C),"New")</f>
        <v>3114</v>
      </c>
      <c r="J17" s="28">
        <f t="shared" si="0"/>
        <v>0.35870263326910728</v>
      </c>
    </row>
    <row r="18" spans="1:10" x14ac:dyDescent="0.2">
      <c r="A18" s="26">
        <v>17</v>
      </c>
      <c r="B18" s="18">
        <v>18</v>
      </c>
      <c r="C18" s="18" t="s">
        <v>7</v>
      </c>
      <c r="D18" s="47" t="s">
        <v>17</v>
      </c>
      <c r="E18" s="12">
        <v>4102</v>
      </c>
      <c r="F18" s="12">
        <f>SUMIFS('Week 29 July 13 - July 19 2020'!F:F,'Week 29 July 13 - July 19 2020'!D:D,'Week 30 July 20 - July 26 2020'!D:D,'Week 29 July 13 - July 19 2020'!C:C,'Week 30 July 20 - July 26 2020'!C:C)+Table361191013555712141752596163656769717375777982848688[[#This Row],[Week Sales]]</f>
        <v>869319</v>
      </c>
      <c r="G18" s="18" t="str">
        <f>(VLOOKUP(D:D,'Week 29 July 13 - July 19 2020'!D:G,4,FALSE))</f>
        <v>Nintendo</v>
      </c>
      <c r="H18" s="67">
        <f>(VLOOKUP(D:D,'Week 29 July 13 - July 19 2020'!D:H,5,FALSE))</f>
        <v>43476</v>
      </c>
      <c r="I18" s="12">
        <f>_xlfn.IFNA(SUMIFS('Week 29 July 13 - July 19 2020'!E:E,'Week 29 July 13 - July 19 2020'!D:D,'Week 30 July 20 - July 26 2020'!D:D,'Week 29 July 13 - July 19 2020'!C:C,'Week 30 July 20 - July 26 2020'!C:C),"New")</f>
        <v>2794</v>
      </c>
      <c r="J18" s="28">
        <f t="shared" si="0"/>
        <v>0.46814602720114529</v>
      </c>
    </row>
    <row r="19" spans="1:10" x14ac:dyDescent="0.2">
      <c r="A19" s="26">
        <v>18</v>
      </c>
      <c r="B19" s="18">
        <v>17</v>
      </c>
      <c r="C19" s="18" t="s">
        <v>7</v>
      </c>
      <c r="D19" s="47" t="s">
        <v>39</v>
      </c>
      <c r="E19" s="12">
        <v>4019</v>
      </c>
      <c r="F19" s="12">
        <f>SUMIFS('Week 29 July 13 - July 19 2020'!F:F,'Week 29 July 13 - July 19 2020'!D:D,'Week 30 July 20 - July 26 2020'!D:D,'Week 29 July 13 - July 19 2020'!C:C,'Week 30 July 20 - July 26 2020'!C:C)+Table361191013555712141752596163656769717375777982848688[[#This Row],[Week Sales]]</f>
        <v>1616859</v>
      </c>
      <c r="G19" s="18" t="str">
        <f>(VLOOKUP(D:D,'Week 29 July 13 - July 19 2020'!D:G,4,FALSE))</f>
        <v>Nintendo</v>
      </c>
      <c r="H19" s="67">
        <f>(VLOOKUP(D:D,'Week 29 July 13 - July 19 2020'!D:H,5,FALSE))</f>
        <v>42797</v>
      </c>
      <c r="I19" s="12">
        <f>_xlfn.IFNA(SUMIFS('Week 29 July 13 - July 19 2020'!E:E,'Week 29 July 13 - July 19 2020'!D:D,'Week 30 July 20 - July 26 2020'!D:D,'Week 29 July 13 - July 19 2020'!C:C,'Week 30 July 20 - July 26 2020'!C:C),"New")</f>
        <v>3053</v>
      </c>
      <c r="J19" s="28">
        <f t="shared" si="0"/>
        <v>0.31641008843760238</v>
      </c>
    </row>
    <row r="20" spans="1:10" x14ac:dyDescent="0.2">
      <c r="A20" s="26">
        <v>19</v>
      </c>
      <c r="B20" s="18">
        <v>11</v>
      </c>
      <c r="C20" s="18" t="s">
        <v>8</v>
      </c>
      <c r="D20" s="47" t="s">
        <v>276</v>
      </c>
      <c r="E20" s="12">
        <v>3848</v>
      </c>
      <c r="F20" s="12">
        <f>SUMIFS('Week 29 July 13 - July 19 2020'!F:F,'Week 29 July 13 - July 19 2020'!D:D,'Week 30 July 20 - July 26 2020'!D:D,'Week 29 July 13 - July 19 2020'!C:C,'Week 30 July 20 - July 26 2020'!C:C)+Table361191013555712141752596163656769717375777982848688[[#This Row],[Week Sales]]</f>
        <v>85010</v>
      </c>
      <c r="G20" s="18" t="str">
        <f>(VLOOKUP(D:D,'Week 29 July 13 - July 19 2020'!D:G,4,FALSE))</f>
        <v>Bandai Namco</v>
      </c>
      <c r="H20" s="67">
        <f>(VLOOKUP(D:D,'Week 29 July 13 - July 19 2020'!D:H,5,FALSE))</f>
        <v>44021</v>
      </c>
      <c r="I20" s="12">
        <f>_xlfn.IFNA(SUMIFS('Week 29 July 13 - July 19 2020'!E:E,'Week 29 July 13 - July 19 2020'!D:D,'Week 30 July 20 - July 26 2020'!D:D,'Week 29 July 13 - July 19 2020'!C:C,'Week 30 July 20 - July 26 2020'!C:C),"New")</f>
        <v>7831</v>
      </c>
      <c r="J20" s="28">
        <f t="shared" si="0"/>
        <v>-0.50861958881368918</v>
      </c>
    </row>
    <row r="21" spans="1:10" x14ac:dyDescent="0.2">
      <c r="A21" s="26">
        <v>20</v>
      </c>
      <c r="B21" s="18">
        <v>19</v>
      </c>
      <c r="C21" s="18" t="s">
        <v>7</v>
      </c>
      <c r="D21" s="47" t="s">
        <v>19</v>
      </c>
      <c r="E21" s="12">
        <v>3365</v>
      </c>
      <c r="F21" s="12">
        <f>SUMIFS('Week 29 July 13 - July 19 2020'!F:F,'Week 29 July 13 - July 19 2020'!D:D,'Week 30 July 20 - July 26 2020'!D:D,'Week 29 July 13 - July 19 2020'!C:C,'Week 30 July 20 - July 26 2020'!C:C)+Table361191013555712141752596163656769717375777982848688[[#This Row],[Week Sales]]</f>
        <v>942223</v>
      </c>
      <c r="G21" s="18" t="str">
        <f>(VLOOKUP(D:D,'Week 29 July 13 - July 19 2020'!D:G,4,FALSE))</f>
        <v>Nintendo</v>
      </c>
      <c r="H21" s="67">
        <f>(VLOOKUP(D:D,'Week 29 July 13 - July 19 2020'!D:H,5,FALSE))</f>
        <v>43644</v>
      </c>
      <c r="I21" s="12">
        <f>_xlfn.IFNA(SUMIFS('Week 29 July 13 - July 19 2020'!E:E,'Week 29 July 13 - July 19 2020'!D:D,'Week 30 July 20 - July 26 2020'!D:D,'Week 29 July 13 - July 19 2020'!C:C,'Week 30 July 20 - July 26 2020'!C:C),"New")</f>
        <v>2578</v>
      </c>
      <c r="J21" s="28">
        <f t="shared" si="0"/>
        <v>0.30527540729247477</v>
      </c>
    </row>
    <row r="22" spans="1:10" x14ac:dyDescent="0.2">
      <c r="A22" s="26">
        <v>21</v>
      </c>
      <c r="B22" s="18">
        <v>9</v>
      </c>
      <c r="C22" s="18" t="s">
        <v>7</v>
      </c>
      <c r="D22" s="47" t="s">
        <v>279</v>
      </c>
      <c r="E22" s="12">
        <v>3135</v>
      </c>
      <c r="F22" s="12">
        <f>SUMIFS('Week 29 July 13 - July 19 2020'!F:F,'Week 29 July 13 - July 19 2020'!D:D,'Week 30 July 20 - July 26 2020'!D:D,'Week 29 July 13 - July 19 2020'!C:C,'Week 30 July 20 - July 26 2020'!C:C)+Table361191013555712141752596163656769717375777982848688[[#This Row],[Week Sales]]</f>
        <v>12860</v>
      </c>
      <c r="G22" s="18" t="str">
        <f>(VLOOKUP(D:D,'Week 29 July 13 - July 19 2020'!D:G,4,FALSE))</f>
        <v>Ponos</v>
      </c>
      <c r="H22" s="67">
        <f>(VLOOKUP(D:D,'Week 29 July 13 - July 19 2020'!D:H,5,FALSE))</f>
        <v>44028</v>
      </c>
      <c r="I22" s="12">
        <f>_xlfn.IFNA(SUMIFS('Week 29 July 13 - July 19 2020'!E:E,'Week 29 July 13 - July 19 2020'!D:D,'Week 30 July 20 - July 26 2020'!D:D,'Week 29 July 13 - July 19 2020'!C:C,'Week 30 July 20 - July 26 2020'!C:C),"New")</f>
        <v>9725</v>
      </c>
      <c r="J22" s="28">
        <f t="shared" si="0"/>
        <v>-0.67763496143958868</v>
      </c>
    </row>
    <row r="23" spans="1:10" x14ac:dyDescent="0.2">
      <c r="A23" s="9">
        <v>22</v>
      </c>
      <c r="B23" s="9" t="s">
        <v>36</v>
      </c>
      <c r="C23" s="9" t="s">
        <v>8</v>
      </c>
      <c r="D23" s="46" t="s">
        <v>284</v>
      </c>
      <c r="E23" s="10">
        <v>3110</v>
      </c>
      <c r="F23" s="10">
        <f>SUMIFS('Week 29 July 13 - July 19 2020'!F:F,'Week 29 July 13 - July 19 2020'!D:D,'Week 30 July 20 - July 26 2020'!D:D,'Week 29 July 13 - July 19 2020'!C:C,'Week 30 July 20 - July 26 2020'!C:C)+Table361191013555712141752596163656769717375777982848688[[#This Row],[Week Sales]]</f>
        <v>3110</v>
      </c>
      <c r="G23" s="9" t="s">
        <v>121</v>
      </c>
      <c r="H23" s="14">
        <v>44034</v>
      </c>
      <c r="I23" s="10" t="s">
        <v>36</v>
      </c>
      <c r="J23" s="92" t="str">
        <f t="shared" si="0"/>
        <v>New</v>
      </c>
    </row>
    <row r="24" spans="1:10" x14ac:dyDescent="0.2">
      <c r="A24" s="26">
        <v>23</v>
      </c>
      <c r="B24" s="18">
        <v>24</v>
      </c>
      <c r="C24" s="18" t="s">
        <v>7</v>
      </c>
      <c r="D24" s="47" t="s">
        <v>79</v>
      </c>
      <c r="E24" s="12">
        <v>2908</v>
      </c>
      <c r="F24" s="12">
        <f>SUMIFS('Week 29 July 13 - July 19 2020'!F:F,'Week 29 July 13 - July 19 2020'!D:D,'Week 30 July 20 - July 26 2020'!D:D,'Week 29 July 13 - July 19 2020'!C:C,'Week 30 July 20 - July 26 2020'!C:C)+Table361191013555712141752596163656769717375777982848688[[#This Row],[Week Sales]]</f>
        <v>667676</v>
      </c>
      <c r="G24" s="18" t="str">
        <f>(VLOOKUP(D:D,'Week 29 July 13 - July 19 2020'!D:G,4,FALSE))</f>
        <v>Nintendo</v>
      </c>
      <c r="H24" s="67">
        <f>(VLOOKUP(D:D,'Week 29 July 13 - July 19 2020'!D:H,5,FALSE))</f>
        <v>43769</v>
      </c>
      <c r="I24" s="12">
        <f>_xlfn.IFNA(SUMIFS('Week 29 July 13 - July 19 2020'!E:E,'Week 29 July 13 - July 19 2020'!D:D,'Week 30 July 20 - July 26 2020'!D:D,'Week 29 July 13 - July 19 2020'!C:C,'Week 30 July 20 - July 26 2020'!C:C),"New")</f>
        <v>2072</v>
      </c>
      <c r="J24" s="28">
        <f t="shared" si="0"/>
        <v>0.4034749034749035</v>
      </c>
    </row>
    <row r="25" spans="1:10" x14ac:dyDescent="0.2">
      <c r="A25" s="30">
        <v>24</v>
      </c>
      <c r="B25" s="31" t="s">
        <v>53</v>
      </c>
      <c r="C25" s="31" t="s">
        <v>7</v>
      </c>
      <c r="D25" s="62" t="s">
        <v>80</v>
      </c>
      <c r="E25" s="33">
        <v>2494</v>
      </c>
      <c r="F25" s="33">
        <v>326466</v>
      </c>
      <c r="G25" s="31" t="str">
        <f>(VLOOKUP(D:D,'Week 19 May 4 - May 10 2020'!D:G,4,FALSE))</f>
        <v>Sega</v>
      </c>
      <c r="H25" s="93">
        <f>(VLOOKUP(D:D,'Week 19 May 4 - May 10 2020'!D:H,5,FALSE))</f>
        <v>43770</v>
      </c>
      <c r="I25" s="33"/>
      <c r="J25" s="97"/>
    </row>
    <row r="26" spans="1:10" x14ac:dyDescent="0.2">
      <c r="A26" s="30">
        <v>25</v>
      </c>
      <c r="B26" s="31" t="s">
        <v>53</v>
      </c>
      <c r="C26" s="31" t="s">
        <v>7</v>
      </c>
      <c r="D26" s="52" t="s">
        <v>25</v>
      </c>
      <c r="E26" s="33">
        <v>2410</v>
      </c>
      <c r="F26" s="33">
        <v>493222</v>
      </c>
      <c r="G26" s="31" t="str">
        <f>(VLOOKUP(D:D,'Week 28 July 6 - July 12 2020'!D:G,4,FALSE))</f>
        <v>Bandai Namco</v>
      </c>
      <c r="H26" s="93">
        <f>(VLOOKUP(D:D,'Week 28 July 6 - July 12 2020'!D:H,5,FALSE))</f>
        <v>43300</v>
      </c>
      <c r="I26" s="33">
        <v>1561</v>
      </c>
      <c r="J26" s="97">
        <f t="shared" si="0"/>
        <v>0.54388212684176807</v>
      </c>
    </row>
    <row r="27" spans="1:10" x14ac:dyDescent="0.2">
      <c r="A27" s="26">
        <v>26</v>
      </c>
      <c r="B27" s="18">
        <v>27</v>
      </c>
      <c r="C27" s="18" t="s">
        <v>7</v>
      </c>
      <c r="D27" s="86" t="s">
        <v>83</v>
      </c>
      <c r="E27" s="12">
        <v>2354</v>
      </c>
      <c r="F27" s="12">
        <f>SUMIFS('Week 29 July 13 - July 19 2020'!F:F,'Week 29 July 13 - July 19 2020'!D:D,'Week 30 July 20 - July 26 2020'!D:D,'Week 29 July 13 - July 19 2020'!C:C,'Week 30 July 20 - July 26 2020'!C:C)+Table361191013555712141752596163656769717375777982848688[[#This Row],[Week Sales]]</f>
        <v>538239</v>
      </c>
      <c r="G27" s="18" t="str">
        <f>(VLOOKUP(D:D,'Week 29 July 13 - July 19 2020'!D:G,4,FALSE))</f>
        <v>Square Enix</v>
      </c>
      <c r="H27" s="67">
        <f>(VLOOKUP(D:D,'Week 29 July 13 - July 19 2020'!D:H,5,FALSE))</f>
        <v>43735</v>
      </c>
      <c r="I27" s="12">
        <f>_xlfn.IFNA(SUMIFS('Week 29 July 13 - July 19 2020'!E:E,'Week 29 July 13 - July 19 2020'!D:D,'Week 30 July 20 - July 26 2020'!D:D,'Week 29 July 13 - July 19 2020'!C:C,'Week 30 July 20 - July 26 2020'!C:C),"New")</f>
        <v>1708</v>
      </c>
      <c r="J27" s="28">
        <f t="shared" si="0"/>
        <v>0.37822014051522246</v>
      </c>
    </row>
    <row r="28" spans="1:10" x14ac:dyDescent="0.2">
      <c r="A28" s="26">
        <v>27</v>
      </c>
      <c r="B28" s="18">
        <v>22</v>
      </c>
      <c r="C28" s="18" t="s">
        <v>8</v>
      </c>
      <c r="D28" s="47" t="s">
        <v>262</v>
      </c>
      <c r="E28" s="12">
        <v>2325</v>
      </c>
      <c r="F28" s="12">
        <f>SUMIFS('Week 29 July 13 - July 19 2020'!F:F,'Week 29 July 13 - July 19 2020'!D:D,'Week 30 July 20 - July 26 2020'!D:D,'Week 29 July 13 - July 19 2020'!C:C,'Week 30 July 20 - July 26 2020'!C:C)+Table361191013555712141752596163656769717375777982848688[[#This Row],[Week Sales]]</f>
        <v>222943</v>
      </c>
      <c r="G28" s="18" t="str">
        <f>(VLOOKUP(D:D,'Week 29 July 13 - July 19 2020'!D:G,4,FALSE))</f>
        <v>Sony</v>
      </c>
      <c r="H28" s="67">
        <f>(VLOOKUP(D:D,'Week 29 July 13 - July 19 2020'!D:H,5,FALSE))</f>
        <v>44001</v>
      </c>
      <c r="I28" s="12">
        <f>_xlfn.IFNA(SUMIFS('Week 29 July 13 - July 19 2020'!E:E,'Week 29 July 13 - July 19 2020'!D:D,'Week 30 July 20 - July 26 2020'!D:D,'Week 29 July 13 - July 19 2020'!C:C,'Week 30 July 20 - July 26 2020'!C:C),"New")</f>
        <v>2427</v>
      </c>
      <c r="J28" s="28">
        <f t="shared" si="0"/>
        <v>-4.2027194066749075E-2</v>
      </c>
    </row>
    <row r="29" spans="1:10" x14ac:dyDescent="0.2">
      <c r="A29" s="26">
        <v>28</v>
      </c>
      <c r="B29" s="18">
        <v>30</v>
      </c>
      <c r="C29" s="18" t="s">
        <v>7</v>
      </c>
      <c r="D29" s="86" t="s">
        <v>56</v>
      </c>
      <c r="E29" s="12">
        <v>2170</v>
      </c>
      <c r="F29" s="12">
        <f>SUMIFS('Week 29 July 13 - July 19 2020'!F:F,'Week 29 July 13 - July 19 2020'!D:D,'Week 30 July 20 - July 26 2020'!D:D,'Week 29 July 13 - July 19 2020'!C:C,'Week 30 July 20 - July 26 2020'!C:C)+Table361191013555712141752596163656769717375777982848688[[#This Row],[Week Sales]]</f>
        <v>13545</v>
      </c>
      <c r="G29" s="18" t="str">
        <f>(VLOOKUP(D:D,'Week 29 July 13 - July 19 2020'!D:G,4,FALSE))</f>
        <v>Teyon Japan</v>
      </c>
      <c r="H29" s="67">
        <f>(VLOOKUP(D:D,'Week 29 July 13 - July 19 2020'!D:H,5,FALSE))</f>
        <v>44007</v>
      </c>
      <c r="I29" s="12">
        <f>_xlfn.IFNA(SUMIFS('Week 29 July 13 - July 19 2020'!E:E,'Week 29 July 13 - July 19 2020'!D:D,'Week 30 July 20 - July 26 2020'!D:D,'Week 29 July 13 - July 19 2020'!C:C,'Week 30 July 20 - July 26 2020'!C:C),"New")</f>
        <v>1619</v>
      </c>
      <c r="J29" s="28">
        <f t="shared" si="0"/>
        <v>0.34033353922174181</v>
      </c>
    </row>
    <row r="30" spans="1:10" x14ac:dyDescent="0.2">
      <c r="A30" s="26">
        <v>29</v>
      </c>
      <c r="B30" s="18">
        <v>28</v>
      </c>
      <c r="C30" s="18" t="s">
        <v>7</v>
      </c>
      <c r="D30" s="86" t="s">
        <v>26</v>
      </c>
      <c r="E30" s="12">
        <v>2004</v>
      </c>
      <c r="F30" s="12">
        <f>SUMIFS('Week 29 July 13 - July 19 2020'!F:F,'Week 29 July 13 - July 19 2020'!D:D,'Week 30 July 20 - July 26 2020'!D:D,'Week 29 July 13 - July 19 2020'!C:C,'Week 30 July 20 - July 26 2020'!C:C)+Table361191013555712141752596163656769717375777982848688[[#This Row],[Week Sales]]</f>
        <v>2112994</v>
      </c>
      <c r="G30" s="18" t="str">
        <f>(VLOOKUP(D:D,'Week 29 July 13 - July 19 2020'!D:G,4,FALSE))</f>
        <v>Nintendo</v>
      </c>
      <c r="H30" s="67">
        <f>(VLOOKUP(D:D,'Week 29 July 13 - July 19 2020'!D:H,5,FALSE))</f>
        <v>43035</v>
      </c>
      <c r="I30" s="12">
        <f>_xlfn.IFNA(SUMIFS('Week 29 July 13 - July 19 2020'!E:E,'Week 29 July 13 - July 19 2020'!D:D,'Week 30 July 20 - July 26 2020'!D:D,'Week 29 July 13 - July 19 2020'!C:C,'Week 30 July 20 - July 26 2020'!C:C),"New")</f>
        <v>1675</v>
      </c>
      <c r="J30" s="28">
        <f>IFERROR((E30-I30)/I30,"New")</f>
        <v>0.19641791044776119</v>
      </c>
    </row>
    <row r="31" spans="1:10" x14ac:dyDescent="0.2">
      <c r="A31" s="30">
        <v>30</v>
      </c>
      <c r="B31" s="31" t="s">
        <v>53</v>
      </c>
      <c r="C31" s="31" t="s">
        <v>7</v>
      </c>
      <c r="D31" s="52" t="s">
        <v>228</v>
      </c>
      <c r="E31" s="33">
        <v>1759</v>
      </c>
      <c r="F31" s="33">
        <v>122467</v>
      </c>
      <c r="G31" s="31" t="str">
        <f>(VLOOKUP(D:D,'Week 27 June 29 - July 5 2020'!D:G,4,FALSE))</f>
        <v>Imagineer</v>
      </c>
      <c r="H31" s="93">
        <f>(VLOOKUP(D:D,'Week 27 June 29 - July 5 2020'!D:H,5,FALSE))</f>
        <v>43454</v>
      </c>
      <c r="I31" s="33"/>
      <c r="J31" s="97"/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415474</v>
      </c>
      <c r="F33" s="2"/>
      <c r="I33" s="2"/>
      <c r="J33" s="19"/>
    </row>
    <row r="34" spans="1:10" x14ac:dyDescent="0.2">
      <c r="A34" s="3"/>
      <c r="B34" s="3"/>
      <c r="D34" s="100" t="s">
        <v>178</v>
      </c>
      <c r="E34" s="101">
        <f>SUM('Week 29 July 13 - July 19 2020'!E34,'Week 30 July 20 - July 26 2020'!E33)</f>
        <v>14634649</v>
      </c>
      <c r="F34" s="2"/>
      <c r="I34" s="2"/>
      <c r="J34" s="19"/>
    </row>
    <row r="35" spans="1:10" x14ac:dyDescent="0.2">
      <c r="A35" s="3"/>
      <c r="B35" s="3"/>
      <c r="D35" s="2" t="s">
        <v>60</v>
      </c>
      <c r="E35" s="2">
        <f>AVERAGE(E2:E31)</f>
        <v>13849.133333333333</v>
      </c>
      <c r="F35" s="2"/>
      <c r="I35" s="2"/>
      <c r="J35" s="19"/>
    </row>
    <row r="36" spans="1:10" x14ac:dyDescent="0.2">
      <c r="A36" s="3"/>
      <c r="B36" s="3"/>
      <c r="D36" s="9" t="s">
        <v>78</v>
      </c>
      <c r="E36" s="10">
        <f>COUNTIF(B:B,"New")</f>
        <v>2</v>
      </c>
      <c r="F36" s="2"/>
      <c r="I36" s="2"/>
      <c r="J36" s="19"/>
    </row>
    <row r="37" spans="1:10" x14ac:dyDescent="0.2">
      <c r="A37" s="3"/>
      <c r="B37" s="3"/>
      <c r="E37" s="2"/>
      <c r="F37" s="2"/>
      <c r="I37" s="2"/>
      <c r="J37" s="19"/>
    </row>
    <row r="38" spans="1:10" x14ac:dyDescent="0.2">
      <c r="A38" s="3"/>
      <c r="B38" s="3"/>
      <c r="D38" t="s">
        <v>66</v>
      </c>
      <c r="E38" s="2"/>
      <c r="F38" s="2"/>
      <c r="I38" s="2"/>
      <c r="J38" s="19"/>
    </row>
    <row r="39" spans="1:10" x14ac:dyDescent="0.2">
      <c r="A39" s="3"/>
      <c r="B39" s="3"/>
      <c r="D39" s="8" t="s">
        <v>67</v>
      </c>
      <c r="E39" s="2"/>
      <c r="F39" s="2"/>
      <c r="I39" s="2"/>
      <c r="J39" s="19"/>
    </row>
    <row r="40" spans="1:10" x14ac:dyDescent="0.2">
      <c r="A40" s="3"/>
      <c r="B40" s="3"/>
      <c r="D40" s="8" t="s">
        <v>65</v>
      </c>
      <c r="E40" s="2"/>
      <c r="F40" s="2"/>
      <c r="I40" s="2"/>
      <c r="J40" s="19"/>
    </row>
    <row r="41" spans="1:10" x14ac:dyDescent="0.2">
      <c r="D41" s="8" t="s">
        <v>71</v>
      </c>
    </row>
  </sheetData>
  <hyperlinks>
    <hyperlink ref="D41" r:id="rId1" xr:uid="{8BE3852E-789C-6F44-BE81-90DAA0D9602A}"/>
    <hyperlink ref="D40" r:id="rId2" xr:uid="{60DEC7EA-E3ED-734A-9453-F8F10969C84F}"/>
    <hyperlink ref="D39" r:id="rId3" xr:uid="{5DB83032-7833-4543-B726-8AE48B57D57A}"/>
  </hyperlinks>
  <pageMargins left="0.7" right="0.7" top="0.75" bottom="0.75" header="0.3" footer="0.3"/>
  <pageSetup paperSize="9" orientation="portrait" horizontalDpi="0" verticalDpi="0"/>
  <ignoredErrors>
    <ignoredError sqref="F1:I9 F11:H22 F10:H10 F24:I31 F23:H23 I11:I22 I10 I23" calculatedColumn="1"/>
  </ignoredErrors>
  <tableParts count="1">
    <tablePart r:id="rId4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49BC2-F60F-4A44-A37D-75CE4E6BB54E}">
  <dimension ref="A1:J42"/>
  <sheetViews>
    <sheetView workbookViewId="0">
      <selection activeCell="D15" sqref="D15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3.8320312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0" x14ac:dyDescent="0.2">
      <c r="A2" s="13">
        <v>1</v>
      </c>
      <c r="B2" s="9" t="s">
        <v>36</v>
      </c>
      <c r="C2" s="9" t="s">
        <v>8</v>
      </c>
      <c r="D2" s="95" t="s">
        <v>68</v>
      </c>
      <c r="E2" s="10">
        <v>123147</v>
      </c>
      <c r="F2" s="10">
        <f>SUMIFS('Week 30 July 20 - July 26 2020'!F:F,'Week 30 July 20 - July 26 2020'!D:D,'Week 31 July 27 - Aug 2 2020'!D:D,'Week 30 July 20 - July 26 2020'!C:C,'Week 31 July 27 - Aug 2 2020'!C:C)+Table36119101355571214175259616365676971737577798284868890[[#This Row],[Week Sales]]</f>
        <v>123147</v>
      </c>
      <c r="G2" s="9" t="s">
        <v>34</v>
      </c>
      <c r="H2" s="14">
        <v>44042</v>
      </c>
      <c r="I2" s="10" t="s">
        <v>36</v>
      </c>
      <c r="J2" s="92" t="str">
        <f>IFERROR((E2-I2)/I2,"New")</f>
        <v>New</v>
      </c>
    </row>
    <row r="3" spans="1:10" x14ac:dyDescent="0.2">
      <c r="A3" s="25">
        <v>2</v>
      </c>
      <c r="B3" s="18">
        <v>1</v>
      </c>
      <c r="C3" s="18" t="s">
        <v>7</v>
      </c>
      <c r="D3" s="86" t="s">
        <v>46</v>
      </c>
      <c r="E3" s="12">
        <v>56730</v>
      </c>
      <c r="F3" s="12">
        <f>SUMIFS('Week 30 July 20 - July 26 2020'!F:F,'Week 30 July 20 - July 26 2020'!D:D,'Week 31 July 27 - Aug 2 2020'!D:D,'Week 30 July 20 - July 26 2020'!C:C,'Week 31 July 27 - Aug 2 2020'!C:C)+Table36119101355571214175259616365676971737577798284868890[[#This Row],[Week Sales]]</f>
        <v>5337128</v>
      </c>
      <c r="G3" s="18" t="str">
        <f>(VLOOKUP(D:D,'Week 30 July 20 - July 26 2020'!D:G,4,FALSE))</f>
        <v>Nintendo</v>
      </c>
      <c r="H3" s="67">
        <f>(VLOOKUP(D:D,'Week 30 July 20 - July 26 2020'!D:H,5,FALSE))</f>
        <v>43910</v>
      </c>
      <c r="I3" s="12">
        <f>_xlfn.IFNA(SUMIFS('Week 30 July 20 - July 26 2020'!E:E,'Week 30 July 20 - July 26 2020'!D:D,'Week 31 July 27 - Aug 2 2020'!D:D,'Week 30 July 20 - July 26 2020'!C:C,'Week 31 July 27 - Aug 2 2020'!C:C),"New")</f>
        <v>94115</v>
      </c>
      <c r="J3" s="28">
        <f t="shared" ref="J3:J29" si="0">IFERROR((E3-I3)/I3,"New")</f>
        <v>-0.39722679700366575</v>
      </c>
    </row>
    <row r="4" spans="1:10" x14ac:dyDescent="0.2">
      <c r="A4" s="25">
        <v>3</v>
      </c>
      <c r="B4" s="18">
        <v>4</v>
      </c>
      <c r="C4" s="18" t="s">
        <v>7</v>
      </c>
      <c r="D4" s="47" t="s">
        <v>45</v>
      </c>
      <c r="E4" s="12">
        <v>37217</v>
      </c>
      <c r="F4" s="12">
        <f>SUMIFS('Week 30 July 20 - July 26 2020'!F:F,'Week 30 July 20 - July 26 2020'!D:D,'Week 31 July 27 - Aug 2 2020'!D:D,'Week 30 July 20 - July 26 2020'!C:C,'Week 31 July 27 - Aug 2 2020'!C:C)+Table36119101355571214175259616365676971737577798284868890[[#This Row],[Week Sales]]</f>
        <v>1242596</v>
      </c>
      <c r="G4" s="18" t="str">
        <f>(VLOOKUP(D:D,'Week 30 July 20 - July 26 2020'!D:G,4,FALSE))</f>
        <v>Nintendo</v>
      </c>
      <c r="H4" s="67">
        <f>(VLOOKUP(D:D,'Week 30 July 20 - July 26 2020'!D:H,5,FALSE))</f>
        <v>43756</v>
      </c>
      <c r="I4" s="12">
        <f>_xlfn.IFNA(SUMIFS('Week 30 July 20 - July 26 2020'!E:E,'Week 30 July 20 - July 26 2020'!D:D,'Week 31 July 27 - Aug 2 2020'!D:D,'Week 30 July 20 - July 26 2020'!C:C,'Week 31 July 27 - Aug 2 2020'!C:C),"New")</f>
        <v>32136</v>
      </c>
      <c r="J4" s="28">
        <f t="shared" si="0"/>
        <v>0.15810928553647</v>
      </c>
    </row>
    <row r="5" spans="1:10" x14ac:dyDescent="0.2">
      <c r="A5" s="25">
        <v>4</v>
      </c>
      <c r="B5" s="18">
        <v>2</v>
      </c>
      <c r="C5" s="18" t="s">
        <v>8</v>
      </c>
      <c r="D5" s="47" t="s">
        <v>11</v>
      </c>
      <c r="E5" s="12">
        <v>31932</v>
      </c>
      <c r="F5" s="12">
        <f>SUMIFS('Week 30 July 20 - July 26 2020'!F:F,'Week 30 July 20 - July 26 2020'!D:D,'Week 31 July 27 - Aug 2 2020'!D:D,'Week 30 July 20 - July 26 2020'!C:C,'Week 31 July 27 - Aug 2 2020'!C:C)+Table36119101355571214175259616365676971737577798284868890[[#This Row],[Week Sales]]</f>
        <v>298234</v>
      </c>
      <c r="G5" s="18" t="str">
        <f>(VLOOKUP(D:D,'Week 30 July 20 - July 26 2020'!D:G,4,FALSE))</f>
        <v>Sony</v>
      </c>
      <c r="H5" s="67">
        <f>(VLOOKUP(D:D,'Week 30 July 20 - July 26 2020'!D:H,5,FALSE))</f>
        <v>44029</v>
      </c>
      <c r="I5" s="12">
        <f>_xlfn.IFNA(SUMIFS('Week 30 July 20 - July 26 2020'!E:E,'Week 30 July 20 - July 26 2020'!D:D,'Week 31 July 27 - Aug 2 2020'!D:D,'Week 30 July 20 - July 26 2020'!C:C,'Week 31 July 27 - Aug 2 2020'!C:C),"New")</f>
        <v>53387</v>
      </c>
      <c r="J5" s="28">
        <f t="shared" si="0"/>
        <v>-0.401876861408208</v>
      </c>
    </row>
    <row r="6" spans="1:10" x14ac:dyDescent="0.2">
      <c r="A6" s="25">
        <v>5</v>
      </c>
      <c r="B6" s="18">
        <v>3</v>
      </c>
      <c r="C6" s="18" t="s">
        <v>7</v>
      </c>
      <c r="D6" s="47" t="s">
        <v>15</v>
      </c>
      <c r="E6" s="12">
        <v>22773</v>
      </c>
      <c r="F6" s="12">
        <f>SUMIFS('Week 30 July 20 - July 26 2020'!F:F,'Week 30 July 20 - July 26 2020'!D:D,'Week 31 July 27 - Aug 2 2020'!D:D,'Week 30 July 20 - July 26 2020'!C:C,'Week 31 July 27 - Aug 2 2020'!C:C)+Table36119101355571214175259616365676971737577798284868890[[#This Row],[Week Sales]]</f>
        <v>182508</v>
      </c>
      <c r="G6" s="18" t="str">
        <f>(VLOOKUP(D:D,'Week 30 July 20 - July 26 2020'!D:G,4,FALSE))</f>
        <v>Nintendo</v>
      </c>
      <c r="H6" s="67">
        <f>(VLOOKUP(D:D,'Week 30 July 20 - July 26 2020'!D:H,5,FALSE))</f>
        <v>44029</v>
      </c>
      <c r="I6" s="12">
        <f>_xlfn.IFNA(SUMIFS('Week 30 July 20 - July 26 2020'!E:E,'Week 30 July 20 - July 26 2020'!D:D,'Week 31 July 27 - Aug 2 2020'!D:D,'Week 30 July 20 - July 26 2020'!C:C,'Week 31 July 27 - Aug 2 2020'!C:C),"New")</f>
        <v>50643</v>
      </c>
      <c r="J6" s="28">
        <f t="shared" si="0"/>
        <v>-0.55032284817250166</v>
      </c>
    </row>
    <row r="7" spans="1:10" x14ac:dyDescent="0.2">
      <c r="A7" s="25">
        <v>6</v>
      </c>
      <c r="B7" s="18">
        <v>5</v>
      </c>
      <c r="C7" s="18" t="s">
        <v>7</v>
      </c>
      <c r="D7" s="47" t="s">
        <v>50</v>
      </c>
      <c r="E7" s="12">
        <v>16319</v>
      </c>
      <c r="F7" s="12">
        <f>SUMIFS('Week 30 July 20 - July 26 2020'!F:F,'Week 30 July 20 - July 26 2020'!D:D,'Week 31 July 27 - Aug 2 2020'!D:D,'Week 30 July 20 - July 26 2020'!C:C,'Week 31 July 27 - Aug 2 2020'!C:C)+Table36119101355571214175259616365676971737577798284868890[[#This Row],[Week Sales]]</f>
        <v>277346</v>
      </c>
      <c r="G7" s="18" t="str">
        <f>(VLOOKUP(D:D,'Week 30 July 20 - July 26 2020'!D:G,4,FALSE))</f>
        <v>Nintendo</v>
      </c>
      <c r="H7" s="67">
        <f>(VLOOKUP(D:D,'Week 30 July 20 - July 26 2020'!D:H,5,FALSE))</f>
        <v>43987</v>
      </c>
      <c r="I7" s="12">
        <f>_xlfn.IFNA(SUMIFS('Week 30 July 20 - July 26 2020'!E:E,'Week 30 July 20 - July 26 2020'!D:D,'Week 31 July 27 - Aug 2 2020'!D:D,'Week 30 July 20 - July 26 2020'!C:C,'Week 31 July 27 - Aug 2 2020'!C:C),"New")</f>
        <v>25136</v>
      </c>
      <c r="J7" s="28">
        <f t="shared" si="0"/>
        <v>-0.35077180140038194</v>
      </c>
    </row>
    <row r="8" spans="1:10" x14ac:dyDescent="0.2">
      <c r="A8" s="13">
        <v>7</v>
      </c>
      <c r="B8" s="9" t="s">
        <v>36</v>
      </c>
      <c r="C8" s="9" t="s">
        <v>7</v>
      </c>
      <c r="D8" s="46" t="s">
        <v>287</v>
      </c>
      <c r="E8" s="10">
        <v>15447</v>
      </c>
      <c r="F8" s="10">
        <f>SUMIFS('Week 30 July 20 - July 26 2020'!F:F,'Week 30 July 20 - July 26 2020'!D:D,'Week 31 July 27 - Aug 2 2020'!D:D,'Week 30 July 20 - July 26 2020'!C:C,'Week 31 July 27 - Aug 2 2020'!C:C)+Table36119101355571214175259616365676971737577798284868890[[#This Row],[Week Sales]]</f>
        <v>15447</v>
      </c>
      <c r="G8" s="9" t="s">
        <v>166</v>
      </c>
      <c r="H8" s="14">
        <v>44042</v>
      </c>
      <c r="I8" s="10" t="s">
        <v>36</v>
      </c>
      <c r="J8" s="92" t="str">
        <f t="shared" si="0"/>
        <v>New</v>
      </c>
    </row>
    <row r="9" spans="1:10" x14ac:dyDescent="0.2">
      <c r="A9" s="25">
        <v>8</v>
      </c>
      <c r="B9" s="18">
        <v>6</v>
      </c>
      <c r="C9" s="18" t="s">
        <v>7</v>
      </c>
      <c r="D9" s="47" t="s">
        <v>14</v>
      </c>
      <c r="E9" s="12">
        <v>13341</v>
      </c>
      <c r="F9" s="12">
        <f>SUMIFS('Week 30 July 20 - July 26 2020'!F:F,'Week 30 July 20 - July 26 2020'!D:D,'Week 31 July 27 - Aug 2 2020'!D:D,'Week 30 July 20 - July 26 2020'!C:C,'Week 31 July 27 - Aug 2 2020'!C:C)+Table36119101355571214175259616365676971737577798284868890[[#This Row],[Week Sales]]</f>
        <v>159030</v>
      </c>
      <c r="G9" s="18" t="str">
        <f>(VLOOKUP(D:D,'Week 30 July 20 - July 26 2020'!D:G,4,FALSE))</f>
        <v>Konami</v>
      </c>
      <c r="H9" s="67">
        <f>(VLOOKUP(D:D,'Week 30 July 20 - July 26 2020'!D:H,5,FALSE))</f>
        <v>44021</v>
      </c>
      <c r="I9" s="12">
        <f>_xlfn.IFNA(SUMIFS('Week 30 July 20 - July 26 2020'!E:E,'Week 30 July 20 - July 26 2020'!D:D,'Week 31 July 27 - Aug 2 2020'!D:D,'Week 30 July 20 - July 26 2020'!C:C,'Week 31 July 27 - Aug 2 2020'!C:C),"New")</f>
        <v>21094</v>
      </c>
      <c r="J9" s="28">
        <f t="shared" si="0"/>
        <v>-0.36754527353749883</v>
      </c>
    </row>
    <row r="10" spans="1:10" x14ac:dyDescent="0.2">
      <c r="A10" s="9">
        <v>9</v>
      </c>
      <c r="B10" s="9" t="s">
        <v>36</v>
      </c>
      <c r="C10" s="9" t="s">
        <v>8</v>
      </c>
      <c r="D10" s="46" t="s">
        <v>287</v>
      </c>
      <c r="E10" s="10">
        <v>13236</v>
      </c>
      <c r="F10" s="10">
        <f>SUMIFS('Week 30 July 20 - July 26 2020'!F:F,'Week 30 July 20 - July 26 2020'!D:D,'Week 31 July 27 - Aug 2 2020'!D:D,'Week 30 July 20 - July 26 2020'!C:C,'Week 31 July 27 - Aug 2 2020'!C:C)+Table36119101355571214175259616365676971737577798284868890[[#This Row],[Week Sales]]</f>
        <v>13236</v>
      </c>
      <c r="G10" s="9" t="s">
        <v>166</v>
      </c>
      <c r="H10" s="14">
        <v>44042</v>
      </c>
      <c r="I10" s="10" t="s">
        <v>36</v>
      </c>
      <c r="J10" s="92" t="str">
        <f t="shared" si="0"/>
        <v>New</v>
      </c>
    </row>
    <row r="11" spans="1:10" x14ac:dyDescent="0.2">
      <c r="A11" s="26">
        <v>10</v>
      </c>
      <c r="B11" s="18">
        <v>8</v>
      </c>
      <c r="C11" s="18" t="s">
        <v>7</v>
      </c>
      <c r="D11" s="47" t="s">
        <v>49</v>
      </c>
      <c r="E11" s="12">
        <v>12801</v>
      </c>
      <c r="F11" s="12">
        <f>SUMIFS('Week 30 July 20 - July 26 2020'!F:F,'Week 30 July 20 - July 26 2020'!D:D,'Week 31 July 27 - Aug 2 2020'!D:D,'Week 30 July 20 - July 26 2020'!C:C,'Week 31 July 27 - Aug 2 2020'!C:C)+Table36119101355571214175259616365676971737577798284868890[[#This Row],[Week Sales]]</f>
        <v>3063965</v>
      </c>
      <c r="G11" s="18" t="str">
        <f>(VLOOKUP(D:D,'Week 30 July 20 - July 26 2020'!D:G,4,FALSE))</f>
        <v>Nintendo</v>
      </c>
      <c r="H11" s="67">
        <f>(VLOOKUP(D:D,'Week 30 July 20 - July 26 2020'!D:H,5,FALSE))</f>
        <v>42853</v>
      </c>
      <c r="I11" s="12">
        <f>_xlfn.IFNA(SUMIFS('Week 30 July 20 - July 26 2020'!E:E,'Week 30 July 20 - July 26 2020'!D:D,'Week 31 July 27 - Aug 2 2020'!D:D,'Week 30 July 20 - July 26 2020'!C:C,'Week 31 July 27 - Aug 2 2020'!C:C),"New")</f>
        <v>15175</v>
      </c>
      <c r="J11" s="28">
        <f t="shared" si="0"/>
        <v>-0.15644151565074135</v>
      </c>
    </row>
    <row r="12" spans="1:10" x14ac:dyDescent="0.2">
      <c r="A12" s="26">
        <v>11</v>
      </c>
      <c r="B12" s="18">
        <v>7</v>
      </c>
      <c r="C12" s="18" t="s">
        <v>8</v>
      </c>
      <c r="D12" s="47" t="s">
        <v>14</v>
      </c>
      <c r="E12" s="12">
        <v>11497</v>
      </c>
      <c r="F12" s="12">
        <f>SUMIFS('Week 30 July 20 - July 26 2020'!F:F,'Week 30 July 20 - July 26 2020'!D:D,'Week 31 July 27 - Aug 2 2020'!D:D,'Week 30 July 20 - July 26 2020'!C:C,'Week 31 July 27 - Aug 2 2020'!C:C)+Table36119101355571214175259616365676971737577798284868890[[#This Row],[Week Sales]]</f>
        <v>146248</v>
      </c>
      <c r="G12" s="18" t="str">
        <f>(VLOOKUP(D:D,'Week 30 July 20 - July 26 2020'!D:G,4,FALSE))</f>
        <v>Konami</v>
      </c>
      <c r="H12" s="67">
        <f>(VLOOKUP(D:D,'Week 30 July 20 - July 26 2020'!D:H,5,FALSE))</f>
        <v>44021</v>
      </c>
      <c r="I12" s="12">
        <f>_xlfn.IFNA(SUMIFS('Week 30 July 20 - July 26 2020'!E:E,'Week 30 July 20 - July 26 2020'!D:D,'Week 31 July 27 - Aug 2 2020'!D:D,'Week 30 July 20 - July 26 2020'!C:C,'Week 31 July 27 - Aug 2 2020'!C:C),"New")</f>
        <v>16253</v>
      </c>
      <c r="J12" s="28">
        <f t="shared" si="0"/>
        <v>-0.29262290038762073</v>
      </c>
    </row>
    <row r="13" spans="1:10" x14ac:dyDescent="0.2">
      <c r="A13" s="26">
        <v>12</v>
      </c>
      <c r="B13" s="18">
        <v>10</v>
      </c>
      <c r="C13" s="18" t="s">
        <v>7</v>
      </c>
      <c r="D13" s="47" t="s">
        <v>62</v>
      </c>
      <c r="E13" s="12">
        <v>7946</v>
      </c>
      <c r="F13" s="12">
        <f>SUMIFS('Week 30 July 20 - July 26 2020'!F:F,'Week 30 July 20 - July 26 2020'!D:D,'Week 31 July 27 - Aug 2 2020'!D:D,'Week 30 July 20 - July 26 2020'!C:C,'Week 31 July 27 - Aug 2 2020'!C:C)+Table36119101355571214175259616365676971737577798284868890[[#This Row],[Week Sales]]</f>
        <v>3680595</v>
      </c>
      <c r="G13" s="18" t="str">
        <f>(VLOOKUP(D:D,'Week 30 July 20 - July 26 2020'!D:G,4,FALSE))</f>
        <v>The Pokemon Company</v>
      </c>
      <c r="H13" s="67">
        <f>(VLOOKUP(D:D,'Week 30 July 20 - July 26 2020'!D:H,5,FALSE))</f>
        <v>43784</v>
      </c>
      <c r="I13" s="12">
        <f>_xlfn.IFNA(SUMIFS('Week 30 July 20 - July 26 2020'!E:E,'Week 30 July 20 - July 26 2020'!D:D,'Week 31 July 27 - Aug 2 2020'!D:D,'Week 30 July 20 - July 26 2020'!C:C,'Week 31 July 27 - Aug 2 2020'!C:C),"New")</f>
        <v>9845</v>
      </c>
      <c r="J13" s="28">
        <f t="shared" si="0"/>
        <v>-0.19288979177247334</v>
      </c>
    </row>
    <row r="14" spans="1:10" x14ac:dyDescent="0.2">
      <c r="A14" s="26">
        <v>13</v>
      </c>
      <c r="B14" s="18">
        <v>11</v>
      </c>
      <c r="C14" s="18" t="s">
        <v>7</v>
      </c>
      <c r="D14" s="47" t="s">
        <v>10</v>
      </c>
      <c r="E14" s="12">
        <v>7653</v>
      </c>
      <c r="F14" s="12">
        <f>SUMIFS('Week 30 July 20 - July 26 2020'!F:F,'Week 30 July 20 - July 26 2020'!D:D,'Week 31 July 27 - Aug 2 2020'!D:D,'Week 30 July 20 - July 26 2020'!C:C,'Week 31 July 27 - Aug 2 2020'!C:C)+Table36119101355571214175259616365676971737577798284868890[[#This Row],[Week Sales]]</f>
        <v>3510700</v>
      </c>
      <c r="G14" s="18" t="str">
        <f>(VLOOKUP(D:D,'Week 30 July 20 - July 26 2020'!D:G,4,FALSE))</f>
        <v>Nintendo</v>
      </c>
      <c r="H14" s="67">
        <f>(VLOOKUP(D:D,'Week 30 July 20 - July 26 2020'!D:H,5,FALSE))</f>
        <v>42937</v>
      </c>
      <c r="I14" s="12">
        <f>_xlfn.IFNA(SUMIFS('Week 30 July 20 - July 26 2020'!E:E,'Week 30 July 20 - July 26 2020'!D:D,'Week 31 July 27 - Aug 2 2020'!D:D,'Week 30 July 20 - July 26 2020'!C:C,'Week 31 July 27 - Aug 2 2020'!C:C),"New")</f>
        <v>9744</v>
      </c>
      <c r="J14" s="28">
        <f t="shared" si="0"/>
        <v>-0.2145935960591133</v>
      </c>
    </row>
    <row r="15" spans="1:10" x14ac:dyDescent="0.2">
      <c r="A15" s="26">
        <v>14</v>
      </c>
      <c r="B15" s="18">
        <v>12</v>
      </c>
      <c r="C15" s="18" t="s">
        <v>7</v>
      </c>
      <c r="D15" s="47" t="s">
        <v>52</v>
      </c>
      <c r="E15" s="12">
        <v>7553</v>
      </c>
      <c r="F15" s="12">
        <f>SUMIFS('Week 30 July 20 - July 26 2020'!F:F,'Week 30 July 20 - July 26 2020'!D:D,'Week 31 July 27 - Aug 2 2020'!D:D,'Week 30 July 20 - July 26 2020'!C:C,'Week 31 July 27 - Aug 2 2020'!C:C)+Table36119101355571214175259616365676971737577798284868890[[#This Row],[Week Sales]]</f>
        <v>3774126</v>
      </c>
      <c r="G15" s="18" t="str">
        <f>(VLOOKUP(D:D,'Week 30 July 20 - July 26 2020'!D:G,4,FALSE))</f>
        <v>Nintendo</v>
      </c>
      <c r="H15" s="67">
        <f>(VLOOKUP(D:D,'Week 30 July 20 - July 26 2020'!D:H,5,FALSE))</f>
        <v>43441</v>
      </c>
      <c r="I15" s="12">
        <f>_xlfn.IFNA(SUMIFS('Week 30 July 20 - July 26 2020'!E:E,'Week 30 July 20 - July 26 2020'!D:D,'Week 31 July 27 - Aug 2 2020'!D:D,'Week 30 July 20 - July 26 2020'!C:C,'Week 31 July 27 - Aug 2 2020'!C:C),"New")</f>
        <v>8540</v>
      </c>
      <c r="J15" s="28">
        <f t="shared" si="0"/>
        <v>-0.11557377049180328</v>
      </c>
    </row>
    <row r="16" spans="1:10" x14ac:dyDescent="0.2">
      <c r="A16" s="26">
        <v>15</v>
      </c>
      <c r="B16" s="18">
        <v>13</v>
      </c>
      <c r="C16" s="18" t="s">
        <v>7</v>
      </c>
      <c r="D16" s="47" t="s">
        <v>13</v>
      </c>
      <c r="E16" s="12">
        <v>6257</v>
      </c>
      <c r="F16" s="12">
        <f>SUMIFS('Week 30 July 20 - July 26 2020'!F:F,'Week 30 July 20 - July 26 2020'!D:D,'Week 31 July 27 - Aug 2 2020'!D:D,'Week 30 July 20 - July 26 2020'!C:C,'Week 31 July 27 - Aug 2 2020'!C:C)+Table36119101355571214175259616365676971737577798284868890[[#This Row],[Week Sales]]</f>
        <v>1505977</v>
      </c>
      <c r="G16" s="18" t="str">
        <f>(VLOOKUP(D:D,'Week 30 July 20 - July 26 2020'!D:G,4,FALSE))</f>
        <v>Nintendo</v>
      </c>
      <c r="H16" s="67">
        <f>(VLOOKUP(D:D,'Week 30 July 20 - July 26 2020'!D:H,5,FALSE))</f>
        <v>43378</v>
      </c>
      <c r="I16" s="12">
        <f>_xlfn.IFNA(SUMIFS('Week 30 July 20 - July 26 2020'!E:E,'Week 30 July 20 - July 26 2020'!D:D,'Week 31 July 27 - Aug 2 2020'!D:D,'Week 30 July 20 - July 26 2020'!C:C,'Week 31 July 27 - Aug 2 2020'!C:C),"New")</f>
        <v>8071</v>
      </c>
      <c r="J16" s="28">
        <f t="shared" si="0"/>
        <v>-0.22475529674141989</v>
      </c>
    </row>
    <row r="17" spans="1:10" x14ac:dyDescent="0.2">
      <c r="A17" s="26">
        <v>16</v>
      </c>
      <c r="B17" s="18">
        <v>14</v>
      </c>
      <c r="C17" s="18" t="s">
        <v>7</v>
      </c>
      <c r="D17" s="47" t="s">
        <v>12</v>
      </c>
      <c r="E17" s="12">
        <v>5969</v>
      </c>
      <c r="F17" s="12">
        <f>SUMIFS('Week 30 July 20 - July 26 2020'!F:F,'Week 30 July 20 - July 26 2020'!D:D,'Week 31 July 27 - Aug 2 2020'!D:D,'Week 30 July 20 - July 26 2020'!C:C,'Week 31 July 27 - Aug 2 2020'!C:C)+Table36119101355571214175259616365676971737577798284868890[[#This Row],[Week Sales]]</f>
        <v>1458336</v>
      </c>
      <c r="G17" s="18" t="str">
        <f>(VLOOKUP(D:D,'Week 30 July 20 - July 26 2020'!D:G,4,FALSE))</f>
        <v>Microsoft</v>
      </c>
      <c r="H17" s="67">
        <f>(VLOOKUP(D:D,'Week 30 July 20 - July 26 2020'!D:H,5,FALSE))</f>
        <v>43272</v>
      </c>
      <c r="I17" s="12">
        <f>_xlfn.IFNA(SUMIFS('Week 30 July 20 - July 26 2020'!E:E,'Week 30 July 20 - July 26 2020'!D:D,'Week 31 July 27 - Aug 2 2020'!D:D,'Week 30 July 20 - July 26 2020'!C:C,'Week 31 July 27 - Aug 2 2020'!C:C),"New")</f>
        <v>8036</v>
      </c>
      <c r="J17" s="28">
        <f t="shared" si="0"/>
        <v>-0.2572175211548034</v>
      </c>
    </row>
    <row r="18" spans="1:10" x14ac:dyDescent="0.2">
      <c r="A18" s="9">
        <v>17</v>
      </c>
      <c r="B18" s="9" t="s">
        <v>36</v>
      </c>
      <c r="C18" s="9" t="s">
        <v>7</v>
      </c>
      <c r="D18" s="46" t="s">
        <v>288</v>
      </c>
      <c r="E18" s="10">
        <v>4756</v>
      </c>
      <c r="F18" s="10">
        <f>SUMIFS('Week 30 July 20 - July 26 2020'!F:F,'Week 30 July 20 - July 26 2020'!D:D,'Week 31 July 27 - Aug 2 2020'!D:D,'Week 30 July 20 - July 26 2020'!C:C,'Week 31 July 27 - Aug 2 2020'!C:C)+Table36119101355571214175259616365676971737577798284868890[[#This Row],[Week Sales]]</f>
        <v>4756</v>
      </c>
      <c r="G18" s="9" t="s">
        <v>43</v>
      </c>
      <c r="H18" s="14">
        <v>44042</v>
      </c>
      <c r="I18" s="10" t="s">
        <v>36</v>
      </c>
      <c r="J18" s="92" t="str">
        <f t="shared" si="0"/>
        <v>New</v>
      </c>
    </row>
    <row r="19" spans="1:10" x14ac:dyDescent="0.2">
      <c r="A19" s="26">
        <v>18</v>
      </c>
      <c r="B19" s="18">
        <v>18</v>
      </c>
      <c r="C19" s="18" t="s">
        <v>7</v>
      </c>
      <c r="D19" s="47" t="s">
        <v>39</v>
      </c>
      <c r="E19" s="12">
        <v>3694</v>
      </c>
      <c r="F19" s="12">
        <f>SUMIFS('Week 30 July 20 - July 26 2020'!F:F,'Week 30 July 20 - July 26 2020'!D:D,'Week 31 July 27 - Aug 2 2020'!D:D,'Week 30 July 20 - July 26 2020'!C:C,'Week 31 July 27 - Aug 2 2020'!C:C)+Table36119101355571214175259616365676971737577798284868890[[#This Row],[Week Sales]]</f>
        <v>1620553</v>
      </c>
      <c r="G19" s="18" t="str">
        <f>(VLOOKUP(D:D,'Week 30 July 20 - July 26 2020'!D:G,4,FALSE))</f>
        <v>Nintendo</v>
      </c>
      <c r="H19" s="67">
        <f>(VLOOKUP(D:D,'Week 30 July 20 - July 26 2020'!D:H,5,FALSE))</f>
        <v>42797</v>
      </c>
      <c r="I19" s="12">
        <f>_xlfn.IFNA(SUMIFS('Week 30 July 20 - July 26 2020'!E:E,'Week 30 July 20 - July 26 2020'!D:D,'Week 31 July 27 - Aug 2 2020'!D:D,'Week 30 July 20 - July 26 2020'!C:C,'Week 31 July 27 - Aug 2 2020'!C:C),"New")</f>
        <v>4019</v>
      </c>
      <c r="J19" s="28">
        <f t="shared" si="0"/>
        <v>-8.0865887036576267E-2</v>
      </c>
    </row>
    <row r="20" spans="1:10" x14ac:dyDescent="0.2">
      <c r="A20" s="26">
        <v>19</v>
      </c>
      <c r="B20" s="18">
        <v>15</v>
      </c>
      <c r="C20" s="18" t="s">
        <v>7</v>
      </c>
      <c r="D20" s="86" t="s">
        <v>20</v>
      </c>
      <c r="E20" s="12">
        <v>3556</v>
      </c>
      <c r="F20" s="12">
        <f>SUMIFS('Week 30 July 20 - July 26 2020'!F:F,'Week 30 July 20 - July 26 2020'!D:D,'Week 31 July 27 - Aug 2 2020'!D:D,'Week 30 July 20 - July 26 2020'!C:C,'Week 31 July 27 - Aug 2 2020'!C:C)+Table36119101355571214175259616365676971737577798284868890[[#This Row],[Week Sales]]</f>
        <v>465408</v>
      </c>
      <c r="G20" s="18" t="str">
        <f>(VLOOKUP(D:D,'Week 30 July 20 - July 26 2020'!D:G,4,FALSE))</f>
        <v>Bandai Namco</v>
      </c>
      <c r="H20" s="67">
        <f>(VLOOKUP(D:D,'Week 30 July 20 - July 26 2020'!D:H,5,FALSE))</f>
        <v>43671</v>
      </c>
      <c r="I20" s="12">
        <f>_xlfn.IFNA(SUMIFS('Week 30 July 20 - July 26 2020'!E:E,'Week 30 July 20 - July 26 2020'!D:D,'Week 31 July 27 - Aug 2 2020'!D:D,'Week 30 July 20 - July 26 2020'!C:C,'Week 31 July 27 - Aug 2 2020'!C:C),"New")</f>
        <v>7372</v>
      </c>
      <c r="J20" s="28">
        <f t="shared" si="0"/>
        <v>-0.51763429191535537</v>
      </c>
    </row>
    <row r="21" spans="1:10" x14ac:dyDescent="0.2">
      <c r="A21" s="26">
        <v>20</v>
      </c>
      <c r="B21" s="18">
        <v>16</v>
      </c>
      <c r="C21" s="18" t="s">
        <v>7</v>
      </c>
      <c r="D21" s="47" t="s">
        <v>16</v>
      </c>
      <c r="E21" s="12">
        <v>3289</v>
      </c>
      <c r="F21" s="12">
        <f>SUMIFS('Week 30 July 20 - July 26 2020'!F:F,'Week 30 July 20 - July 26 2020'!D:D,'Week 31 July 27 - Aug 2 2020'!D:D,'Week 30 July 20 - July 26 2020'!C:C,'Week 31 July 27 - Aug 2 2020'!C:C)+Table36119101355571214175259616365676971737577798284868890[[#This Row],[Week Sales]]</f>
        <v>269744</v>
      </c>
      <c r="G21" s="18" t="str">
        <f>(VLOOKUP(D:D,'Week 30 July 20 - July 26 2020'!D:G,4,FALSE))</f>
        <v>Nintendo</v>
      </c>
      <c r="H21" s="67">
        <f>(VLOOKUP(D:D,'Week 30 July 20 - July 26 2020'!D:H,5,FALSE))</f>
        <v>43826</v>
      </c>
      <c r="I21" s="12">
        <f>_xlfn.IFNA(SUMIFS('Week 30 July 20 - July 26 2020'!E:E,'Week 30 July 20 - July 26 2020'!D:D,'Week 31 July 27 - Aug 2 2020'!D:D,'Week 30 July 20 - July 26 2020'!C:C,'Week 31 July 27 - Aug 2 2020'!C:C),"New")</f>
        <v>4231</v>
      </c>
      <c r="J21" s="28">
        <f t="shared" si="0"/>
        <v>-0.22264240132356417</v>
      </c>
    </row>
    <row r="22" spans="1:10" x14ac:dyDescent="0.2">
      <c r="A22" s="26">
        <v>21</v>
      </c>
      <c r="B22" s="18">
        <v>17</v>
      </c>
      <c r="C22" s="18" t="s">
        <v>7</v>
      </c>
      <c r="D22" s="47" t="s">
        <v>17</v>
      </c>
      <c r="E22" s="12">
        <v>3225</v>
      </c>
      <c r="F22" s="12">
        <f>SUMIFS('Week 30 July 20 - July 26 2020'!F:F,'Week 30 July 20 - July 26 2020'!D:D,'Week 31 July 27 - Aug 2 2020'!D:D,'Week 30 July 20 - July 26 2020'!C:C,'Week 31 July 27 - Aug 2 2020'!C:C)+Table36119101355571214175259616365676971737577798284868890[[#This Row],[Week Sales]]</f>
        <v>872544</v>
      </c>
      <c r="G22" s="18" t="str">
        <f>(VLOOKUP(D:D,'Week 30 July 20 - July 26 2020'!D:G,4,FALSE))</f>
        <v>Nintendo</v>
      </c>
      <c r="H22" s="67">
        <f>(VLOOKUP(D:D,'Week 30 July 20 - July 26 2020'!D:H,5,FALSE))</f>
        <v>43476</v>
      </c>
      <c r="I22" s="12">
        <f>_xlfn.IFNA(SUMIFS('Week 30 July 20 - July 26 2020'!E:E,'Week 30 July 20 - July 26 2020'!D:D,'Week 31 July 27 - Aug 2 2020'!D:D,'Week 30 July 20 - July 26 2020'!C:C,'Week 31 July 27 - Aug 2 2020'!C:C),"New")</f>
        <v>4102</v>
      </c>
      <c r="J22" s="28">
        <f t="shared" si="0"/>
        <v>-0.21379814724524623</v>
      </c>
    </row>
    <row r="23" spans="1:10" x14ac:dyDescent="0.2">
      <c r="A23" s="26">
        <v>22</v>
      </c>
      <c r="B23" s="18">
        <v>9</v>
      </c>
      <c r="C23" s="18" t="s">
        <v>7</v>
      </c>
      <c r="D23" s="47" t="s">
        <v>283</v>
      </c>
      <c r="E23" s="12">
        <v>3187</v>
      </c>
      <c r="F23" s="12">
        <f>SUMIFS('Week 30 July 20 - July 26 2020'!F:F,'Week 30 July 20 - July 26 2020'!D:D,'Week 31 July 27 - Aug 2 2020'!D:D,'Week 30 July 20 - July 26 2020'!C:C,'Week 31 July 27 - Aug 2 2020'!C:C)+Table36119101355571214175259616365676971737577798284868890[[#This Row],[Week Sales]]</f>
        <v>14880</v>
      </c>
      <c r="G23" s="18" t="str">
        <f>(VLOOKUP(D:D,'Week 30 July 20 - July 26 2020'!D:G,4,FALSE))</f>
        <v>GungHo Online Entertainment</v>
      </c>
      <c r="H23" s="67">
        <f>(VLOOKUP(D:D,'Week 30 July 20 - July 26 2020'!D:H,5,FALSE))</f>
        <v>44034</v>
      </c>
      <c r="I23" s="12">
        <f>_xlfn.IFNA(SUMIFS('Week 30 July 20 - July 26 2020'!E:E,'Week 30 July 20 - July 26 2020'!D:D,'Week 31 July 27 - Aug 2 2020'!D:D,'Week 30 July 20 - July 26 2020'!C:C,'Week 31 July 27 - Aug 2 2020'!C:C),"New")</f>
        <v>11693</v>
      </c>
      <c r="J23" s="28">
        <f t="shared" si="0"/>
        <v>-0.72744376977678948</v>
      </c>
    </row>
    <row r="24" spans="1:10" x14ac:dyDescent="0.2">
      <c r="A24" s="26">
        <v>23</v>
      </c>
      <c r="B24" s="18">
        <v>20</v>
      </c>
      <c r="C24" s="18" t="s">
        <v>7</v>
      </c>
      <c r="D24" s="47" t="s">
        <v>19</v>
      </c>
      <c r="E24" s="12">
        <v>2626</v>
      </c>
      <c r="F24" s="12">
        <f>SUMIFS('Week 30 July 20 - July 26 2020'!F:F,'Week 30 July 20 - July 26 2020'!D:D,'Week 31 July 27 - Aug 2 2020'!D:D,'Week 30 July 20 - July 26 2020'!C:C,'Week 31 July 27 - Aug 2 2020'!C:C)+Table36119101355571214175259616365676971737577798284868890[[#This Row],[Week Sales]]</f>
        <v>944849</v>
      </c>
      <c r="G24" s="18" t="str">
        <f>(VLOOKUP(D:D,'Week 30 July 20 - July 26 2020'!D:G,4,FALSE))</f>
        <v>Nintendo</v>
      </c>
      <c r="H24" s="67">
        <f>(VLOOKUP(D:D,'Week 30 July 20 - July 26 2020'!D:H,5,FALSE))</f>
        <v>43644</v>
      </c>
      <c r="I24" s="12">
        <f>_xlfn.IFNA(SUMIFS('Week 30 July 20 - July 26 2020'!E:E,'Week 30 July 20 - July 26 2020'!D:D,'Week 31 July 27 - Aug 2 2020'!D:D,'Week 30 July 20 - July 26 2020'!C:C,'Week 31 July 27 - Aug 2 2020'!C:C),"New")</f>
        <v>3365</v>
      </c>
      <c r="J24" s="28">
        <f t="shared" si="0"/>
        <v>-0.21961367013372957</v>
      </c>
    </row>
    <row r="25" spans="1:10" x14ac:dyDescent="0.2">
      <c r="A25" s="26">
        <v>24</v>
      </c>
      <c r="B25" s="18">
        <v>19</v>
      </c>
      <c r="C25" s="18" t="s">
        <v>8</v>
      </c>
      <c r="D25" s="47" t="s">
        <v>276</v>
      </c>
      <c r="E25" s="12">
        <v>2134</v>
      </c>
      <c r="F25" s="12">
        <f>SUMIFS('Week 30 July 20 - July 26 2020'!F:F,'Week 30 July 20 - July 26 2020'!D:D,'Week 31 July 27 - Aug 2 2020'!D:D,'Week 30 July 20 - July 26 2020'!C:C,'Week 31 July 27 - Aug 2 2020'!C:C)+Table36119101355571214175259616365676971737577798284868890[[#This Row],[Week Sales]]</f>
        <v>87144</v>
      </c>
      <c r="G25" s="18" t="str">
        <f>(VLOOKUP(D:D,'Week 30 July 20 - July 26 2020'!D:G,4,FALSE))</f>
        <v>Bandai Namco</v>
      </c>
      <c r="H25" s="67">
        <f>(VLOOKUP(D:D,'Week 30 July 20 - July 26 2020'!D:H,5,FALSE))</f>
        <v>44021</v>
      </c>
      <c r="I25" s="12">
        <f>_xlfn.IFNA(SUMIFS('Week 30 July 20 - July 26 2020'!E:E,'Week 30 July 20 - July 26 2020'!D:D,'Week 31 July 27 - Aug 2 2020'!D:D,'Week 30 July 20 - July 26 2020'!C:C,'Week 31 July 27 - Aug 2 2020'!C:C),"New")</f>
        <v>3848</v>
      </c>
      <c r="J25" s="28">
        <f t="shared" si="0"/>
        <v>-0.44542619542619544</v>
      </c>
    </row>
    <row r="26" spans="1:10" x14ac:dyDescent="0.2">
      <c r="A26" s="26">
        <v>25</v>
      </c>
      <c r="B26" s="18">
        <v>23</v>
      </c>
      <c r="C26" s="18" t="s">
        <v>7</v>
      </c>
      <c r="D26" s="47" t="s">
        <v>79</v>
      </c>
      <c r="E26" s="12">
        <v>2132</v>
      </c>
      <c r="F26" s="12">
        <f>SUMIFS('Week 30 July 20 - July 26 2020'!F:F,'Week 30 July 20 - July 26 2020'!D:D,'Week 31 July 27 - Aug 2 2020'!D:D,'Week 30 July 20 - July 26 2020'!C:C,'Week 31 July 27 - Aug 2 2020'!C:C)+Table36119101355571214175259616365676971737577798284868890[[#This Row],[Week Sales]]</f>
        <v>669808</v>
      </c>
      <c r="G26" s="18" t="str">
        <f>(VLOOKUP(D:D,'Week 30 July 20 - July 26 2020'!D:G,4,FALSE))</f>
        <v>Nintendo</v>
      </c>
      <c r="H26" s="67">
        <f>(VLOOKUP(D:D,'Week 30 July 20 - July 26 2020'!D:H,5,FALSE))</f>
        <v>43769</v>
      </c>
      <c r="I26" s="12">
        <f>_xlfn.IFNA(SUMIFS('Week 30 July 20 - July 26 2020'!E:E,'Week 30 July 20 - July 26 2020'!D:D,'Week 31 July 27 - Aug 2 2020'!D:D,'Week 30 July 20 - July 26 2020'!C:C,'Week 31 July 27 - Aug 2 2020'!C:C),"New")</f>
        <v>2908</v>
      </c>
      <c r="J26" s="28">
        <f t="shared" si="0"/>
        <v>-0.26685006877579093</v>
      </c>
    </row>
    <row r="27" spans="1:10" x14ac:dyDescent="0.2">
      <c r="A27" s="26">
        <v>26</v>
      </c>
      <c r="B27" s="18">
        <v>25</v>
      </c>
      <c r="C27" s="18" t="s">
        <v>7</v>
      </c>
      <c r="D27" s="47" t="s">
        <v>25</v>
      </c>
      <c r="E27" s="12">
        <v>2018</v>
      </c>
      <c r="F27" s="12">
        <f>SUMIFS('Week 30 July 20 - July 26 2020'!F:F,'Week 30 July 20 - July 26 2020'!D:D,'Week 31 July 27 - Aug 2 2020'!D:D,'Week 30 July 20 - July 26 2020'!C:C,'Week 31 July 27 - Aug 2 2020'!C:C)+Table36119101355571214175259616365676971737577798284868890[[#This Row],[Week Sales]]</f>
        <v>495240</v>
      </c>
      <c r="G27" s="18" t="str">
        <f>(VLOOKUP(D:D,'Week 30 July 20 - July 26 2020'!D:G,4,FALSE))</f>
        <v>Bandai Namco</v>
      </c>
      <c r="H27" s="67">
        <f>(VLOOKUP(D:D,'Week 30 July 20 - July 26 2020'!D:H,5,FALSE))</f>
        <v>43300</v>
      </c>
      <c r="I27" s="12">
        <f>_xlfn.IFNA(SUMIFS('Week 30 July 20 - July 26 2020'!E:E,'Week 30 July 20 - July 26 2020'!D:D,'Week 31 July 27 - Aug 2 2020'!D:D,'Week 30 July 20 - July 26 2020'!C:C,'Week 31 July 27 - Aug 2 2020'!C:C),"New")</f>
        <v>2410</v>
      </c>
      <c r="J27" s="28">
        <f t="shared" si="0"/>
        <v>-0.16265560165975104</v>
      </c>
    </row>
    <row r="28" spans="1:10" x14ac:dyDescent="0.2">
      <c r="A28" s="9">
        <v>27</v>
      </c>
      <c r="B28" s="9" t="s">
        <v>36</v>
      </c>
      <c r="C28" s="9" t="s">
        <v>8</v>
      </c>
      <c r="D28" s="46" t="s">
        <v>289</v>
      </c>
      <c r="E28" s="10">
        <v>2015</v>
      </c>
      <c r="F28" s="10">
        <f>SUMIFS('Week 30 July 20 - July 26 2020'!F:F,'Week 30 July 20 - July 26 2020'!D:D,'Week 31 July 27 - Aug 2 2020'!D:D,'Week 30 July 20 - July 26 2020'!C:C,'Week 31 July 27 - Aug 2 2020'!C:C)+Table36119101355571214175259616365676971737577798284868890[[#This Row],[Week Sales]]</f>
        <v>2015</v>
      </c>
      <c r="G28" s="9" t="s">
        <v>34</v>
      </c>
      <c r="H28" s="14">
        <v>44042</v>
      </c>
      <c r="I28" s="10" t="s">
        <v>36</v>
      </c>
      <c r="J28" s="92" t="str">
        <f t="shared" si="0"/>
        <v>New</v>
      </c>
    </row>
    <row r="29" spans="1:10" x14ac:dyDescent="0.2">
      <c r="A29" s="26">
        <v>28</v>
      </c>
      <c r="B29" s="18">
        <v>26</v>
      </c>
      <c r="C29" s="18" t="s">
        <v>7</v>
      </c>
      <c r="D29" s="86" t="s">
        <v>83</v>
      </c>
      <c r="E29" s="12">
        <v>2013</v>
      </c>
      <c r="F29" s="12">
        <f>SUMIFS('Week 30 July 20 - July 26 2020'!F:F,'Week 30 July 20 - July 26 2020'!D:D,'Week 31 July 27 - Aug 2 2020'!D:D,'Week 30 July 20 - July 26 2020'!C:C,'Week 31 July 27 - Aug 2 2020'!C:C)+Table36119101355571214175259616365676971737577798284868890[[#This Row],[Week Sales]]</f>
        <v>540252</v>
      </c>
      <c r="G29" s="18" t="str">
        <f>(VLOOKUP(D:D,'Week 30 July 20 - July 26 2020'!D:G,4,FALSE))</f>
        <v>Square Enix</v>
      </c>
      <c r="H29" s="67">
        <f>(VLOOKUP(D:D,'Week 30 July 20 - July 26 2020'!D:H,5,FALSE))</f>
        <v>43735</v>
      </c>
      <c r="I29" s="12">
        <f>_xlfn.IFNA(SUMIFS('Week 30 July 20 - July 26 2020'!E:E,'Week 30 July 20 - July 26 2020'!D:D,'Week 31 July 27 - Aug 2 2020'!D:D,'Week 30 July 20 - July 26 2020'!C:C,'Week 31 July 27 - Aug 2 2020'!C:C),"New")</f>
        <v>2354</v>
      </c>
      <c r="J29" s="28">
        <f t="shared" si="0"/>
        <v>-0.14485981308411214</v>
      </c>
    </row>
    <row r="30" spans="1:10" x14ac:dyDescent="0.2">
      <c r="A30" s="9">
        <v>29</v>
      </c>
      <c r="B30" s="9" t="s">
        <v>36</v>
      </c>
      <c r="C30" s="9" t="s">
        <v>7</v>
      </c>
      <c r="D30" s="95" t="s">
        <v>290</v>
      </c>
      <c r="E30" s="10">
        <v>1748</v>
      </c>
      <c r="F30" s="10">
        <f>SUMIFS('Week 30 July 20 - July 26 2020'!F:F,'Week 30 July 20 - July 26 2020'!D:D,'Week 31 July 27 - Aug 2 2020'!D:D,'Week 30 July 20 - July 26 2020'!C:C,'Week 31 July 27 - Aug 2 2020'!C:C)+Table36119101355571214175259616365676971737577798284868890[[#This Row],[Week Sales]]</f>
        <v>1748</v>
      </c>
      <c r="G30" s="9" t="s">
        <v>171</v>
      </c>
      <c r="H30" s="14">
        <v>44042</v>
      </c>
      <c r="I30" s="10" t="s">
        <v>36</v>
      </c>
      <c r="J30" s="92" t="str">
        <f>IFERROR((E30-I30)/I30,"New")</f>
        <v>New</v>
      </c>
    </row>
    <row r="31" spans="1:10" x14ac:dyDescent="0.2">
      <c r="A31" s="9">
        <v>30</v>
      </c>
      <c r="B31" s="9" t="s">
        <v>36</v>
      </c>
      <c r="C31" s="9" t="s">
        <v>8</v>
      </c>
      <c r="D31" s="46" t="s">
        <v>291</v>
      </c>
      <c r="E31" s="10">
        <v>1679</v>
      </c>
      <c r="F31" s="10">
        <f>SUMIFS('Week 30 July 20 - July 26 2020'!F:F,'Week 30 July 20 - July 26 2020'!D:D,'Week 31 July 27 - Aug 2 2020'!D:D,'Week 30 July 20 - July 26 2020'!C:C,'Week 31 July 27 - Aug 2 2020'!C:C)+Table36119101355571214175259616365676971737577798284868890[[#This Row],[Week Sales]]</f>
        <v>1679</v>
      </c>
      <c r="G31" s="9" t="s">
        <v>29</v>
      </c>
      <c r="H31" s="14">
        <v>44042</v>
      </c>
      <c r="I31" s="10" t="s">
        <v>36</v>
      </c>
      <c r="J31" s="92" t="str">
        <f>IFERROR((E31-I31)/I31,"New")</f>
        <v>New</v>
      </c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427890</v>
      </c>
      <c r="F33" s="2"/>
      <c r="I33" s="2"/>
      <c r="J33" s="19"/>
    </row>
    <row r="34" spans="1:10" x14ac:dyDescent="0.2">
      <c r="A34" s="3"/>
      <c r="B34" s="3"/>
      <c r="D34" s="100" t="s">
        <v>178</v>
      </c>
      <c r="E34" s="101">
        <f>SUM('Week 30 July 20 - July 26 2020'!E34,'Week 31 July 27 - Aug 2 2020'!E33)</f>
        <v>15062539</v>
      </c>
      <c r="F34" s="2"/>
      <c r="I34" s="2"/>
      <c r="J34" s="19"/>
    </row>
    <row r="35" spans="1:10" x14ac:dyDescent="0.2">
      <c r="A35" s="3"/>
      <c r="B35" s="3"/>
      <c r="D35" s="98" t="s">
        <v>286</v>
      </c>
      <c r="E35" s="99">
        <f>E33+'Week 30 July 20 - July 26 2020'!E33+'Week 29 July 13 - July 19 2020'!E33+'Week 28 July 6 - July 12 2020'!E33+'Week 27 June 29 - July 5 2020'!E33</f>
        <v>2113474</v>
      </c>
      <c r="F35" s="2"/>
      <c r="I35" s="2"/>
      <c r="J35" s="19"/>
    </row>
    <row r="36" spans="1:10" x14ac:dyDescent="0.2">
      <c r="A36" s="3"/>
      <c r="B36" s="3"/>
      <c r="D36" s="2" t="s">
        <v>60</v>
      </c>
      <c r="E36" s="2">
        <f>AVERAGE(E2:E31)</f>
        <v>14263</v>
      </c>
      <c r="F36" s="2"/>
      <c r="I36" s="2"/>
      <c r="J36" s="19"/>
    </row>
    <row r="37" spans="1:10" x14ac:dyDescent="0.2">
      <c r="A37" s="3"/>
      <c r="B37" s="3"/>
      <c r="D37" s="9" t="s">
        <v>78</v>
      </c>
      <c r="E37" s="10">
        <f>COUNTIF(B:B,"New")</f>
        <v>7</v>
      </c>
      <c r="F37" s="2"/>
      <c r="I37" s="2"/>
      <c r="J37" s="19"/>
    </row>
    <row r="38" spans="1:10" x14ac:dyDescent="0.2">
      <c r="A38" s="3"/>
      <c r="B38" s="3"/>
      <c r="E38" s="2"/>
      <c r="F38" s="2"/>
      <c r="I38" s="2"/>
      <c r="J38" s="19"/>
    </row>
    <row r="39" spans="1:10" x14ac:dyDescent="0.2">
      <c r="A39" s="3"/>
      <c r="B39" s="3"/>
      <c r="D39" t="s">
        <v>66</v>
      </c>
      <c r="E39" s="2"/>
      <c r="F39" s="2"/>
      <c r="I39" s="2"/>
      <c r="J39" s="19"/>
    </row>
    <row r="40" spans="1:10" x14ac:dyDescent="0.2">
      <c r="A40" s="3"/>
      <c r="B40" s="3"/>
      <c r="D40" s="8" t="s">
        <v>67</v>
      </c>
      <c r="E40" s="2"/>
      <c r="F40" s="2"/>
      <c r="I40" s="2"/>
      <c r="J40" s="19"/>
    </row>
    <row r="41" spans="1:10" x14ac:dyDescent="0.2">
      <c r="A41" s="3"/>
      <c r="B41" s="3"/>
      <c r="D41" s="8" t="s">
        <v>65</v>
      </c>
      <c r="E41" s="2"/>
      <c r="F41" s="2"/>
      <c r="I41" s="2"/>
      <c r="J41" s="19"/>
    </row>
    <row r="42" spans="1:10" x14ac:dyDescent="0.2">
      <c r="D42" s="8" t="s">
        <v>71</v>
      </c>
    </row>
  </sheetData>
  <hyperlinks>
    <hyperlink ref="D42" r:id="rId1" xr:uid="{A8AAC8DD-5D27-2543-8AC2-93FEB75B6893}"/>
    <hyperlink ref="D40" r:id="rId2" xr:uid="{53A4CD88-C13D-3E48-B653-2AA92FB8EA32}"/>
    <hyperlink ref="D41" r:id="rId3" xr:uid="{B51C36BB-0D28-5746-A352-E81350127EDC}"/>
  </hyperlinks>
  <pageMargins left="0.7" right="0.7" top="0.75" bottom="0.75" header="0.3" footer="0.3"/>
  <pageSetup paperSize="9" orientation="portrait" horizontalDpi="0" verticalDpi="0"/>
  <ignoredErrors>
    <ignoredError sqref="I2:I31 G2:H31" calculatedColumn="1"/>
  </ignoredErrors>
  <tableParts count="1">
    <tablePart r:id="rId4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571CE-FD61-6E46-B42E-75086D395214}">
  <dimension ref="A1:J41"/>
  <sheetViews>
    <sheetView workbookViewId="0">
      <selection activeCell="D9" sqref="D9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3.83203125" bestFit="1" customWidth="1"/>
    <col min="6" max="6" width="10.1640625" bestFit="1" customWidth="1"/>
    <col min="7" max="7" width="26.16406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0" x14ac:dyDescent="0.2">
      <c r="A2" s="25">
        <v>1</v>
      </c>
      <c r="B2" s="18">
        <v>2</v>
      </c>
      <c r="C2" s="18" t="s">
        <v>7</v>
      </c>
      <c r="D2" s="86" t="s">
        <v>46</v>
      </c>
      <c r="E2" s="12">
        <v>108087</v>
      </c>
      <c r="F2" s="12">
        <f>SUMIFS('Week 31 July 27 - Aug 2 2020'!F:F,'Week 31 July 27 - Aug 2 2020'!D:D,'Week 32 Aug 3 - Aug 9 2020'!D:D,'Week 31 July 27 - Aug 2 2020'!C:C,'Week 32 Aug 3 - Aug 9 2020'!C:C)+Table3611910135557121417525961636567697173757779828486889019[[#This Row],[Week Sales]]</f>
        <v>5445215</v>
      </c>
      <c r="G2" s="18" t="str">
        <f>(VLOOKUP(D:D,'Week 31 July 27 - Aug 2 2020'!D:G,4,FALSE))</f>
        <v>Nintendo</v>
      </c>
      <c r="H2" s="67">
        <f>(VLOOKUP(D:D,'Week 31 July 27 - Aug 2 2020'!D:H,5,FALSE))</f>
        <v>43910</v>
      </c>
      <c r="I2" s="12">
        <f>_xlfn.IFNA(SUMIFS('Week 31 July 27 - Aug 2 2020'!E:E,'Week 31 July 27 - Aug 2 2020'!D:D,'Week 32 Aug 3 - Aug 9 2020'!D:D,'Week 31 July 27 - Aug 2 2020'!C:C,'Week 32 Aug 3 - Aug 9 2020'!C:C),"New")</f>
        <v>56730</v>
      </c>
      <c r="J2" s="28">
        <f>IFERROR((E2-I2)/I2,"New")</f>
        <v>0.90528820729772608</v>
      </c>
    </row>
    <row r="3" spans="1:10" x14ac:dyDescent="0.2">
      <c r="A3" s="25">
        <v>2</v>
      </c>
      <c r="B3" s="18">
        <v>3</v>
      </c>
      <c r="C3" s="18" t="s">
        <v>7</v>
      </c>
      <c r="D3" s="47" t="s">
        <v>45</v>
      </c>
      <c r="E3" s="12">
        <v>66828</v>
      </c>
      <c r="F3" s="12">
        <f>SUMIFS('Week 31 July 27 - Aug 2 2020'!F:F,'Week 31 July 27 - Aug 2 2020'!D:D,'Week 32 Aug 3 - Aug 9 2020'!D:D,'Week 31 July 27 - Aug 2 2020'!C:C,'Week 32 Aug 3 - Aug 9 2020'!C:C)+Table3611910135557121417525961636567697173757779828486889019[[#This Row],[Week Sales]]</f>
        <v>1309424</v>
      </c>
      <c r="G3" s="18" t="str">
        <f>(VLOOKUP(D:D,'Week 31 July 27 - Aug 2 2020'!D:G,4,FALSE))</f>
        <v>Nintendo</v>
      </c>
      <c r="H3" s="67">
        <f>(VLOOKUP(D:D,'Week 31 July 27 - Aug 2 2020'!D:H,5,FALSE))</f>
        <v>43756</v>
      </c>
      <c r="I3" s="12">
        <f>_xlfn.IFNA(SUMIFS('Week 31 July 27 - Aug 2 2020'!E:E,'Week 31 July 27 - Aug 2 2020'!D:D,'Week 32 Aug 3 - Aug 9 2020'!D:D,'Week 31 July 27 - Aug 2 2020'!C:C,'Week 32 Aug 3 - Aug 9 2020'!C:C),"New")</f>
        <v>37217</v>
      </c>
      <c r="J3" s="28">
        <f t="shared" ref="J3:J29" si="0">IFERROR((E3-I3)/I3,"New")</f>
        <v>0.79563102883091064</v>
      </c>
    </row>
    <row r="4" spans="1:10" x14ac:dyDescent="0.2">
      <c r="A4" s="25">
        <v>3</v>
      </c>
      <c r="B4" s="18">
        <v>4</v>
      </c>
      <c r="C4" s="18" t="s">
        <v>8</v>
      </c>
      <c r="D4" s="47" t="s">
        <v>11</v>
      </c>
      <c r="E4" s="12">
        <v>32130</v>
      </c>
      <c r="F4" s="12">
        <f>SUMIFS('Week 31 July 27 - Aug 2 2020'!F:F,'Week 31 July 27 - Aug 2 2020'!D:D,'Week 32 Aug 3 - Aug 9 2020'!D:D,'Week 31 July 27 - Aug 2 2020'!C:C,'Week 32 Aug 3 - Aug 9 2020'!C:C)+Table3611910135557121417525961636567697173757779828486889019[[#This Row],[Week Sales]]</f>
        <v>330364</v>
      </c>
      <c r="G4" s="18" t="str">
        <f>(VLOOKUP(D:D,'Week 31 July 27 - Aug 2 2020'!D:G,4,FALSE))</f>
        <v>Sony</v>
      </c>
      <c r="H4" s="67">
        <f>(VLOOKUP(D:D,'Week 31 July 27 - Aug 2 2020'!D:H,5,FALSE))</f>
        <v>44029</v>
      </c>
      <c r="I4" s="12">
        <f>_xlfn.IFNA(SUMIFS('Week 31 July 27 - Aug 2 2020'!E:E,'Week 31 July 27 - Aug 2 2020'!D:D,'Week 32 Aug 3 - Aug 9 2020'!D:D,'Week 31 July 27 - Aug 2 2020'!C:C,'Week 32 Aug 3 - Aug 9 2020'!C:C),"New")</f>
        <v>31932</v>
      </c>
      <c r="J4" s="28">
        <f t="shared" si="0"/>
        <v>6.2006764374295375E-3</v>
      </c>
    </row>
    <row r="5" spans="1:10" x14ac:dyDescent="0.2">
      <c r="A5" s="25">
        <v>4</v>
      </c>
      <c r="B5" s="18">
        <v>6</v>
      </c>
      <c r="C5" s="18" t="s">
        <v>7</v>
      </c>
      <c r="D5" s="47" t="s">
        <v>50</v>
      </c>
      <c r="E5" s="12">
        <v>19609</v>
      </c>
      <c r="F5" s="12">
        <f>SUMIFS('Week 31 July 27 - Aug 2 2020'!F:F,'Week 31 July 27 - Aug 2 2020'!D:D,'Week 32 Aug 3 - Aug 9 2020'!D:D,'Week 31 July 27 - Aug 2 2020'!C:C,'Week 32 Aug 3 - Aug 9 2020'!C:C)+Table3611910135557121417525961636567697173757779828486889019[[#This Row],[Week Sales]]</f>
        <v>296955</v>
      </c>
      <c r="G5" s="18" t="str">
        <f>(VLOOKUP(D:D,'Week 31 July 27 - Aug 2 2020'!D:G,4,FALSE))</f>
        <v>Nintendo</v>
      </c>
      <c r="H5" s="67">
        <f>(VLOOKUP(D:D,'Week 31 July 27 - Aug 2 2020'!D:H,5,FALSE))</f>
        <v>43987</v>
      </c>
      <c r="I5" s="12">
        <f>_xlfn.IFNA(SUMIFS('Week 31 July 27 - Aug 2 2020'!E:E,'Week 31 July 27 - Aug 2 2020'!D:D,'Week 32 Aug 3 - Aug 9 2020'!D:D,'Week 31 July 27 - Aug 2 2020'!C:C,'Week 32 Aug 3 - Aug 9 2020'!C:C),"New")</f>
        <v>16319</v>
      </c>
      <c r="J5" s="28">
        <f t="shared" si="0"/>
        <v>0.20160549053250812</v>
      </c>
    </row>
    <row r="6" spans="1:10" x14ac:dyDescent="0.2">
      <c r="A6" s="25">
        <v>5</v>
      </c>
      <c r="B6" s="18">
        <v>5</v>
      </c>
      <c r="C6" s="18" t="s">
        <v>7</v>
      </c>
      <c r="D6" s="47" t="s">
        <v>15</v>
      </c>
      <c r="E6" s="12">
        <v>19089</v>
      </c>
      <c r="F6" s="12">
        <f>SUMIFS('Week 31 July 27 - Aug 2 2020'!F:F,'Week 31 July 27 - Aug 2 2020'!D:D,'Week 32 Aug 3 - Aug 9 2020'!D:D,'Week 31 July 27 - Aug 2 2020'!C:C,'Week 32 Aug 3 - Aug 9 2020'!C:C)+Table3611910135557121417525961636567697173757779828486889019[[#This Row],[Week Sales]]</f>
        <v>201597</v>
      </c>
      <c r="G6" s="18" t="str">
        <f>(VLOOKUP(D:D,'Week 31 July 27 - Aug 2 2020'!D:G,4,FALSE))</f>
        <v>Nintendo</v>
      </c>
      <c r="H6" s="67">
        <f>(VLOOKUP(D:D,'Week 31 July 27 - Aug 2 2020'!D:H,5,FALSE))</f>
        <v>44029</v>
      </c>
      <c r="I6" s="12">
        <f>_xlfn.IFNA(SUMIFS('Week 31 July 27 - Aug 2 2020'!E:E,'Week 31 July 27 - Aug 2 2020'!D:D,'Week 32 Aug 3 - Aug 9 2020'!D:D,'Week 31 July 27 - Aug 2 2020'!C:C,'Week 32 Aug 3 - Aug 9 2020'!C:C),"New")</f>
        <v>22773</v>
      </c>
      <c r="J6" s="28">
        <f t="shared" si="0"/>
        <v>-0.16177051771835069</v>
      </c>
    </row>
    <row r="7" spans="1:10" x14ac:dyDescent="0.2">
      <c r="A7" s="25">
        <v>6</v>
      </c>
      <c r="B7" s="18">
        <v>1</v>
      </c>
      <c r="C7" s="18" t="s">
        <v>8</v>
      </c>
      <c r="D7" s="86" t="s">
        <v>68</v>
      </c>
      <c r="E7" s="12">
        <v>18178</v>
      </c>
      <c r="F7" s="12">
        <f>SUMIFS('Week 31 July 27 - Aug 2 2020'!F:F,'Week 31 July 27 - Aug 2 2020'!D:D,'Week 32 Aug 3 - Aug 9 2020'!D:D,'Week 31 July 27 - Aug 2 2020'!C:C,'Week 32 Aug 3 - Aug 9 2020'!C:C)+Table3611910135557121417525961636567697173757779828486889019[[#This Row],[Week Sales]]</f>
        <v>141325</v>
      </c>
      <c r="G7" s="18" t="str">
        <f>(VLOOKUP(D:D,'Week 31 July 27 - Aug 2 2020'!D:G,4,FALSE))</f>
        <v>Bandai Namco</v>
      </c>
      <c r="H7" s="67">
        <f>(VLOOKUP(D:D,'Week 31 July 27 - Aug 2 2020'!D:H,5,FALSE))</f>
        <v>44042</v>
      </c>
      <c r="I7" s="12">
        <f>_xlfn.IFNA(SUMIFS('Week 31 July 27 - Aug 2 2020'!E:E,'Week 31 July 27 - Aug 2 2020'!D:D,'Week 32 Aug 3 - Aug 9 2020'!D:D,'Week 31 July 27 - Aug 2 2020'!C:C,'Week 32 Aug 3 - Aug 9 2020'!C:C),"New")</f>
        <v>123147</v>
      </c>
      <c r="J7" s="28">
        <f t="shared" si="0"/>
        <v>-0.85238779669825493</v>
      </c>
    </row>
    <row r="8" spans="1:10" x14ac:dyDescent="0.2">
      <c r="A8" s="25">
        <v>7</v>
      </c>
      <c r="B8" s="18">
        <v>10</v>
      </c>
      <c r="C8" s="18" t="s">
        <v>7</v>
      </c>
      <c r="D8" s="47" t="s">
        <v>49</v>
      </c>
      <c r="E8" s="12">
        <v>16863</v>
      </c>
      <c r="F8" s="12">
        <f>SUMIFS('Week 31 July 27 - Aug 2 2020'!F:F,'Week 31 July 27 - Aug 2 2020'!D:D,'Week 32 Aug 3 - Aug 9 2020'!D:D,'Week 31 July 27 - Aug 2 2020'!C:C,'Week 32 Aug 3 - Aug 9 2020'!C:C)+Table3611910135557121417525961636567697173757779828486889019[[#This Row],[Week Sales]]</f>
        <v>3080828</v>
      </c>
      <c r="G8" s="18" t="str">
        <f>(VLOOKUP(D:D,'Week 31 July 27 - Aug 2 2020'!D:G,4,FALSE))</f>
        <v>Nintendo</v>
      </c>
      <c r="H8" s="67">
        <f>(VLOOKUP(D:D,'Week 31 July 27 - Aug 2 2020'!D:H,5,FALSE))</f>
        <v>42853</v>
      </c>
      <c r="I8" s="12">
        <f>_xlfn.IFNA(SUMIFS('Week 31 July 27 - Aug 2 2020'!E:E,'Week 31 July 27 - Aug 2 2020'!D:D,'Week 32 Aug 3 - Aug 9 2020'!D:D,'Week 31 July 27 - Aug 2 2020'!C:C,'Week 32 Aug 3 - Aug 9 2020'!C:C),"New")</f>
        <v>12801</v>
      </c>
      <c r="J8" s="28">
        <f t="shared" si="0"/>
        <v>0.31731895945629246</v>
      </c>
    </row>
    <row r="9" spans="1:10" x14ac:dyDescent="0.2">
      <c r="A9" s="25">
        <v>8</v>
      </c>
      <c r="B9" s="18">
        <v>8</v>
      </c>
      <c r="C9" s="18" t="s">
        <v>7</v>
      </c>
      <c r="D9" s="47" t="s">
        <v>14</v>
      </c>
      <c r="E9" s="12">
        <v>15451</v>
      </c>
      <c r="F9" s="12">
        <f>SUMIFS('Week 31 July 27 - Aug 2 2020'!F:F,'Week 31 July 27 - Aug 2 2020'!D:D,'Week 32 Aug 3 - Aug 9 2020'!D:D,'Week 31 July 27 - Aug 2 2020'!C:C,'Week 32 Aug 3 - Aug 9 2020'!C:C)+Table3611910135557121417525961636567697173757779828486889019[[#This Row],[Week Sales]]</f>
        <v>174481</v>
      </c>
      <c r="G9" s="18" t="str">
        <f>(VLOOKUP(D:D,'Week 31 July 27 - Aug 2 2020'!D:G,4,FALSE))</f>
        <v>Konami</v>
      </c>
      <c r="H9" s="67">
        <f>(VLOOKUP(D:D,'Week 31 July 27 - Aug 2 2020'!D:H,5,FALSE))</f>
        <v>44021</v>
      </c>
      <c r="I9" s="12">
        <f>_xlfn.IFNA(SUMIFS('Week 31 July 27 - Aug 2 2020'!E:E,'Week 31 July 27 - Aug 2 2020'!D:D,'Week 32 Aug 3 - Aug 9 2020'!D:D,'Week 31 July 27 - Aug 2 2020'!C:C,'Week 32 Aug 3 - Aug 9 2020'!C:C),"New")</f>
        <v>13341</v>
      </c>
      <c r="J9" s="28">
        <f t="shared" si="0"/>
        <v>0.15815905854133874</v>
      </c>
    </row>
    <row r="10" spans="1:10" x14ac:dyDescent="0.2">
      <c r="A10" s="9">
        <v>9</v>
      </c>
      <c r="B10" s="9" t="s">
        <v>36</v>
      </c>
      <c r="C10" s="9" t="s">
        <v>8</v>
      </c>
      <c r="D10" s="46" t="s">
        <v>292</v>
      </c>
      <c r="E10" s="10">
        <v>12331</v>
      </c>
      <c r="F10" s="10">
        <f>SUMIFS('Week 31 July 27 - Aug 2 2020'!F:F,'Week 31 July 27 - Aug 2 2020'!D:D,'Week 32 Aug 3 - Aug 9 2020'!D:D,'Week 31 July 27 - Aug 2 2020'!C:C,'Week 32 Aug 3 - Aug 9 2020'!C:C)+Table3611910135557121417525961636567697173757779828486889019[[#This Row],[Week Sales]]</f>
        <v>12331</v>
      </c>
      <c r="G10" s="9" t="s">
        <v>41</v>
      </c>
      <c r="H10" s="14">
        <v>44049</v>
      </c>
      <c r="I10" s="10" t="s">
        <v>36</v>
      </c>
      <c r="J10" s="92" t="str">
        <f t="shared" si="0"/>
        <v>New</v>
      </c>
    </row>
    <row r="11" spans="1:10" x14ac:dyDescent="0.2">
      <c r="A11" s="26">
        <v>10</v>
      </c>
      <c r="B11" s="18">
        <v>11</v>
      </c>
      <c r="C11" s="18" t="s">
        <v>8</v>
      </c>
      <c r="D11" s="47" t="s">
        <v>14</v>
      </c>
      <c r="E11" s="12">
        <v>9908</v>
      </c>
      <c r="F11" s="12">
        <f>SUMIFS('Week 31 July 27 - Aug 2 2020'!F:F,'Week 31 July 27 - Aug 2 2020'!D:D,'Week 32 Aug 3 - Aug 9 2020'!D:D,'Week 31 July 27 - Aug 2 2020'!C:C,'Week 32 Aug 3 - Aug 9 2020'!C:C)+Table3611910135557121417525961636567697173757779828486889019[[#This Row],[Week Sales]]</f>
        <v>156156</v>
      </c>
      <c r="G11" s="18" t="str">
        <f>(VLOOKUP(D:D,'Week 31 July 27 - Aug 2 2020'!D:G,4,FALSE))</f>
        <v>Konami</v>
      </c>
      <c r="H11" s="67">
        <f>(VLOOKUP(D:D,'Week 31 July 27 - Aug 2 2020'!D:H,5,FALSE))</f>
        <v>44021</v>
      </c>
      <c r="I11" s="12">
        <f>_xlfn.IFNA(SUMIFS('Week 31 July 27 - Aug 2 2020'!E:E,'Week 31 July 27 - Aug 2 2020'!D:D,'Week 32 Aug 3 - Aug 9 2020'!D:D,'Week 31 July 27 - Aug 2 2020'!C:C,'Week 32 Aug 3 - Aug 9 2020'!C:C),"New")</f>
        <v>11497</v>
      </c>
      <c r="J11" s="28">
        <f t="shared" si="0"/>
        <v>-0.13820996781769157</v>
      </c>
    </row>
    <row r="12" spans="1:10" x14ac:dyDescent="0.2">
      <c r="A12" s="26">
        <v>11</v>
      </c>
      <c r="B12" s="18">
        <v>12</v>
      </c>
      <c r="C12" s="18" t="s">
        <v>7</v>
      </c>
      <c r="D12" s="47" t="s">
        <v>62</v>
      </c>
      <c r="E12" s="12">
        <v>9847</v>
      </c>
      <c r="F12" s="12">
        <f>SUMIFS('Week 31 July 27 - Aug 2 2020'!F:F,'Week 31 July 27 - Aug 2 2020'!D:D,'Week 32 Aug 3 - Aug 9 2020'!D:D,'Week 31 July 27 - Aug 2 2020'!C:C,'Week 32 Aug 3 - Aug 9 2020'!C:C)+Table3611910135557121417525961636567697173757779828486889019[[#This Row],[Week Sales]]</f>
        <v>3690442</v>
      </c>
      <c r="G12" s="18" t="str">
        <f>(VLOOKUP(D:D,'Week 31 July 27 - Aug 2 2020'!D:G,4,FALSE))</f>
        <v>The Pokemon Company</v>
      </c>
      <c r="H12" s="67">
        <f>(VLOOKUP(D:D,'Week 31 July 27 - Aug 2 2020'!D:H,5,FALSE))</f>
        <v>43784</v>
      </c>
      <c r="I12" s="12">
        <f>_xlfn.IFNA(SUMIFS('Week 31 July 27 - Aug 2 2020'!E:E,'Week 31 July 27 - Aug 2 2020'!D:D,'Week 32 Aug 3 - Aug 9 2020'!D:D,'Week 31 July 27 - Aug 2 2020'!C:C,'Week 32 Aug 3 - Aug 9 2020'!C:C),"New")</f>
        <v>7946</v>
      </c>
      <c r="J12" s="28">
        <f t="shared" si="0"/>
        <v>0.23923986911653664</v>
      </c>
    </row>
    <row r="13" spans="1:10" x14ac:dyDescent="0.2">
      <c r="A13" s="26">
        <v>12</v>
      </c>
      <c r="B13" s="18">
        <v>14</v>
      </c>
      <c r="C13" s="18" t="s">
        <v>7</v>
      </c>
      <c r="D13" s="47" t="s">
        <v>52</v>
      </c>
      <c r="E13" s="12">
        <v>9809</v>
      </c>
      <c r="F13" s="12">
        <f>SUMIFS('Week 31 July 27 - Aug 2 2020'!F:F,'Week 31 July 27 - Aug 2 2020'!D:D,'Week 32 Aug 3 - Aug 9 2020'!D:D,'Week 31 July 27 - Aug 2 2020'!C:C,'Week 32 Aug 3 - Aug 9 2020'!C:C)+Table3611910135557121417525961636567697173757779828486889019[[#This Row],[Week Sales]]</f>
        <v>3783935</v>
      </c>
      <c r="G13" s="18" t="str">
        <f>(VLOOKUP(D:D,'Week 31 July 27 - Aug 2 2020'!D:G,4,FALSE))</f>
        <v>Nintendo</v>
      </c>
      <c r="H13" s="67">
        <f>(VLOOKUP(D:D,'Week 31 July 27 - Aug 2 2020'!D:H,5,FALSE))</f>
        <v>43441</v>
      </c>
      <c r="I13" s="12">
        <f>_xlfn.IFNA(SUMIFS('Week 31 July 27 - Aug 2 2020'!E:E,'Week 31 July 27 - Aug 2 2020'!D:D,'Week 32 Aug 3 - Aug 9 2020'!D:D,'Week 31 July 27 - Aug 2 2020'!C:C,'Week 32 Aug 3 - Aug 9 2020'!C:C),"New")</f>
        <v>7553</v>
      </c>
      <c r="J13" s="28">
        <f t="shared" si="0"/>
        <v>0.29868926254468425</v>
      </c>
    </row>
    <row r="14" spans="1:10" x14ac:dyDescent="0.2">
      <c r="A14" s="26">
        <v>13</v>
      </c>
      <c r="B14" s="18">
        <v>15</v>
      </c>
      <c r="C14" s="18" t="s">
        <v>7</v>
      </c>
      <c r="D14" s="47" t="s">
        <v>13</v>
      </c>
      <c r="E14" s="12">
        <v>8863</v>
      </c>
      <c r="F14" s="12">
        <f>SUMIFS('Week 31 July 27 - Aug 2 2020'!F:F,'Week 31 July 27 - Aug 2 2020'!D:D,'Week 32 Aug 3 - Aug 9 2020'!D:D,'Week 31 July 27 - Aug 2 2020'!C:C,'Week 32 Aug 3 - Aug 9 2020'!C:C)+Table3611910135557121417525961636567697173757779828486889019[[#This Row],[Week Sales]]</f>
        <v>1514840</v>
      </c>
      <c r="G14" s="18" t="str">
        <f>(VLOOKUP(D:D,'Week 31 July 27 - Aug 2 2020'!D:G,4,FALSE))</f>
        <v>Nintendo</v>
      </c>
      <c r="H14" s="67">
        <f>(VLOOKUP(D:D,'Week 31 July 27 - Aug 2 2020'!D:H,5,FALSE))</f>
        <v>43378</v>
      </c>
      <c r="I14" s="12">
        <f>_xlfn.IFNA(SUMIFS('Week 31 July 27 - Aug 2 2020'!E:E,'Week 31 July 27 - Aug 2 2020'!D:D,'Week 32 Aug 3 - Aug 9 2020'!D:D,'Week 31 July 27 - Aug 2 2020'!C:C,'Week 32 Aug 3 - Aug 9 2020'!C:C),"New")</f>
        <v>6257</v>
      </c>
      <c r="J14" s="28">
        <f t="shared" si="0"/>
        <v>0.41649352724948058</v>
      </c>
    </row>
    <row r="15" spans="1:10" x14ac:dyDescent="0.2">
      <c r="A15" s="26">
        <v>14</v>
      </c>
      <c r="B15" s="18">
        <v>13</v>
      </c>
      <c r="C15" s="18" t="s">
        <v>7</v>
      </c>
      <c r="D15" s="47" t="s">
        <v>10</v>
      </c>
      <c r="E15" s="12">
        <v>8358</v>
      </c>
      <c r="F15" s="12">
        <f>SUMIFS('Week 31 July 27 - Aug 2 2020'!F:F,'Week 31 July 27 - Aug 2 2020'!D:D,'Week 32 Aug 3 - Aug 9 2020'!D:D,'Week 31 July 27 - Aug 2 2020'!C:C,'Week 32 Aug 3 - Aug 9 2020'!C:C)+Table3611910135557121417525961636567697173757779828486889019[[#This Row],[Week Sales]]</f>
        <v>3519058</v>
      </c>
      <c r="G15" s="18" t="str">
        <f>(VLOOKUP(D:D,'Week 31 July 27 - Aug 2 2020'!D:G,4,FALSE))</f>
        <v>Nintendo</v>
      </c>
      <c r="H15" s="67">
        <f>(VLOOKUP(D:D,'Week 31 July 27 - Aug 2 2020'!D:H,5,FALSE))</f>
        <v>42937</v>
      </c>
      <c r="I15" s="12">
        <f>_xlfn.IFNA(SUMIFS('Week 31 July 27 - Aug 2 2020'!E:E,'Week 31 July 27 - Aug 2 2020'!D:D,'Week 32 Aug 3 - Aug 9 2020'!D:D,'Week 31 July 27 - Aug 2 2020'!C:C,'Week 32 Aug 3 - Aug 9 2020'!C:C),"New")</f>
        <v>7653</v>
      </c>
      <c r="J15" s="28">
        <f t="shared" si="0"/>
        <v>9.2120736965895733E-2</v>
      </c>
    </row>
    <row r="16" spans="1:10" x14ac:dyDescent="0.2">
      <c r="A16" s="26">
        <v>15</v>
      </c>
      <c r="B16" s="18">
        <v>16</v>
      </c>
      <c r="C16" s="18" t="s">
        <v>7</v>
      </c>
      <c r="D16" s="47" t="s">
        <v>12</v>
      </c>
      <c r="E16" s="12">
        <v>7459</v>
      </c>
      <c r="F16" s="12">
        <f>SUMIFS('Week 31 July 27 - Aug 2 2020'!F:F,'Week 31 July 27 - Aug 2 2020'!D:D,'Week 32 Aug 3 - Aug 9 2020'!D:D,'Week 31 July 27 - Aug 2 2020'!C:C,'Week 32 Aug 3 - Aug 9 2020'!C:C)+Table3611910135557121417525961636567697173757779828486889019[[#This Row],[Week Sales]]</f>
        <v>1465795</v>
      </c>
      <c r="G16" s="18" t="str">
        <f>(VLOOKUP(D:D,'Week 31 July 27 - Aug 2 2020'!D:G,4,FALSE))</f>
        <v>Microsoft</v>
      </c>
      <c r="H16" s="67">
        <f>(VLOOKUP(D:D,'Week 31 July 27 - Aug 2 2020'!D:H,5,FALSE))</f>
        <v>43272</v>
      </c>
      <c r="I16" s="12">
        <f>_xlfn.IFNA(SUMIFS('Week 31 July 27 - Aug 2 2020'!E:E,'Week 31 July 27 - Aug 2 2020'!D:D,'Week 32 Aug 3 - Aug 9 2020'!D:D,'Week 31 July 27 - Aug 2 2020'!C:C,'Week 32 Aug 3 - Aug 9 2020'!C:C),"New")</f>
        <v>5969</v>
      </c>
      <c r="J16" s="28">
        <f t="shared" si="0"/>
        <v>0.24962305243759425</v>
      </c>
    </row>
    <row r="17" spans="1:10" x14ac:dyDescent="0.2">
      <c r="A17" s="26">
        <v>16</v>
      </c>
      <c r="B17" s="18">
        <v>21</v>
      </c>
      <c r="C17" s="18" t="s">
        <v>7</v>
      </c>
      <c r="D17" s="47" t="s">
        <v>17</v>
      </c>
      <c r="E17" s="12">
        <v>4558</v>
      </c>
      <c r="F17" s="12">
        <f>SUMIFS('Week 31 July 27 - Aug 2 2020'!F:F,'Week 31 July 27 - Aug 2 2020'!D:D,'Week 32 Aug 3 - Aug 9 2020'!D:D,'Week 31 July 27 - Aug 2 2020'!C:C,'Week 32 Aug 3 - Aug 9 2020'!C:C)+Table3611910135557121417525961636567697173757779828486889019[[#This Row],[Week Sales]]</f>
        <v>877102</v>
      </c>
      <c r="G17" s="18" t="str">
        <f>(VLOOKUP(D:D,'Week 31 July 27 - Aug 2 2020'!D:G,4,FALSE))</f>
        <v>Nintendo</v>
      </c>
      <c r="H17" s="67">
        <f>(VLOOKUP(D:D,'Week 31 July 27 - Aug 2 2020'!D:H,5,FALSE))</f>
        <v>43476</v>
      </c>
      <c r="I17" s="12">
        <f>_xlfn.IFNA(SUMIFS('Week 31 July 27 - Aug 2 2020'!E:E,'Week 31 July 27 - Aug 2 2020'!D:D,'Week 32 Aug 3 - Aug 9 2020'!D:D,'Week 31 July 27 - Aug 2 2020'!C:C,'Week 32 Aug 3 - Aug 9 2020'!C:C),"New")</f>
        <v>3225</v>
      </c>
      <c r="J17" s="28">
        <f t="shared" si="0"/>
        <v>0.41333333333333333</v>
      </c>
    </row>
    <row r="18" spans="1:10" x14ac:dyDescent="0.2">
      <c r="A18" s="26">
        <v>17</v>
      </c>
      <c r="B18" s="18">
        <v>19</v>
      </c>
      <c r="C18" s="18" t="s">
        <v>7</v>
      </c>
      <c r="D18" s="86" t="s">
        <v>20</v>
      </c>
      <c r="E18" s="12">
        <v>4552</v>
      </c>
      <c r="F18" s="12">
        <f>SUMIFS('Week 31 July 27 - Aug 2 2020'!F:F,'Week 31 July 27 - Aug 2 2020'!D:D,'Week 32 Aug 3 - Aug 9 2020'!D:D,'Week 31 July 27 - Aug 2 2020'!C:C,'Week 32 Aug 3 - Aug 9 2020'!C:C)+Table3611910135557121417525961636567697173757779828486889019[[#This Row],[Week Sales]]</f>
        <v>469960</v>
      </c>
      <c r="G18" s="18" t="str">
        <f>(VLOOKUP(D:D,'Week 31 July 27 - Aug 2 2020'!D:G,4,FALSE))</f>
        <v>Bandai Namco</v>
      </c>
      <c r="H18" s="67">
        <f>(VLOOKUP(D:D,'Week 31 July 27 - Aug 2 2020'!D:H,5,FALSE))</f>
        <v>43671</v>
      </c>
      <c r="I18" s="12">
        <f>_xlfn.IFNA(SUMIFS('Week 31 July 27 - Aug 2 2020'!E:E,'Week 31 July 27 - Aug 2 2020'!D:D,'Week 32 Aug 3 - Aug 9 2020'!D:D,'Week 31 July 27 - Aug 2 2020'!C:C,'Week 32 Aug 3 - Aug 9 2020'!C:C),"New")</f>
        <v>3556</v>
      </c>
      <c r="J18" s="28">
        <f t="shared" si="0"/>
        <v>0.28008998875140606</v>
      </c>
    </row>
    <row r="19" spans="1:10" x14ac:dyDescent="0.2">
      <c r="A19" s="26">
        <v>18</v>
      </c>
      <c r="B19" s="18">
        <v>20</v>
      </c>
      <c r="C19" s="18" t="s">
        <v>7</v>
      </c>
      <c r="D19" s="47" t="s">
        <v>16</v>
      </c>
      <c r="E19" s="12">
        <v>4476</v>
      </c>
      <c r="F19" s="12">
        <f>SUMIFS('Week 31 July 27 - Aug 2 2020'!F:F,'Week 31 July 27 - Aug 2 2020'!D:D,'Week 32 Aug 3 - Aug 9 2020'!D:D,'Week 31 July 27 - Aug 2 2020'!C:C,'Week 32 Aug 3 - Aug 9 2020'!C:C)+Table3611910135557121417525961636567697173757779828486889019[[#This Row],[Week Sales]]</f>
        <v>274220</v>
      </c>
      <c r="G19" s="18" t="str">
        <f>(VLOOKUP(D:D,'Week 31 July 27 - Aug 2 2020'!D:G,4,FALSE))</f>
        <v>Nintendo</v>
      </c>
      <c r="H19" s="67">
        <f>(VLOOKUP(D:D,'Week 31 July 27 - Aug 2 2020'!D:H,5,FALSE))</f>
        <v>43826</v>
      </c>
      <c r="I19" s="12">
        <f>_xlfn.IFNA(SUMIFS('Week 31 July 27 - Aug 2 2020'!E:E,'Week 31 July 27 - Aug 2 2020'!D:D,'Week 32 Aug 3 - Aug 9 2020'!D:D,'Week 31 July 27 - Aug 2 2020'!C:C,'Week 32 Aug 3 - Aug 9 2020'!C:C),"New")</f>
        <v>3289</v>
      </c>
      <c r="J19" s="28">
        <f t="shared" si="0"/>
        <v>0.36089996959562176</v>
      </c>
    </row>
    <row r="20" spans="1:10" x14ac:dyDescent="0.2">
      <c r="A20" s="26">
        <v>19</v>
      </c>
      <c r="B20" s="18">
        <v>18</v>
      </c>
      <c r="C20" s="18" t="s">
        <v>7</v>
      </c>
      <c r="D20" s="47" t="s">
        <v>39</v>
      </c>
      <c r="E20" s="12">
        <v>4233</v>
      </c>
      <c r="F20" s="12">
        <f>SUMIFS('Week 31 July 27 - Aug 2 2020'!F:F,'Week 31 July 27 - Aug 2 2020'!D:D,'Week 32 Aug 3 - Aug 9 2020'!D:D,'Week 31 July 27 - Aug 2 2020'!C:C,'Week 32 Aug 3 - Aug 9 2020'!C:C)+Table3611910135557121417525961636567697173757779828486889019[[#This Row],[Week Sales]]</f>
        <v>1624786</v>
      </c>
      <c r="G20" s="18" t="str">
        <f>(VLOOKUP(D:D,'Week 31 July 27 - Aug 2 2020'!D:G,4,FALSE))</f>
        <v>Nintendo</v>
      </c>
      <c r="H20" s="67">
        <f>(VLOOKUP(D:D,'Week 31 July 27 - Aug 2 2020'!D:H,5,FALSE))</f>
        <v>42797</v>
      </c>
      <c r="I20" s="12">
        <f>_xlfn.IFNA(SUMIFS('Week 31 July 27 - Aug 2 2020'!E:E,'Week 31 July 27 - Aug 2 2020'!D:D,'Week 32 Aug 3 - Aug 9 2020'!D:D,'Week 31 July 27 - Aug 2 2020'!C:C,'Week 32 Aug 3 - Aug 9 2020'!C:C),"New")</f>
        <v>3694</v>
      </c>
      <c r="J20" s="28">
        <f t="shared" si="0"/>
        <v>0.14591229020032484</v>
      </c>
    </row>
    <row r="21" spans="1:10" x14ac:dyDescent="0.2">
      <c r="A21" s="26">
        <v>20</v>
      </c>
      <c r="B21" s="18">
        <v>23</v>
      </c>
      <c r="C21" s="18" t="s">
        <v>7</v>
      </c>
      <c r="D21" s="47" t="s">
        <v>19</v>
      </c>
      <c r="E21" s="12">
        <v>3460</v>
      </c>
      <c r="F21" s="12">
        <f>SUMIFS('Week 31 July 27 - Aug 2 2020'!F:F,'Week 31 July 27 - Aug 2 2020'!D:D,'Week 32 Aug 3 - Aug 9 2020'!D:D,'Week 31 July 27 - Aug 2 2020'!C:C,'Week 32 Aug 3 - Aug 9 2020'!C:C)+Table3611910135557121417525961636567697173757779828486889019[[#This Row],[Week Sales]]</f>
        <v>948309</v>
      </c>
      <c r="G21" s="18" t="str">
        <f>(VLOOKUP(D:D,'Week 31 July 27 - Aug 2 2020'!D:G,4,FALSE))</f>
        <v>Nintendo</v>
      </c>
      <c r="H21" s="67">
        <f>(VLOOKUP(D:D,'Week 31 July 27 - Aug 2 2020'!D:H,5,FALSE))</f>
        <v>43644</v>
      </c>
      <c r="I21" s="12">
        <f>_xlfn.IFNA(SUMIFS('Week 31 July 27 - Aug 2 2020'!E:E,'Week 31 July 27 - Aug 2 2020'!D:D,'Week 32 Aug 3 - Aug 9 2020'!D:D,'Week 31 July 27 - Aug 2 2020'!C:C,'Week 32 Aug 3 - Aug 9 2020'!C:C),"New")</f>
        <v>2626</v>
      </c>
      <c r="J21" s="28">
        <f t="shared" si="0"/>
        <v>0.31759329779131762</v>
      </c>
    </row>
    <row r="22" spans="1:10" x14ac:dyDescent="0.2">
      <c r="A22" s="26">
        <v>21</v>
      </c>
      <c r="B22" s="18">
        <v>22</v>
      </c>
      <c r="C22" s="18" t="s">
        <v>7</v>
      </c>
      <c r="D22" s="47" t="s">
        <v>283</v>
      </c>
      <c r="E22" s="12">
        <v>3298</v>
      </c>
      <c r="F22" s="12">
        <f>SUMIFS('Week 31 July 27 - Aug 2 2020'!F:F,'Week 31 July 27 - Aug 2 2020'!D:D,'Week 32 Aug 3 - Aug 9 2020'!D:D,'Week 31 July 27 - Aug 2 2020'!C:C,'Week 32 Aug 3 - Aug 9 2020'!C:C)+Table3611910135557121417525961636567697173757779828486889019[[#This Row],[Week Sales]]</f>
        <v>18178</v>
      </c>
      <c r="G22" s="18" t="str">
        <f>(VLOOKUP(D:D,'Week 31 July 27 - Aug 2 2020'!D:G,4,FALSE))</f>
        <v>GungHo Online Entertainment</v>
      </c>
      <c r="H22" s="67">
        <f>(VLOOKUP(D:D,'Week 31 July 27 - Aug 2 2020'!D:H,5,FALSE))</f>
        <v>44034</v>
      </c>
      <c r="I22" s="12">
        <f>_xlfn.IFNA(SUMIFS('Week 31 July 27 - Aug 2 2020'!E:E,'Week 31 July 27 - Aug 2 2020'!D:D,'Week 32 Aug 3 - Aug 9 2020'!D:D,'Week 31 July 27 - Aug 2 2020'!C:C,'Week 32 Aug 3 - Aug 9 2020'!C:C),"New")</f>
        <v>3187</v>
      </c>
      <c r="J22" s="28">
        <f t="shared" si="0"/>
        <v>3.4828992783181675E-2</v>
      </c>
    </row>
    <row r="23" spans="1:10" x14ac:dyDescent="0.2">
      <c r="A23" s="26">
        <v>22</v>
      </c>
      <c r="B23" s="18">
        <v>26</v>
      </c>
      <c r="C23" s="18" t="s">
        <v>7</v>
      </c>
      <c r="D23" s="47" t="s">
        <v>25</v>
      </c>
      <c r="E23" s="12">
        <v>3053</v>
      </c>
      <c r="F23" s="12">
        <f>SUMIFS('Week 31 July 27 - Aug 2 2020'!F:F,'Week 31 July 27 - Aug 2 2020'!D:D,'Week 32 Aug 3 - Aug 9 2020'!D:D,'Week 31 July 27 - Aug 2 2020'!C:C,'Week 32 Aug 3 - Aug 9 2020'!C:C)+Table3611910135557121417525961636567697173757779828486889019[[#This Row],[Week Sales]]</f>
        <v>498293</v>
      </c>
      <c r="G23" s="18" t="str">
        <f>(VLOOKUP(D:D,'Week 31 July 27 - Aug 2 2020'!D:G,4,FALSE))</f>
        <v>Bandai Namco</v>
      </c>
      <c r="H23" s="67">
        <f>(VLOOKUP(D:D,'Week 31 July 27 - Aug 2 2020'!D:H,5,FALSE))</f>
        <v>43300</v>
      </c>
      <c r="I23" s="12">
        <f>_xlfn.IFNA(SUMIFS('Week 31 July 27 - Aug 2 2020'!E:E,'Week 31 July 27 - Aug 2 2020'!D:D,'Week 32 Aug 3 - Aug 9 2020'!D:D,'Week 31 July 27 - Aug 2 2020'!C:C,'Week 32 Aug 3 - Aug 9 2020'!C:C),"New")</f>
        <v>2018</v>
      </c>
      <c r="J23" s="28">
        <f t="shared" si="0"/>
        <v>0.51288404360753226</v>
      </c>
    </row>
    <row r="24" spans="1:10" x14ac:dyDescent="0.2">
      <c r="A24" s="26">
        <v>23</v>
      </c>
      <c r="B24" s="18">
        <v>7</v>
      </c>
      <c r="C24" s="18" t="s">
        <v>7</v>
      </c>
      <c r="D24" s="47" t="s">
        <v>287</v>
      </c>
      <c r="E24" s="12">
        <v>2895</v>
      </c>
      <c r="F24" s="12">
        <f>SUMIFS('Week 31 July 27 - Aug 2 2020'!F:F,'Week 31 July 27 - Aug 2 2020'!D:D,'Week 32 Aug 3 - Aug 9 2020'!D:D,'Week 31 July 27 - Aug 2 2020'!C:C,'Week 32 Aug 3 - Aug 9 2020'!C:C)+Table3611910135557121417525961636567697173757779828486889019[[#This Row],[Week Sales]]</f>
        <v>18342</v>
      </c>
      <c r="G24" s="18" t="str">
        <f>(VLOOKUP(D:D,'Week 31 July 27 - Aug 2 2020'!D:G,4,FALSE))</f>
        <v>Koei Tecmo</v>
      </c>
      <c r="H24" s="67">
        <f>(VLOOKUP(D:D,'Week 31 July 27 - Aug 2 2020'!D:H,5,FALSE))</f>
        <v>44042</v>
      </c>
      <c r="I24" s="12">
        <f>_xlfn.IFNA(SUMIFS('Week 31 July 27 - Aug 2 2020'!E:E,'Week 31 July 27 - Aug 2 2020'!D:D,'Week 32 Aug 3 - Aug 9 2020'!D:D,'Week 31 July 27 - Aug 2 2020'!C:C,'Week 32 Aug 3 - Aug 9 2020'!C:C),"New")</f>
        <v>15447</v>
      </c>
      <c r="J24" s="28">
        <f t="shared" si="0"/>
        <v>-0.81258496795494273</v>
      </c>
    </row>
    <row r="25" spans="1:10" x14ac:dyDescent="0.2">
      <c r="A25" s="26">
        <v>24</v>
      </c>
      <c r="B25" s="18">
        <v>25</v>
      </c>
      <c r="C25" s="18" t="s">
        <v>7</v>
      </c>
      <c r="D25" s="47" t="s">
        <v>79</v>
      </c>
      <c r="E25" s="12">
        <v>2599</v>
      </c>
      <c r="F25" s="12">
        <f>SUMIFS('Week 31 July 27 - Aug 2 2020'!F:F,'Week 31 July 27 - Aug 2 2020'!D:D,'Week 32 Aug 3 - Aug 9 2020'!D:D,'Week 31 July 27 - Aug 2 2020'!C:C,'Week 32 Aug 3 - Aug 9 2020'!C:C)+Table3611910135557121417525961636567697173757779828486889019[[#This Row],[Week Sales]]</f>
        <v>672407</v>
      </c>
      <c r="G25" s="18" t="str">
        <f>(VLOOKUP(D:D,'Week 31 July 27 - Aug 2 2020'!D:G,4,FALSE))</f>
        <v>Nintendo</v>
      </c>
      <c r="H25" s="67">
        <f>(VLOOKUP(D:D,'Week 31 July 27 - Aug 2 2020'!D:H,5,FALSE))</f>
        <v>43769</v>
      </c>
      <c r="I25" s="12">
        <f>_xlfn.IFNA(SUMIFS('Week 31 July 27 - Aug 2 2020'!E:E,'Week 31 July 27 - Aug 2 2020'!D:D,'Week 32 Aug 3 - Aug 9 2020'!D:D,'Week 31 July 27 - Aug 2 2020'!C:C,'Week 32 Aug 3 - Aug 9 2020'!C:C),"New")</f>
        <v>2132</v>
      </c>
      <c r="J25" s="28">
        <f t="shared" si="0"/>
        <v>0.21904315196998123</v>
      </c>
    </row>
    <row r="26" spans="1:10" x14ac:dyDescent="0.2">
      <c r="A26" s="30">
        <v>25</v>
      </c>
      <c r="B26" s="31" t="s">
        <v>53</v>
      </c>
      <c r="C26" s="31" t="s">
        <v>7</v>
      </c>
      <c r="D26" s="91" t="s">
        <v>56</v>
      </c>
      <c r="E26" s="33">
        <v>2232</v>
      </c>
      <c r="F26" s="33">
        <v>17324</v>
      </c>
      <c r="G26" s="31" t="str">
        <f>(VLOOKUP(D:D,'Week 30 July 20 - July 26 2020'!D:G,4,FALSE))</f>
        <v>Teyon Japan</v>
      </c>
      <c r="H26" s="93">
        <f>(VLOOKUP(D:D,'Week 30 July 20 - July 26 2020'!D:H,5,FALSE))</f>
        <v>44007</v>
      </c>
      <c r="I26" s="33">
        <v>1547</v>
      </c>
      <c r="J26" s="97">
        <f t="shared" si="0"/>
        <v>0.44279250161603101</v>
      </c>
    </row>
    <row r="27" spans="1:10" x14ac:dyDescent="0.2">
      <c r="A27" s="26">
        <v>26</v>
      </c>
      <c r="B27" s="18">
        <v>9</v>
      </c>
      <c r="C27" s="18" t="s">
        <v>8</v>
      </c>
      <c r="D27" s="47" t="s">
        <v>287</v>
      </c>
      <c r="E27" s="12">
        <v>2108</v>
      </c>
      <c r="F27" s="12">
        <f>SUMIFS('Week 31 July 27 - Aug 2 2020'!F:F,'Week 31 July 27 - Aug 2 2020'!D:D,'Week 32 Aug 3 - Aug 9 2020'!D:D,'Week 31 July 27 - Aug 2 2020'!C:C,'Week 32 Aug 3 - Aug 9 2020'!C:C)+Table3611910135557121417525961636567697173757779828486889019[[#This Row],[Week Sales]]</f>
        <v>15344</v>
      </c>
      <c r="G27" s="18" t="str">
        <f>(VLOOKUP(D:D,'Week 31 July 27 - Aug 2 2020'!D:G,4,FALSE))</f>
        <v>Koei Tecmo</v>
      </c>
      <c r="H27" s="67">
        <f>(VLOOKUP(D:D,'Week 31 July 27 - Aug 2 2020'!D:H,5,FALSE))</f>
        <v>44042</v>
      </c>
      <c r="I27" s="12">
        <f>_xlfn.IFNA(SUMIFS('Week 31 July 27 - Aug 2 2020'!E:E,'Week 31 July 27 - Aug 2 2020'!D:D,'Week 32 Aug 3 - Aug 9 2020'!D:D,'Week 31 July 27 - Aug 2 2020'!C:C,'Week 32 Aug 3 - Aug 9 2020'!C:C),"New")</f>
        <v>13236</v>
      </c>
      <c r="J27" s="28">
        <f t="shared" si="0"/>
        <v>-0.84073738289513444</v>
      </c>
    </row>
    <row r="28" spans="1:10" x14ac:dyDescent="0.2">
      <c r="A28" s="30">
        <v>27</v>
      </c>
      <c r="B28" s="31" t="s">
        <v>53</v>
      </c>
      <c r="C28" s="31" t="s">
        <v>7</v>
      </c>
      <c r="D28" s="62" t="s">
        <v>80</v>
      </c>
      <c r="E28" s="33">
        <v>2092</v>
      </c>
      <c r="F28" s="33">
        <v>329935</v>
      </c>
      <c r="G28" s="31" t="str">
        <f>(VLOOKUP(D:D,'Week 30 July 20 - July 26 2020'!D:G,4,FALSE))</f>
        <v>Sega</v>
      </c>
      <c r="H28" s="93">
        <f>(VLOOKUP(D:D,'Week 30 July 20 - July 26 2020'!D:H,5,FALSE))</f>
        <v>43770</v>
      </c>
      <c r="I28" s="33">
        <v>1377</v>
      </c>
      <c r="J28" s="97">
        <f t="shared" si="0"/>
        <v>0.51924473493100942</v>
      </c>
    </row>
    <row r="29" spans="1:10" x14ac:dyDescent="0.2">
      <c r="A29" s="26">
        <v>28</v>
      </c>
      <c r="B29" s="18">
        <v>28</v>
      </c>
      <c r="C29" s="18" t="s">
        <v>7</v>
      </c>
      <c r="D29" s="86" t="s">
        <v>83</v>
      </c>
      <c r="E29" s="12">
        <v>1943</v>
      </c>
      <c r="F29" s="12">
        <f>SUMIFS('Week 31 July 27 - Aug 2 2020'!F:F,'Week 31 July 27 - Aug 2 2020'!D:D,'Week 32 Aug 3 - Aug 9 2020'!D:D,'Week 31 July 27 - Aug 2 2020'!C:C,'Week 32 Aug 3 - Aug 9 2020'!C:C)+Table3611910135557121417525961636567697173757779828486889019[[#This Row],[Week Sales]]</f>
        <v>542195</v>
      </c>
      <c r="G29" s="18" t="str">
        <f>(VLOOKUP(D:D,'Week 31 July 27 - Aug 2 2020'!D:G,4,FALSE))</f>
        <v>Square Enix</v>
      </c>
      <c r="H29" s="67">
        <f>(VLOOKUP(D:D,'Week 31 July 27 - Aug 2 2020'!D:H,5,FALSE))</f>
        <v>43735</v>
      </c>
      <c r="I29" s="12">
        <f>_xlfn.IFNA(SUMIFS('Week 31 July 27 - Aug 2 2020'!E:E,'Week 31 July 27 - Aug 2 2020'!D:D,'Week 32 Aug 3 - Aug 9 2020'!D:D,'Week 31 July 27 - Aug 2 2020'!C:C,'Week 32 Aug 3 - Aug 9 2020'!C:C),"New")</f>
        <v>2013</v>
      </c>
      <c r="J29" s="28">
        <f t="shared" si="0"/>
        <v>-3.4773969200198707E-2</v>
      </c>
    </row>
    <row r="30" spans="1:10" x14ac:dyDescent="0.2">
      <c r="A30" s="30">
        <v>29</v>
      </c>
      <c r="B30" s="31" t="s">
        <v>53</v>
      </c>
      <c r="C30" s="31" t="s">
        <v>7</v>
      </c>
      <c r="D30" s="91" t="s">
        <v>26</v>
      </c>
      <c r="E30" s="33">
        <v>1721</v>
      </c>
      <c r="F30" s="33">
        <v>2116150</v>
      </c>
      <c r="G30" s="31" t="str">
        <f>(VLOOKUP(D:D,'Week 30 July 20 - July 26 2020'!D:G,4,FALSE))</f>
        <v>Nintendo</v>
      </c>
      <c r="H30" s="93">
        <f>(VLOOKUP(D:D,'Week 30 July 20 - July 26 2020'!D:H,5,FALSE))</f>
        <v>43035</v>
      </c>
      <c r="I30" s="33">
        <v>1435</v>
      </c>
      <c r="J30" s="97">
        <f>IFERROR((E30-I30)/I30,"New")</f>
        <v>0.19930313588850174</v>
      </c>
    </row>
    <row r="31" spans="1:10" x14ac:dyDescent="0.2">
      <c r="A31" s="30">
        <v>30</v>
      </c>
      <c r="B31" s="31" t="s">
        <v>53</v>
      </c>
      <c r="C31" s="31" t="s">
        <v>7</v>
      </c>
      <c r="D31" s="52" t="s">
        <v>279</v>
      </c>
      <c r="E31" s="33">
        <v>1651</v>
      </c>
      <c r="F31" s="33">
        <v>16048</v>
      </c>
      <c r="G31" s="31" t="str">
        <f>(VLOOKUP(D:D,'Week 30 July 20 - July 26 2020'!D:G,4,FALSE))</f>
        <v>Ponos</v>
      </c>
      <c r="H31" s="93">
        <f>(VLOOKUP(D:D,'Week 30 July 20 - July 26 2020'!D:H,5,FALSE))</f>
        <v>44028</v>
      </c>
      <c r="I31" s="33">
        <v>1537</v>
      </c>
      <c r="J31" s="97">
        <f>IFERROR((E31-I31)/I31,"New")</f>
        <v>7.41704619388419E-2</v>
      </c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407681</v>
      </c>
      <c r="F33" s="2"/>
      <c r="I33" s="2"/>
      <c r="J33" s="19"/>
    </row>
    <row r="34" spans="1:10" x14ac:dyDescent="0.2">
      <c r="A34" s="3"/>
      <c r="B34" s="3"/>
      <c r="D34" s="100" t="s">
        <v>178</v>
      </c>
      <c r="E34" s="101">
        <f>SUM('Week 31 July 27 - Aug 2 2020'!E34,'Week 32 Aug 3 - Aug 9 2020'!E33)</f>
        <v>15470220</v>
      </c>
      <c r="F34" s="2"/>
      <c r="I34" s="2"/>
      <c r="J34" s="19"/>
    </row>
    <row r="35" spans="1:10" x14ac:dyDescent="0.2">
      <c r="A35" s="3"/>
      <c r="B35" s="3"/>
      <c r="D35" s="2" t="s">
        <v>60</v>
      </c>
      <c r="E35" s="2">
        <f>AVERAGE(E2:E31)</f>
        <v>13589.366666666667</v>
      </c>
      <c r="F35" s="2"/>
      <c r="I35" s="2"/>
      <c r="J35" s="19"/>
    </row>
    <row r="36" spans="1:10" x14ac:dyDescent="0.2">
      <c r="A36" s="3"/>
      <c r="B36" s="3"/>
      <c r="D36" s="9" t="s">
        <v>78</v>
      </c>
      <c r="E36" s="10">
        <f>COUNTIF(B:B,"New")</f>
        <v>1</v>
      </c>
      <c r="F36" s="2"/>
      <c r="I36" s="2"/>
      <c r="J36" s="19"/>
    </row>
    <row r="37" spans="1:10" x14ac:dyDescent="0.2">
      <c r="A37" s="3"/>
      <c r="B37" s="3"/>
      <c r="E37" s="2"/>
      <c r="F37" s="2"/>
      <c r="I37" s="2"/>
      <c r="J37" s="19"/>
    </row>
    <row r="38" spans="1:10" x14ac:dyDescent="0.2">
      <c r="A38" s="3"/>
      <c r="B38" s="3"/>
      <c r="D38" t="s">
        <v>66</v>
      </c>
      <c r="E38" s="2"/>
      <c r="F38" s="2"/>
      <c r="I38" s="2"/>
      <c r="J38" s="19"/>
    </row>
    <row r="39" spans="1:10" x14ac:dyDescent="0.2">
      <c r="A39" s="3"/>
      <c r="B39" s="3"/>
      <c r="D39" s="8" t="s">
        <v>67</v>
      </c>
      <c r="E39" s="2"/>
      <c r="F39" s="2"/>
      <c r="I39" s="2"/>
      <c r="J39" s="19"/>
    </row>
    <row r="40" spans="1:10" x14ac:dyDescent="0.2">
      <c r="D40" s="8" t="s">
        <v>65</v>
      </c>
    </row>
    <row r="41" spans="1:10" x14ac:dyDescent="0.2">
      <c r="D41" s="8" t="s">
        <v>71</v>
      </c>
    </row>
  </sheetData>
  <hyperlinks>
    <hyperlink ref="D41" r:id="rId1" xr:uid="{EECDA0AF-E0B3-EA4F-A632-D5B1E752036F}"/>
    <hyperlink ref="D40" r:id="rId2" xr:uid="{71C8DB51-0724-FE4B-82A8-1CE7F8BD6364}"/>
    <hyperlink ref="D39" r:id="rId3" xr:uid="{AFC0B53C-078E-1F4C-A77A-E8A5F1D823F5}"/>
  </hyperlinks>
  <pageMargins left="0.7" right="0.7" top="0.75" bottom="0.75" header="0.3" footer="0.3"/>
  <pageSetup paperSize="9" orientation="portrait" horizontalDpi="0" verticalDpi="0"/>
  <ignoredErrors>
    <ignoredError sqref="F26:H31 G10:I10 I26:I31" calculatedColumn="1"/>
  </ignoredErrors>
  <tableParts count="1">
    <tablePart r:id="rId4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6B6D7-97BE-D645-95CC-D462332AD9F2}">
  <dimension ref="A1:J41"/>
  <sheetViews>
    <sheetView workbookViewId="0">
      <selection activeCell="D11" sqref="D2:E11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1.5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0" x14ac:dyDescent="0.2">
      <c r="A2" s="25">
        <v>1</v>
      </c>
      <c r="B2" s="18">
        <v>1</v>
      </c>
      <c r="C2" s="18" t="s">
        <v>7</v>
      </c>
      <c r="D2" s="86" t="s">
        <v>46</v>
      </c>
      <c r="E2" s="12">
        <v>105983</v>
      </c>
      <c r="F2" s="12">
        <f>SUMIFS('Week 32 Aug 3 - Aug 9 2020'!F:F,'Week 32 Aug 3 - Aug 9 2020'!D:D,'Week 33 Aug 10 - Aug 16 2020'!D:D,'Week 32 Aug 3 - Aug 9 2020'!C:C,'Week 33 Aug 10 - Aug 16 2020'!C:C)+Table361191013555712141752596163656769717375777982848688901921[[#This Row],[Week Sales]]</f>
        <v>5551198</v>
      </c>
      <c r="G2" s="18" t="str">
        <f>(VLOOKUP(D:D,'Week 32 Aug 3 - Aug 9 2020'!D:G,4,FALSE))</f>
        <v>Nintendo</v>
      </c>
      <c r="H2" s="67">
        <f>(VLOOKUP(D:D,'Week 32 Aug 3 - Aug 9 2020'!D:H,5,FALSE))</f>
        <v>43910</v>
      </c>
      <c r="I2" s="12">
        <f>_xlfn.IFNA(SUMIFS('Week 32 Aug 3 - Aug 9 2020'!E:E,'Week 32 Aug 3 - Aug 9 2020'!D:D,'Week 33 Aug 10 - Aug 16 2020'!D:D,'Week 32 Aug 3 - Aug 9 2020'!C:C,'Week 33 Aug 10 - Aug 16 2020'!C:C),"New")</f>
        <v>108087</v>
      </c>
      <c r="J2" s="28">
        <f>IFERROR((E2-I2)/I2,"New")</f>
        <v>-1.9465800697586202E-2</v>
      </c>
    </row>
    <row r="3" spans="1:10" x14ac:dyDescent="0.2">
      <c r="A3" s="25">
        <v>2</v>
      </c>
      <c r="B3" s="18">
        <v>2</v>
      </c>
      <c r="C3" s="18" t="s">
        <v>7</v>
      </c>
      <c r="D3" s="47" t="s">
        <v>45</v>
      </c>
      <c r="E3" s="12">
        <v>26320</v>
      </c>
      <c r="F3" s="12">
        <f>SUMIFS('Week 32 Aug 3 - Aug 9 2020'!F:F,'Week 32 Aug 3 - Aug 9 2020'!D:D,'Week 33 Aug 10 - Aug 16 2020'!D:D,'Week 32 Aug 3 - Aug 9 2020'!C:C,'Week 33 Aug 10 - Aug 16 2020'!C:C)+Table361191013555712141752596163656769717375777982848688901921[[#This Row],[Week Sales]]</f>
        <v>1335744</v>
      </c>
      <c r="G3" s="18" t="str">
        <f>(VLOOKUP(D:D,'Week 32 Aug 3 - Aug 9 2020'!D:G,4,FALSE))</f>
        <v>Nintendo</v>
      </c>
      <c r="H3" s="67">
        <f>(VLOOKUP(D:D,'Week 32 Aug 3 - Aug 9 2020'!D:H,5,FALSE))</f>
        <v>43756</v>
      </c>
      <c r="I3" s="12">
        <f>_xlfn.IFNA(SUMIFS('Week 32 Aug 3 - Aug 9 2020'!E:E,'Week 32 Aug 3 - Aug 9 2020'!D:D,'Week 33 Aug 10 - Aug 16 2020'!D:D,'Week 32 Aug 3 - Aug 9 2020'!C:C,'Week 33 Aug 10 - Aug 16 2020'!C:C),"New")</f>
        <v>66828</v>
      </c>
      <c r="J3" s="28">
        <f t="shared" ref="J3:J29" si="0">IFERROR((E3-I3)/I3,"New")</f>
        <v>-0.60615310947507028</v>
      </c>
    </row>
    <row r="4" spans="1:10" x14ac:dyDescent="0.2">
      <c r="A4" s="25">
        <v>3</v>
      </c>
      <c r="B4" s="18">
        <v>4</v>
      </c>
      <c r="C4" s="18" t="s">
        <v>7</v>
      </c>
      <c r="D4" s="47" t="s">
        <v>50</v>
      </c>
      <c r="E4" s="12">
        <v>25245</v>
      </c>
      <c r="F4" s="12">
        <f>SUMIFS('Week 32 Aug 3 - Aug 9 2020'!F:F,'Week 32 Aug 3 - Aug 9 2020'!D:D,'Week 33 Aug 10 - Aug 16 2020'!D:D,'Week 32 Aug 3 - Aug 9 2020'!C:C,'Week 33 Aug 10 - Aug 16 2020'!C:C)+Table361191013555712141752596163656769717375777982848688901921[[#This Row],[Week Sales]]</f>
        <v>322200</v>
      </c>
      <c r="G4" s="18" t="str">
        <f>(VLOOKUP(D:D,'Week 32 Aug 3 - Aug 9 2020'!D:G,4,FALSE))</f>
        <v>Nintendo</v>
      </c>
      <c r="H4" s="67">
        <f>(VLOOKUP(D:D,'Week 32 Aug 3 - Aug 9 2020'!D:H,5,FALSE))</f>
        <v>43987</v>
      </c>
      <c r="I4" s="12">
        <f>_xlfn.IFNA(SUMIFS('Week 32 Aug 3 - Aug 9 2020'!E:E,'Week 32 Aug 3 - Aug 9 2020'!D:D,'Week 33 Aug 10 - Aug 16 2020'!D:D,'Week 32 Aug 3 - Aug 9 2020'!C:C,'Week 33 Aug 10 - Aug 16 2020'!C:C),"New")</f>
        <v>19609</v>
      </c>
      <c r="J4" s="28">
        <f t="shared" si="0"/>
        <v>0.28741904227650567</v>
      </c>
    </row>
    <row r="5" spans="1:10" x14ac:dyDescent="0.2">
      <c r="A5" s="25">
        <v>4</v>
      </c>
      <c r="B5" s="18">
        <v>7</v>
      </c>
      <c r="C5" s="18" t="s">
        <v>7</v>
      </c>
      <c r="D5" s="47" t="s">
        <v>49</v>
      </c>
      <c r="E5" s="12">
        <v>25032</v>
      </c>
      <c r="F5" s="12">
        <f>SUMIFS('Week 32 Aug 3 - Aug 9 2020'!F:F,'Week 32 Aug 3 - Aug 9 2020'!D:D,'Week 33 Aug 10 - Aug 16 2020'!D:D,'Week 32 Aug 3 - Aug 9 2020'!C:C,'Week 33 Aug 10 - Aug 16 2020'!C:C)+Table361191013555712141752596163656769717375777982848688901921[[#This Row],[Week Sales]]</f>
        <v>3105860</v>
      </c>
      <c r="G5" s="18" t="str">
        <f>(VLOOKUP(D:D,'Week 32 Aug 3 - Aug 9 2020'!D:G,4,FALSE))</f>
        <v>Nintendo</v>
      </c>
      <c r="H5" s="67">
        <f>(VLOOKUP(D:D,'Week 32 Aug 3 - Aug 9 2020'!D:H,5,FALSE))</f>
        <v>42853</v>
      </c>
      <c r="I5" s="12">
        <f>_xlfn.IFNA(SUMIFS('Week 32 Aug 3 - Aug 9 2020'!E:E,'Week 32 Aug 3 - Aug 9 2020'!D:D,'Week 33 Aug 10 - Aug 16 2020'!D:D,'Week 32 Aug 3 - Aug 9 2020'!C:C,'Week 33 Aug 10 - Aug 16 2020'!C:C),"New")</f>
        <v>16863</v>
      </c>
      <c r="J5" s="28">
        <f t="shared" si="0"/>
        <v>0.48443337484433374</v>
      </c>
    </row>
    <row r="6" spans="1:10" x14ac:dyDescent="0.2">
      <c r="A6" s="25">
        <v>5</v>
      </c>
      <c r="B6" s="18">
        <v>5</v>
      </c>
      <c r="C6" s="18" t="s">
        <v>7</v>
      </c>
      <c r="D6" s="47" t="s">
        <v>15</v>
      </c>
      <c r="E6" s="12">
        <v>20978</v>
      </c>
      <c r="F6" s="12">
        <f>SUMIFS('Week 32 Aug 3 - Aug 9 2020'!F:F,'Week 32 Aug 3 - Aug 9 2020'!D:D,'Week 33 Aug 10 - Aug 16 2020'!D:D,'Week 32 Aug 3 - Aug 9 2020'!C:C,'Week 33 Aug 10 - Aug 16 2020'!C:C)+Table361191013555712141752596163656769717375777982848688901921[[#This Row],[Week Sales]]</f>
        <v>222575</v>
      </c>
      <c r="G6" s="18" t="str">
        <f>(VLOOKUP(D:D,'Week 32 Aug 3 - Aug 9 2020'!D:G,4,FALSE))</f>
        <v>Nintendo</v>
      </c>
      <c r="H6" s="67">
        <f>(VLOOKUP(D:D,'Week 32 Aug 3 - Aug 9 2020'!D:H,5,FALSE))</f>
        <v>44029</v>
      </c>
      <c r="I6" s="12">
        <f>_xlfn.IFNA(SUMIFS('Week 32 Aug 3 - Aug 9 2020'!E:E,'Week 32 Aug 3 - Aug 9 2020'!D:D,'Week 33 Aug 10 - Aug 16 2020'!D:D,'Week 32 Aug 3 - Aug 9 2020'!C:C,'Week 33 Aug 10 - Aug 16 2020'!C:C),"New")</f>
        <v>19089</v>
      </c>
      <c r="J6" s="28">
        <f t="shared" si="0"/>
        <v>9.8957514799098964E-2</v>
      </c>
    </row>
    <row r="7" spans="1:10" x14ac:dyDescent="0.2">
      <c r="A7" s="25">
        <v>6</v>
      </c>
      <c r="B7" s="18">
        <v>8</v>
      </c>
      <c r="C7" s="18" t="s">
        <v>7</v>
      </c>
      <c r="D7" s="47" t="s">
        <v>14</v>
      </c>
      <c r="E7" s="12">
        <v>16444</v>
      </c>
      <c r="F7" s="12">
        <f>SUMIFS('Week 32 Aug 3 - Aug 9 2020'!F:F,'Week 32 Aug 3 - Aug 9 2020'!D:D,'Week 33 Aug 10 - Aug 16 2020'!D:D,'Week 32 Aug 3 - Aug 9 2020'!C:C,'Week 33 Aug 10 - Aug 16 2020'!C:C)+Table361191013555712141752596163656769717375777982848688901921[[#This Row],[Week Sales]]</f>
        <v>190925</v>
      </c>
      <c r="G7" s="18" t="str">
        <f>(VLOOKUP(D:D,'Week 32 Aug 3 - Aug 9 2020'!D:G,4,FALSE))</f>
        <v>Konami</v>
      </c>
      <c r="H7" s="67">
        <f>(VLOOKUP(D:D,'Week 32 Aug 3 - Aug 9 2020'!D:H,5,FALSE))</f>
        <v>44021</v>
      </c>
      <c r="I7" s="12">
        <f>_xlfn.IFNA(SUMIFS('Week 32 Aug 3 - Aug 9 2020'!E:E,'Week 32 Aug 3 - Aug 9 2020'!D:D,'Week 33 Aug 10 - Aug 16 2020'!D:D,'Week 32 Aug 3 - Aug 9 2020'!C:C,'Week 33 Aug 10 - Aug 16 2020'!C:C),"New")</f>
        <v>15451</v>
      </c>
      <c r="J7" s="28">
        <f t="shared" si="0"/>
        <v>6.4267684939486119E-2</v>
      </c>
    </row>
    <row r="8" spans="1:10" x14ac:dyDescent="0.2">
      <c r="A8" s="25">
        <v>7</v>
      </c>
      <c r="B8" s="18">
        <v>3</v>
      </c>
      <c r="C8" s="18" t="s">
        <v>8</v>
      </c>
      <c r="D8" s="47" t="s">
        <v>11</v>
      </c>
      <c r="E8" s="12">
        <v>14953</v>
      </c>
      <c r="F8" s="12">
        <f>SUMIFS('Week 32 Aug 3 - Aug 9 2020'!F:F,'Week 32 Aug 3 - Aug 9 2020'!D:D,'Week 33 Aug 10 - Aug 16 2020'!D:D,'Week 32 Aug 3 - Aug 9 2020'!C:C,'Week 33 Aug 10 - Aug 16 2020'!C:C)+Table361191013555712141752596163656769717375777982848688901921[[#This Row],[Week Sales]]</f>
        <v>345317</v>
      </c>
      <c r="G8" s="18" t="str">
        <f>(VLOOKUP(D:D,'Week 32 Aug 3 - Aug 9 2020'!D:G,4,FALSE))</f>
        <v>Sony</v>
      </c>
      <c r="H8" s="67">
        <f>(VLOOKUP(D:D,'Week 32 Aug 3 - Aug 9 2020'!D:H,5,FALSE))</f>
        <v>44029</v>
      </c>
      <c r="I8" s="12">
        <f>_xlfn.IFNA(SUMIFS('Week 32 Aug 3 - Aug 9 2020'!E:E,'Week 32 Aug 3 - Aug 9 2020'!D:D,'Week 33 Aug 10 - Aug 16 2020'!D:D,'Week 32 Aug 3 - Aug 9 2020'!C:C,'Week 33 Aug 10 - Aug 16 2020'!C:C),"New")</f>
        <v>32130</v>
      </c>
      <c r="J8" s="28">
        <f t="shared" si="0"/>
        <v>-0.53460939931528162</v>
      </c>
    </row>
    <row r="9" spans="1:10" x14ac:dyDescent="0.2">
      <c r="A9" s="25">
        <v>8</v>
      </c>
      <c r="B9" s="18">
        <v>12</v>
      </c>
      <c r="C9" s="18" t="s">
        <v>7</v>
      </c>
      <c r="D9" s="47" t="s">
        <v>52</v>
      </c>
      <c r="E9" s="12">
        <v>12673</v>
      </c>
      <c r="F9" s="12">
        <f>SUMIFS('Week 32 Aug 3 - Aug 9 2020'!F:F,'Week 32 Aug 3 - Aug 9 2020'!D:D,'Week 33 Aug 10 - Aug 16 2020'!D:D,'Week 32 Aug 3 - Aug 9 2020'!C:C,'Week 33 Aug 10 - Aug 16 2020'!C:C)+Table361191013555712141752596163656769717375777982848688901921[[#This Row],[Week Sales]]</f>
        <v>3796608</v>
      </c>
      <c r="G9" s="18" t="str">
        <f>(VLOOKUP(D:D,'Week 32 Aug 3 - Aug 9 2020'!D:G,4,FALSE))</f>
        <v>Nintendo</v>
      </c>
      <c r="H9" s="67">
        <f>(VLOOKUP(D:D,'Week 32 Aug 3 - Aug 9 2020'!D:H,5,FALSE))</f>
        <v>43441</v>
      </c>
      <c r="I9" s="12">
        <f>_xlfn.IFNA(SUMIFS('Week 32 Aug 3 - Aug 9 2020'!E:E,'Week 32 Aug 3 - Aug 9 2020'!D:D,'Week 33 Aug 10 - Aug 16 2020'!D:D,'Week 32 Aug 3 - Aug 9 2020'!C:C,'Week 33 Aug 10 - Aug 16 2020'!C:C),"New")</f>
        <v>9809</v>
      </c>
      <c r="J9" s="28">
        <f t="shared" si="0"/>
        <v>0.2919767560403711</v>
      </c>
    </row>
    <row r="10" spans="1:10" x14ac:dyDescent="0.2">
      <c r="A10" s="26">
        <v>9</v>
      </c>
      <c r="B10" s="18">
        <v>11</v>
      </c>
      <c r="C10" s="18" t="s">
        <v>7</v>
      </c>
      <c r="D10" s="47" t="s">
        <v>62</v>
      </c>
      <c r="E10" s="12">
        <v>12603</v>
      </c>
      <c r="F10" s="12">
        <f>SUMIFS('Week 32 Aug 3 - Aug 9 2020'!F:F,'Week 32 Aug 3 - Aug 9 2020'!D:D,'Week 33 Aug 10 - Aug 16 2020'!D:D,'Week 32 Aug 3 - Aug 9 2020'!C:C,'Week 33 Aug 10 - Aug 16 2020'!C:C)+Table361191013555712141752596163656769717375777982848688901921[[#This Row],[Week Sales]]</f>
        <v>3703045</v>
      </c>
      <c r="G10" s="18" t="str">
        <f>(VLOOKUP(D:D,'Week 32 Aug 3 - Aug 9 2020'!D:G,4,FALSE))</f>
        <v>The Pokemon Company</v>
      </c>
      <c r="H10" s="67">
        <f>(VLOOKUP(D:D,'Week 32 Aug 3 - Aug 9 2020'!D:H,5,FALSE))</f>
        <v>43784</v>
      </c>
      <c r="I10" s="12">
        <f>_xlfn.IFNA(SUMIFS('Week 32 Aug 3 - Aug 9 2020'!E:E,'Week 32 Aug 3 - Aug 9 2020'!D:D,'Week 33 Aug 10 - Aug 16 2020'!D:D,'Week 32 Aug 3 - Aug 9 2020'!C:C,'Week 33 Aug 10 - Aug 16 2020'!C:C),"New")</f>
        <v>9847</v>
      </c>
      <c r="J10" s="28">
        <f t="shared" si="0"/>
        <v>0.27988219762364169</v>
      </c>
    </row>
    <row r="11" spans="1:10" x14ac:dyDescent="0.2">
      <c r="A11" s="26">
        <v>10</v>
      </c>
      <c r="B11" s="18">
        <v>13</v>
      </c>
      <c r="C11" s="18" t="s">
        <v>7</v>
      </c>
      <c r="D11" s="47" t="s">
        <v>13</v>
      </c>
      <c r="E11" s="12">
        <v>12293</v>
      </c>
      <c r="F11" s="12">
        <f>SUMIFS('Week 32 Aug 3 - Aug 9 2020'!F:F,'Week 32 Aug 3 - Aug 9 2020'!D:D,'Week 33 Aug 10 - Aug 16 2020'!D:D,'Week 32 Aug 3 - Aug 9 2020'!C:C,'Week 33 Aug 10 - Aug 16 2020'!C:C)+Table361191013555712141752596163656769717375777982848688901921[[#This Row],[Week Sales]]</f>
        <v>1527133</v>
      </c>
      <c r="G11" s="18" t="str">
        <f>(VLOOKUP(D:D,'Week 32 Aug 3 - Aug 9 2020'!D:G,4,FALSE))</f>
        <v>Nintendo</v>
      </c>
      <c r="H11" s="67">
        <f>(VLOOKUP(D:D,'Week 32 Aug 3 - Aug 9 2020'!D:H,5,FALSE))</f>
        <v>43378</v>
      </c>
      <c r="I11" s="12">
        <f>_xlfn.IFNA(SUMIFS('Week 32 Aug 3 - Aug 9 2020'!E:E,'Week 32 Aug 3 - Aug 9 2020'!D:D,'Week 33 Aug 10 - Aug 16 2020'!D:D,'Week 32 Aug 3 - Aug 9 2020'!C:C,'Week 33 Aug 10 - Aug 16 2020'!C:C),"New")</f>
        <v>8863</v>
      </c>
      <c r="J11" s="28">
        <f t="shared" si="0"/>
        <v>0.38700214374365338</v>
      </c>
    </row>
    <row r="12" spans="1:10" x14ac:dyDescent="0.2">
      <c r="A12" s="26">
        <v>11</v>
      </c>
      <c r="B12" s="18">
        <v>14</v>
      </c>
      <c r="C12" s="18" t="s">
        <v>7</v>
      </c>
      <c r="D12" s="47" t="s">
        <v>10</v>
      </c>
      <c r="E12" s="12">
        <v>11416</v>
      </c>
      <c r="F12" s="12">
        <f>SUMIFS('Week 32 Aug 3 - Aug 9 2020'!F:F,'Week 32 Aug 3 - Aug 9 2020'!D:D,'Week 33 Aug 10 - Aug 16 2020'!D:D,'Week 32 Aug 3 - Aug 9 2020'!C:C,'Week 33 Aug 10 - Aug 16 2020'!C:C)+Table361191013555712141752596163656769717375777982848688901921[[#This Row],[Week Sales]]</f>
        <v>3530474</v>
      </c>
      <c r="G12" s="18" t="str">
        <f>(VLOOKUP(D:D,'Week 32 Aug 3 - Aug 9 2020'!D:G,4,FALSE))</f>
        <v>Nintendo</v>
      </c>
      <c r="H12" s="67">
        <f>(VLOOKUP(D:D,'Week 32 Aug 3 - Aug 9 2020'!D:H,5,FALSE))</f>
        <v>42937</v>
      </c>
      <c r="I12" s="12">
        <f>_xlfn.IFNA(SUMIFS('Week 32 Aug 3 - Aug 9 2020'!E:E,'Week 32 Aug 3 - Aug 9 2020'!D:D,'Week 33 Aug 10 - Aug 16 2020'!D:D,'Week 32 Aug 3 - Aug 9 2020'!C:C,'Week 33 Aug 10 - Aug 16 2020'!C:C),"New")</f>
        <v>8358</v>
      </c>
      <c r="J12" s="28">
        <f t="shared" si="0"/>
        <v>0.36587700406795887</v>
      </c>
    </row>
    <row r="13" spans="1:10" x14ac:dyDescent="0.2">
      <c r="A13" s="26">
        <v>12</v>
      </c>
      <c r="B13" s="18">
        <v>15</v>
      </c>
      <c r="C13" s="18" t="s">
        <v>7</v>
      </c>
      <c r="D13" s="47" t="s">
        <v>12</v>
      </c>
      <c r="E13" s="12">
        <v>10245</v>
      </c>
      <c r="F13" s="12">
        <f>SUMIFS('Week 32 Aug 3 - Aug 9 2020'!F:F,'Week 32 Aug 3 - Aug 9 2020'!D:D,'Week 33 Aug 10 - Aug 16 2020'!D:D,'Week 32 Aug 3 - Aug 9 2020'!C:C,'Week 33 Aug 10 - Aug 16 2020'!C:C)+Table361191013555712141752596163656769717375777982848688901921[[#This Row],[Week Sales]]</f>
        <v>1476040</v>
      </c>
      <c r="G13" s="18" t="str">
        <f>(VLOOKUP(D:D,'Week 32 Aug 3 - Aug 9 2020'!D:G,4,FALSE))</f>
        <v>Microsoft</v>
      </c>
      <c r="H13" s="67">
        <f>(VLOOKUP(D:D,'Week 32 Aug 3 - Aug 9 2020'!D:H,5,FALSE))</f>
        <v>43272</v>
      </c>
      <c r="I13" s="12">
        <f>_xlfn.IFNA(SUMIFS('Week 32 Aug 3 - Aug 9 2020'!E:E,'Week 32 Aug 3 - Aug 9 2020'!D:D,'Week 33 Aug 10 - Aug 16 2020'!D:D,'Week 32 Aug 3 - Aug 9 2020'!C:C,'Week 33 Aug 10 - Aug 16 2020'!C:C),"New")</f>
        <v>7459</v>
      </c>
      <c r="J13" s="28">
        <f t="shared" si="0"/>
        <v>0.37350851320552353</v>
      </c>
    </row>
    <row r="14" spans="1:10" x14ac:dyDescent="0.2">
      <c r="A14" s="26">
        <v>13</v>
      </c>
      <c r="B14" s="18">
        <v>6</v>
      </c>
      <c r="C14" s="18" t="s">
        <v>8</v>
      </c>
      <c r="D14" s="86" t="s">
        <v>68</v>
      </c>
      <c r="E14" s="12">
        <v>10065</v>
      </c>
      <c r="F14" s="12">
        <f>SUMIFS('Week 32 Aug 3 - Aug 9 2020'!F:F,'Week 32 Aug 3 - Aug 9 2020'!D:D,'Week 33 Aug 10 - Aug 16 2020'!D:D,'Week 32 Aug 3 - Aug 9 2020'!C:C,'Week 33 Aug 10 - Aug 16 2020'!C:C)+Table361191013555712141752596163656769717375777982848688901921[[#This Row],[Week Sales]]</f>
        <v>151390</v>
      </c>
      <c r="G14" s="18" t="str">
        <f>(VLOOKUP(D:D,'Week 32 Aug 3 - Aug 9 2020'!D:G,4,FALSE))</f>
        <v>Bandai Namco</v>
      </c>
      <c r="H14" s="67">
        <f>(VLOOKUP(D:D,'Week 32 Aug 3 - Aug 9 2020'!D:H,5,FALSE))</f>
        <v>44042</v>
      </c>
      <c r="I14" s="12">
        <f>_xlfn.IFNA(SUMIFS('Week 32 Aug 3 - Aug 9 2020'!E:E,'Week 32 Aug 3 - Aug 9 2020'!D:D,'Week 33 Aug 10 - Aug 16 2020'!D:D,'Week 32 Aug 3 - Aug 9 2020'!C:C,'Week 33 Aug 10 - Aug 16 2020'!C:C),"New")</f>
        <v>18178</v>
      </c>
      <c r="J14" s="28">
        <f t="shared" si="0"/>
        <v>-0.44630872483221479</v>
      </c>
    </row>
    <row r="15" spans="1:10" x14ac:dyDescent="0.2">
      <c r="A15" s="26">
        <v>14</v>
      </c>
      <c r="B15" s="18">
        <v>10</v>
      </c>
      <c r="C15" s="18" t="s">
        <v>8</v>
      </c>
      <c r="D15" s="47" t="s">
        <v>14</v>
      </c>
      <c r="E15" s="12">
        <v>9012</v>
      </c>
      <c r="F15" s="12">
        <f>SUMIFS('Week 32 Aug 3 - Aug 9 2020'!F:F,'Week 32 Aug 3 - Aug 9 2020'!D:D,'Week 33 Aug 10 - Aug 16 2020'!D:D,'Week 32 Aug 3 - Aug 9 2020'!C:C,'Week 33 Aug 10 - Aug 16 2020'!C:C)+Table361191013555712141752596163656769717375777982848688901921[[#This Row],[Week Sales]]</f>
        <v>165168</v>
      </c>
      <c r="G15" s="18" t="str">
        <f>(VLOOKUP(D:D,'Week 32 Aug 3 - Aug 9 2020'!D:G,4,FALSE))</f>
        <v>Konami</v>
      </c>
      <c r="H15" s="67">
        <f>(VLOOKUP(D:D,'Week 32 Aug 3 - Aug 9 2020'!D:H,5,FALSE))</f>
        <v>44021</v>
      </c>
      <c r="I15" s="12">
        <f>_xlfn.IFNA(SUMIFS('Week 32 Aug 3 - Aug 9 2020'!E:E,'Week 32 Aug 3 - Aug 9 2020'!D:D,'Week 33 Aug 10 - Aug 16 2020'!D:D,'Week 32 Aug 3 - Aug 9 2020'!C:C,'Week 33 Aug 10 - Aug 16 2020'!C:C),"New")</f>
        <v>9908</v>
      </c>
      <c r="J15" s="28">
        <f t="shared" si="0"/>
        <v>-9.0431974162293094E-2</v>
      </c>
    </row>
    <row r="16" spans="1:10" x14ac:dyDescent="0.2">
      <c r="A16" s="26">
        <v>15</v>
      </c>
      <c r="B16" s="18">
        <v>17</v>
      </c>
      <c r="C16" s="18" t="s">
        <v>7</v>
      </c>
      <c r="D16" s="86" t="s">
        <v>20</v>
      </c>
      <c r="E16" s="12">
        <v>7215</v>
      </c>
      <c r="F16" s="12">
        <f>SUMIFS('Week 32 Aug 3 - Aug 9 2020'!F:F,'Week 32 Aug 3 - Aug 9 2020'!D:D,'Week 33 Aug 10 - Aug 16 2020'!D:D,'Week 32 Aug 3 - Aug 9 2020'!C:C,'Week 33 Aug 10 - Aug 16 2020'!C:C)+Table361191013555712141752596163656769717375777982848688901921[[#This Row],[Week Sales]]</f>
        <v>477175</v>
      </c>
      <c r="G16" s="18" t="str">
        <f>(VLOOKUP(D:D,'Week 32 Aug 3 - Aug 9 2020'!D:G,4,FALSE))</f>
        <v>Bandai Namco</v>
      </c>
      <c r="H16" s="67">
        <f>(VLOOKUP(D:D,'Week 32 Aug 3 - Aug 9 2020'!D:H,5,FALSE))</f>
        <v>43671</v>
      </c>
      <c r="I16" s="12">
        <f>_xlfn.IFNA(SUMIFS('Week 32 Aug 3 - Aug 9 2020'!E:E,'Week 32 Aug 3 - Aug 9 2020'!D:D,'Week 33 Aug 10 - Aug 16 2020'!D:D,'Week 32 Aug 3 - Aug 9 2020'!C:C,'Week 33 Aug 10 - Aug 16 2020'!C:C),"New")</f>
        <v>4552</v>
      </c>
      <c r="J16" s="28">
        <f t="shared" si="0"/>
        <v>0.58501757469244287</v>
      </c>
    </row>
    <row r="17" spans="1:10" x14ac:dyDescent="0.2">
      <c r="A17" s="26">
        <v>16</v>
      </c>
      <c r="B17" s="18">
        <v>16</v>
      </c>
      <c r="C17" s="18" t="s">
        <v>7</v>
      </c>
      <c r="D17" s="47" t="s">
        <v>17</v>
      </c>
      <c r="E17" s="12">
        <v>6262</v>
      </c>
      <c r="F17" s="12">
        <f>SUMIFS('Week 32 Aug 3 - Aug 9 2020'!F:F,'Week 32 Aug 3 - Aug 9 2020'!D:D,'Week 33 Aug 10 - Aug 16 2020'!D:D,'Week 32 Aug 3 - Aug 9 2020'!C:C,'Week 33 Aug 10 - Aug 16 2020'!C:C)+Table361191013555712141752596163656769717375777982848688901921[[#This Row],[Week Sales]]</f>
        <v>883364</v>
      </c>
      <c r="G17" s="18" t="str">
        <f>(VLOOKUP(D:D,'Week 32 Aug 3 - Aug 9 2020'!D:G,4,FALSE))</f>
        <v>Nintendo</v>
      </c>
      <c r="H17" s="67">
        <f>(VLOOKUP(D:D,'Week 32 Aug 3 - Aug 9 2020'!D:H,5,FALSE))</f>
        <v>43476</v>
      </c>
      <c r="I17" s="12">
        <f>_xlfn.IFNA(SUMIFS('Week 32 Aug 3 - Aug 9 2020'!E:E,'Week 32 Aug 3 - Aug 9 2020'!D:D,'Week 33 Aug 10 - Aug 16 2020'!D:D,'Week 32 Aug 3 - Aug 9 2020'!C:C,'Week 33 Aug 10 - Aug 16 2020'!C:C),"New")</f>
        <v>4558</v>
      </c>
      <c r="J17" s="28">
        <f t="shared" si="0"/>
        <v>0.37384817902588857</v>
      </c>
    </row>
    <row r="18" spans="1:10" x14ac:dyDescent="0.2">
      <c r="A18" s="26">
        <v>17</v>
      </c>
      <c r="B18" s="18">
        <v>18</v>
      </c>
      <c r="C18" s="18" t="s">
        <v>7</v>
      </c>
      <c r="D18" s="47" t="s">
        <v>16</v>
      </c>
      <c r="E18" s="12">
        <v>5206</v>
      </c>
      <c r="F18" s="12">
        <f>SUMIFS('Week 32 Aug 3 - Aug 9 2020'!F:F,'Week 32 Aug 3 - Aug 9 2020'!D:D,'Week 33 Aug 10 - Aug 16 2020'!D:D,'Week 32 Aug 3 - Aug 9 2020'!C:C,'Week 33 Aug 10 - Aug 16 2020'!C:C)+Table361191013555712141752596163656769717375777982848688901921[[#This Row],[Week Sales]]</f>
        <v>279426</v>
      </c>
      <c r="G18" s="18" t="str">
        <f>(VLOOKUP(D:D,'Week 32 Aug 3 - Aug 9 2020'!D:G,4,FALSE))</f>
        <v>Nintendo</v>
      </c>
      <c r="H18" s="67">
        <f>(VLOOKUP(D:D,'Week 32 Aug 3 - Aug 9 2020'!D:H,5,FALSE))</f>
        <v>43826</v>
      </c>
      <c r="I18" s="12">
        <f>_xlfn.IFNA(SUMIFS('Week 32 Aug 3 - Aug 9 2020'!E:E,'Week 32 Aug 3 - Aug 9 2020'!D:D,'Week 33 Aug 10 - Aug 16 2020'!D:D,'Week 32 Aug 3 - Aug 9 2020'!C:C,'Week 33 Aug 10 - Aug 16 2020'!C:C),"New")</f>
        <v>4476</v>
      </c>
      <c r="J18" s="28">
        <f t="shared" si="0"/>
        <v>0.16309204647006256</v>
      </c>
    </row>
    <row r="19" spans="1:10" x14ac:dyDescent="0.2">
      <c r="A19" s="26">
        <v>18</v>
      </c>
      <c r="B19" s="18">
        <v>19</v>
      </c>
      <c r="C19" s="18" t="s">
        <v>7</v>
      </c>
      <c r="D19" s="47" t="s">
        <v>39</v>
      </c>
      <c r="E19" s="12">
        <v>5203</v>
      </c>
      <c r="F19" s="12">
        <f>SUMIFS('Week 32 Aug 3 - Aug 9 2020'!F:F,'Week 32 Aug 3 - Aug 9 2020'!D:D,'Week 33 Aug 10 - Aug 16 2020'!D:D,'Week 32 Aug 3 - Aug 9 2020'!C:C,'Week 33 Aug 10 - Aug 16 2020'!C:C)+Table361191013555712141752596163656769717375777982848688901921[[#This Row],[Week Sales]]</f>
        <v>1629989</v>
      </c>
      <c r="G19" s="18" t="str">
        <f>(VLOOKUP(D:D,'Week 32 Aug 3 - Aug 9 2020'!D:G,4,FALSE))</f>
        <v>Nintendo</v>
      </c>
      <c r="H19" s="67">
        <f>(VLOOKUP(D:D,'Week 32 Aug 3 - Aug 9 2020'!D:H,5,FALSE))</f>
        <v>42797</v>
      </c>
      <c r="I19" s="12">
        <f>_xlfn.IFNA(SUMIFS('Week 32 Aug 3 - Aug 9 2020'!E:E,'Week 32 Aug 3 - Aug 9 2020'!D:D,'Week 33 Aug 10 - Aug 16 2020'!D:D,'Week 32 Aug 3 - Aug 9 2020'!C:C,'Week 33 Aug 10 - Aug 16 2020'!C:C),"New")</f>
        <v>4233</v>
      </c>
      <c r="J19" s="28">
        <f t="shared" si="0"/>
        <v>0.22915190172454525</v>
      </c>
    </row>
    <row r="20" spans="1:10" x14ac:dyDescent="0.2">
      <c r="A20" s="26">
        <v>19</v>
      </c>
      <c r="B20" s="18">
        <v>20</v>
      </c>
      <c r="C20" s="18" t="s">
        <v>7</v>
      </c>
      <c r="D20" s="47" t="s">
        <v>19</v>
      </c>
      <c r="E20" s="12">
        <v>4974</v>
      </c>
      <c r="F20" s="12">
        <f>SUMIFS('Week 32 Aug 3 - Aug 9 2020'!F:F,'Week 32 Aug 3 - Aug 9 2020'!D:D,'Week 33 Aug 10 - Aug 16 2020'!D:D,'Week 32 Aug 3 - Aug 9 2020'!C:C,'Week 33 Aug 10 - Aug 16 2020'!C:C)+Table361191013555712141752596163656769717375777982848688901921[[#This Row],[Week Sales]]</f>
        <v>953283</v>
      </c>
      <c r="G20" s="18" t="str">
        <f>(VLOOKUP(D:D,'Week 32 Aug 3 - Aug 9 2020'!D:G,4,FALSE))</f>
        <v>Nintendo</v>
      </c>
      <c r="H20" s="67">
        <f>(VLOOKUP(D:D,'Week 32 Aug 3 - Aug 9 2020'!D:H,5,FALSE))</f>
        <v>43644</v>
      </c>
      <c r="I20" s="12">
        <f>_xlfn.IFNA(SUMIFS('Week 32 Aug 3 - Aug 9 2020'!E:E,'Week 32 Aug 3 - Aug 9 2020'!D:D,'Week 33 Aug 10 - Aug 16 2020'!D:D,'Week 32 Aug 3 - Aug 9 2020'!C:C,'Week 33 Aug 10 - Aug 16 2020'!C:C),"New")</f>
        <v>3460</v>
      </c>
      <c r="J20" s="28">
        <f t="shared" si="0"/>
        <v>0.43757225433526009</v>
      </c>
    </row>
    <row r="21" spans="1:10" x14ac:dyDescent="0.2">
      <c r="A21" s="26">
        <v>20</v>
      </c>
      <c r="B21" s="18">
        <v>25</v>
      </c>
      <c r="C21" s="18" t="s">
        <v>7</v>
      </c>
      <c r="D21" s="86" t="s">
        <v>56</v>
      </c>
      <c r="E21" s="12">
        <v>4915</v>
      </c>
      <c r="F21" s="12">
        <f>SUMIFS('Week 32 Aug 3 - Aug 9 2020'!F:F,'Week 32 Aug 3 - Aug 9 2020'!D:D,'Week 33 Aug 10 - Aug 16 2020'!D:D,'Week 32 Aug 3 - Aug 9 2020'!C:C,'Week 33 Aug 10 - Aug 16 2020'!C:C)+Table361191013555712141752596163656769717375777982848688901921[[#This Row],[Week Sales]]</f>
        <v>22239</v>
      </c>
      <c r="G21" s="18" t="str">
        <f>(VLOOKUP(D:D,'Week 32 Aug 3 - Aug 9 2020'!D:G,4,FALSE))</f>
        <v>Teyon Japan</v>
      </c>
      <c r="H21" s="67">
        <f>(VLOOKUP(D:D,'Week 32 Aug 3 - Aug 9 2020'!D:H,5,FALSE))</f>
        <v>44007</v>
      </c>
      <c r="I21" s="12">
        <f>_xlfn.IFNA(SUMIFS('Week 32 Aug 3 - Aug 9 2020'!E:E,'Week 32 Aug 3 - Aug 9 2020'!D:D,'Week 33 Aug 10 - Aug 16 2020'!D:D,'Week 32 Aug 3 - Aug 9 2020'!C:C,'Week 33 Aug 10 - Aug 16 2020'!C:C),"New")</f>
        <v>2232</v>
      </c>
      <c r="J21" s="28">
        <f t="shared" si="0"/>
        <v>1.2020609318996416</v>
      </c>
    </row>
    <row r="22" spans="1:10" x14ac:dyDescent="0.2">
      <c r="A22" s="26">
        <v>21</v>
      </c>
      <c r="B22" s="18">
        <v>22</v>
      </c>
      <c r="C22" s="18" t="s">
        <v>7</v>
      </c>
      <c r="D22" s="47" t="s">
        <v>25</v>
      </c>
      <c r="E22" s="12">
        <v>4886</v>
      </c>
      <c r="F22" s="12">
        <f>SUMIFS('Week 32 Aug 3 - Aug 9 2020'!F:F,'Week 32 Aug 3 - Aug 9 2020'!D:D,'Week 33 Aug 10 - Aug 16 2020'!D:D,'Week 32 Aug 3 - Aug 9 2020'!C:C,'Week 33 Aug 10 - Aug 16 2020'!C:C)+Table361191013555712141752596163656769717375777982848688901921[[#This Row],[Week Sales]]</f>
        <v>503179</v>
      </c>
      <c r="G22" s="18" t="str">
        <f>(VLOOKUP(D:D,'Week 32 Aug 3 - Aug 9 2020'!D:G,4,FALSE))</f>
        <v>Bandai Namco</v>
      </c>
      <c r="H22" s="67">
        <f>(VLOOKUP(D:D,'Week 32 Aug 3 - Aug 9 2020'!D:H,5,FALSE))</f>
        <v>43300</v>
      </c>
      <c r="I22" s="12">
        <f>_xlfn.IFNA(SUMIFS('Week 32 Aug 3 - Aug 9 2020'!E:E,'Week 32 Aug 3 - Aug 9 2020'!D:D,'Week 33 Aug 10 - Aug 16 2020'!D:D,'Week 32 Aug 3 - Aug 9 2020'!C:C,'Week 33 Aug 10 - Aug 16 2020'!C:C),"New")</f>
        <v>3053</v>
      </c>
      <c r="J22" s="28">
        <f t="shared" si="0"/>
        <v>0.60039305601048154</v>
      </c>
    </row>
    <row r="23" spans="1:10" x14ac:dyDescent="0.2">
      <c r="A23" s="26">
        <v>22</v>
      </c>
      <c r="B23" s="18">
        <v>27</v>
      </c>
      <c r="C23" s="18" t="s">
        <v>7</v>
      </c>
      <c r="D23" s="68" t="s">
        <v>80</v>
      </c>
      <c r="E23" s="12">
        <v>3743</v>
      </c>
      <c r="F23" s="12">
        <f>SUMIFS('Week 32 Aug 3 - Aug 9 2020'!F:F,'Week 32 Aug 3 - Aug 9 2020'!D:D,'Week 33 Aug 10 - Aug 16 2020'!D:D,'Week 32 Aug 3 - Aug 9 2020'!C:C,'Week 33 Aug 10 - Aug 16 2020'!C:C)+Table361191013555712141752596163656769717375777982848688901921[[#This Row],[Week Sales]]</f>
        <v>333678</v>
      </c>
      <c r="G23" s="18" t="str">
        <f>(VLOOKUP(D:D,'Week 32 Aug 3 - Aug 9 2020'!D:G,4,FALSE))</f>
        <v>Sega</v>
      </c>
      <c r="H23" s="67">
        <f>(VLOOKUP(D:D,'Week 32 Aug 3 - Aug 9 2020'!D:H,5,FALSE))</f>
        <v>43770</v>
      </c>
      <c r="I23" s="12">
        <f>_xlfn.IFNA(SUMIFS('Week 32 Aug 3 - Aug 9 2020'!E:E,'Week 32 Aug 3 - Aug 9 2020'!D:D,'Week 33 Aug 10 - Aug 16 2020'!D:D,'Week 32 Aug 3 - Aug 9 2020'!C:C,'Week 33 Aug 10 - Aug 16 2020'!C:C),"New")</f>
        <v>2092</v>
      </c>
      <c r="J23" s="28">
        <f t="shared" si="0"/>
        <v>0.78919694072657742</v>
      </c>
    </row>
    <row r="24" spans="1:10" x14ac:dyDescent="0.2">
      <c r="A24" s="26">
        <v>23</v>
      </c>
      <c r="B24" s="18">
        <v>21</v>
      </c>
      <c r="C24" s="18" t="s">
        <v>7</v>
      </c>
      <c r="D24" s="47" t="s">
        <v>283</v>
      </c>
      <c r="E24" s="12">
        <v>3686</v>
      </c>
      <c r="F24" s="12">
        <f>SUMIFS('Week 32 Aug 3 - Aug 9 2020'!F:F,'Week 32 Aug 3 - Aug 9 2020'!D:D,'Week 33 Aug 10 - Aug 16 2020'!D:D,'Week 32 Aug 3 - Aug 9 2020'!C:C,'Week 33 Aug 10 - Aug 16 2020'!C:C)+Table361191013555712141752596163656769717375777982848688901921[[#This Row],[Week Sales]]</f>
        <v>21864</v>
      </c>
      <c r="G24" s="18" t="str">
        <f>(VLOOKUP(D:D,'Week 32 Aug 3 - Aug 9 2020'!D:G,4,FALSE))</f>
        <v>GungHo Online Entertainment</v>
      </c>
      <c r="H24" s="67">
        <f>(VLOOKUP(D:D,'Week 32 Aug 3 - Aug 9 2020'!D:H,5,FALSE))</f>
        <v>44034</v>
      </c>
      <c r="I24" s="12">
        <f>_xlfn.IFNA(SUMIFS('Week 32 Aug 3 - Aug 9 2020'!E:E,'Week 32 Aug 3 - Aug 9 2020'!D:D,'Week 33 Aug 10 - Aug 16 2020'!D:D,'Week 32 Aug 3 - Aug 9 2020'!C:C,'Week 33 Aug 10 - Aug 16 2020'!C:C),"New")</f>
        <v>3298</v>
      </c>
      <c r="J24" s="28">
        <f t="shared" si="0"/>
        <v>0.11764705882352941</v>
      </c>
    </row>
    <row r="25" spans="1:10" x14ac:dyDescent="0.2">
      <c r="A25" s="26">
        <v>24</v>
      </c>
      <c r="B25" s="18">
        <v>24</v>
      </c>
      <c r="C25" s="18" t="s">
        <v>7</v>
      </c>
      <c r="D25" s="47" t="s">
        <v>79</v>
      </c>
      <c r="E25" s="12">
        <v>3606</v>
      </c>
      <c r="F25" s="12">
        <f>SUMIFS('Week 32 Aug 3 - Aug 9 2020'!F:F,'Week 32 Aug 3 - Aug 9 2020'!D:D,'Week 33 Aug 10 - Aug 16 2020'!D:D,'Week 32 Aug 3 - Aug 9 2020'!C:C,'Week 33 Aug 10 - Aug 16 2020'!C:C)+Table361191013555712141752596163656769717375777982848688901921[[#This Row],[Week Sales]]</f>
        <v>676013</v>
      </c>
      <c r="G25" s="18" t="str">
        <f>(VLOOKUP(D:D,'Week 32 Aug 3 - Aug 9 2020'!D:G,4,FALSE))</f>
        <v>Nintendo</v>
      </c>
      <c r="H25" s="67">
        <f>(VLOOKUP(D:D,'Week 32 Aug 3 - Aug 9 2020'!D:H,5,FALSE))</f>
        <v>43769</v>
      </c>
      <c r="I25" s="12">
        <f>_xlfn.IFNA(SUMIFS('Week 32 Aug 3 - Aug 9 2020'!E:E,'Week 32 Aug 3 - Aug 9 2020'!D:D,'Week 33 Aug 10 - Aug 16 2020'!D:D,'Week 32 Aug 3 - Aug 9 2020'!C:C,'Week 33 Aug 10 - Aug 16 2020'!C:C),"New")</f>
        <v>2599</v>
      </c>
      <c r="J25" s="28">
        <f t="shared" si="0"/>
        <v>0.38745671412081567</v>
      </c>
    </row>
    <row r="26" spans="1:10" x14ac:dyDescent="0.2">
      <c r="A26" s="9">
        <v>25</v>
      </c>
      <c r="B26" s="9" t="s">
        <v>36</v>
      </c>
      <c r="C26" s="9" t="s">
        <v>7</v>
      </c>
      <c r="D26" s="95" t="s">
        <v>293</v>
      </c>
      <c r="E26" s="10">
        <v>3059</v>
      </c>
      <c r="F26" s="10">
        <f>SUMIFS('Week 32 Aug 3 - Aug 9 2020'!F:F,'Week 32 Aug 3 - Aug 9 2020'!D:D,'Week 33 Aug 10 - Aug 16 2020'!D:D,'Week 32 Aug 3 - Aug 9 2020'!C:C,'Week 33 Aug 10 - Aug 16 2020'!C:C)+Table361191013555712141752596163656769717375777982848688901921[[#This Row],[Week Sales]]</f>
        <v>3059</v>
      </c>
      <c r="G26" s="9" t="s">
        <v>98</v>
      </c>
      <c r="H26" s="14">
        <v>44056</v>
      </c>
      <c r="I26" s="10" t="s">
        <v>36</v>
      </c>
      <c r="J26" s="92" t="str">
        <f t="shared" si="0"/>
        <v>New</v>
      </c>
    </row>
    <row r="27" spans="1:10" x14ac:dyDescent="0.2">
      <c r="A27" s="26">
        <v>26</v>
      </c>
      <c r="B27" s="18">
        <v>30</v>
      </c>
      <c r="C27" s="18" t="s">
        <v>7</v>
      </c>
      <c r="D27" s="86" t="s">
        <v>279</v>
      </c>
      <c r="E27" s="12">
        <v>2292</v>
      </c>
      <c r="F27" s="12">
        <f>SUMIFS('Week 32 Aug 3 - Aug 9 2020'!F:F,'Week 32 Aug 3 - Aug 9 2020'!D:D,'Week 33 Aug 10 - Aug 16 2020'!D:D,'Week 32 Aug 3 - Aug 9 2020'!C:C,'Week 33 Aug 10 - Aug 16 2020'!C:C)+Table361191013555712141752596163656769717375777982848688901921[[#This Row],[Week Sales]]</f>
        <v>18340</v>
      </c>
      <c r="G27" s="18" t="str">
        <f>(VLOOKUP(D:D,'Week 32 Aug 3 - Aug 9 2020'!D:G,4,FALSE))</f>
        <v>Ponos</v>
      </c>
      <c r="H27" s="67">
        <f>(VLOOKUP(D:D,'Week 32 Aug 3 - Aug 9 2020'!D:H,5,FALSE))</f>
        <v>44028</v>
      </c>
      <c r="I27" s="12">
        <f>_xlfn.IFNA(SUMIFS('Week 32 Aug 3 - Aug 9 2020'!E:E,'Week 32 Aug 3 - Aug 9 2020'!D:D,'Week 33 Aug 10 - Aug 16 2020'!D:D,'Week 32 Aug 3 - Aug 9 2020'!C:C,'Week 33 Aug 10 - Aug 16 2020'!C:C),"New")</f>
        <v>1651</v>
      </c>
      <c r="J27" s="28">
        <f t="shared" si="0"/>
        <v>0.3882495457298607</v>
      </c>
    </row>
    <row r="28" spans="1:10" x14ac:dyDescent="0.2">
      <c r="A28" s="26">
        <v>27</v>
      </c>
      <c r="B28" s="18">
        <v>28</v>
      </c>
      <c r="C28" s="18" t="s">
        <v>7</v>
      </c>
      <c r="D28" s="86" t="s">
        <v>83</v>
      </c>
      <c r="E28" s="12">
        <v>2228</v>
      </c>
      <c r="F28" s="12">
        <f>SUMIFS('Week 32 Aug 3 - Aug 9 2020'!F:F,'Week 32 Aug 3 - Aug 9 2020'!D:D,'Week 33 Aug 10 - Aug 16 2020'!D:D,'Week 32 Aug 3 - Aug 9 2020'!C:C,'Week 33 Aug 10 - Aug 16 2020'!C:C)+Table361191013555712141752596163656769717375777982848688901921[[#This Row],[Week Sales]]</f>
        <v>544423</v>
      </c>
      <c r="G28" s="18" t="str">
        <f>(VLOOKUP(D:D,'Week 32 Aug 3 - Aug 9 2020'!D:G,4,FALSE))</f>
        <v>Square Enix</v>
      </c>
      <c r="H28" s="67">
        <f>(VLOOKUP(D:D,'Week 32 Aug 3 - Aug 9 2020'!D:H,5,FALSE))</f>
        <v>43735</v>
      </c>
      <c r="I28" s="12">
        <f>_xlfn.IFNA(SUMIFS('Week 32 Aug 3 - Aug 9 2020'!E:E,'Week 32 Aug 3 - Aug 9 2020'!D:D,'Week 33 Aug 10 - Aug 16 2020'!D:D,'Week 32 Aug 3 - Aug 9 2020'!C:C,'Week 33 Aug 10 - Aug 16 2020'!C:C),"New")</f>
        <v>1943</v>
      </c>
      <c r="J28" s="28">
        <f t="shared" si="0"/>
        <v>0.14668039114770973</v>
      </c>
    </row>
    <row r="29" spans="1:10" x14ac:dyDescent="0.2">
      <c r="A29" s="9">
        <v>28</v>
      </c>
      <c r="B29" s="9" t="s">
        <v>36</v>
      </c>
      <c r="C29" s="9" t="s">
        <v>8</v>
      </c>
      <c r="D29" s="95" t="s">
        <v>294</v>
      </c>
      <c r="E29" s="10">
        <v>2150</v>
      </c>
      <c r="F29" s="10">
        <f>SUMIFS('Week 32 Aug 3 - Aug 9 2020'!F:F,'Week 32 Aug 3 - Aug 9 2020'!D:D,'Week 33 Aug 10 - Aug 16 2020'!D:D,'Week 32 Aug 3 - Aug 9 2020'!C:C,'Week 33 Aug 10 - Aug 16 2020'!C:C)+Table361191013555712141752596163656769717375777982848688901921[[#This Row],[Week Sales]]</f>
        <v>2150</v>
      </c>
      <c r="G29" s="9" t="s">
        <v>96</v>
      </c>
      <c r="H29" s="14">
        <v>44057</v>
      </c>
      <c r="I29" s="10" t="s">
        <v>36</v>
      </c>
      <c r="J29" s="92" t="str">
        <f t="shared" si="0"/>
        <v>New</v>
      </c>
    </row>
    <row r="30" spans="1:10" x14ac:dyDescent="0.2">
      <c r="A30" s="30">
        <v>29</v>
      </c>
      <c r="B30" s="31" t="s">
        <v>53</v>
      </c>
      <c r="C30" s="31" t="s">
        <v>7</v>
      </c>
      <c r="D30" s="91" t="s">
        <v>295</v>
      </c>
      <c r="E30" s="33">
        <v>2119</v>
      </c>
      <c r="F30" s="33">
        <v>832423</v>
      </c>
      <c r="G30" s="31" t="s">
        <v>9</v>
      </c>
      <c r="H30" s="93">
        <v>43175</v>
      </c>
      <c r="I30" s="33"/>
      <c r="J30" s="97"/>
    </row>
    <row r="31" spans="1:10" x14ac:dyDescent="0.2">
      <c r="A31" s="26">
        <v>30</v>
      </c>
      <c r="B31" s="18">
        <v>29</v>
      </c>
      <c r="C31" s="18" t="s">
        <v>7</v>
      </c>
      <c r="D31" s="86" t="s">
        <v>26</v>
      </c>
      <c r="E31" s="12">
        <v>2081</v>
      </c>
      <c r="F31" s="12">
        <f>SUMIFS('Week 32 Aug 3 - Aug 9 2020'!F:F,'Week 32 Aug 3 - Aug 9 2020'!D:D,'Week 33 Aug 10 - Aug 16 2020'!D:D,'Week 32 Aug 3 - Aug 9 2020'!C:C,'Week 33 Aug 10 - Aug 16 2020'!C:C)+Table361191013555712141752596163656769717375777982848688901921[[#This Row],[Week Sales]]</f>
        <v>2118231</v>
      </c>
      <c r="G31" s="18" t="str">
        <f>(VLOOKUP(D:D,'Week 32 Aug 3 - Aug 9 2020'!D:G,4,FALSE))</f>
        <v>Nintendo</v>
      </c>
      <c r="H31" s="67">
        <f>(VLOOKUP(D:D,'Week 32 Aug 3 - Aug 9 2020'!D:H,5,FALSE))</f>
        <v>43035</v>
      </c>
      <c r="I31" s="12">
        <f>_xlfn.IFNA(SUMIFS('Week 32 Aug 3 - Aug 9 2020'!E:E,'Week 32 Aug 3 - Aug 9 2020'!D:D,'Week 33 Aug 10 - Aug 16 2020'!D:D,'Week 32 Aug 3 - Aug 9 2020'!C:C,'Week 33 Aug 10 - Aug 16 2020'!C:C),"New")</f>
        <v>1721</v>
      </c>
      <c r="J31" s="28">
        <f>IFERROR((E31-I31)/I31,"New")</f>
        <v>0.20918070889018012</v>
      </c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376887</v>
      </c>
      <c r="F33" s="2"/>
      <c r="I33" s="2"/>
      <c r="J33" s="19"/>
    </row>
    <row r="34" spans="1:10" x14ac:dyDescent="0.2">
      <c r="A34" s="3"/>
      <c r="B34" s="3"/>
      <c r="D34" s="100" t="s">
        <v>178</v>
      </c>
      <c r="E34" s="101">
        <f>SUM('Week 32 Aug 3 - Aug 9 2020'!E34,'Week 33 Aug 10 - Aug 16 2020'!E33)</f>
        <v>15847107</v>
      </c>
      <c r="F34" s="2"/>
      <c r="I34" s="2"/>
      <c r="J34" s="19"/>
    </row>
    <row r="35" spans="1:10" x14ac:dyDescent="0.2">
      <c r="A35" s="3"/>
      <c r="B35" s="3"/>
      <c r="D35" s="2" t="s">
        <v>60</v>
      </c>
      <c r="E35" s="2">
        <f>AVERAGE(E2:E31)</f>
        <v>12562.9</v>
      </c>
      <c r="F35" s="2"/>
      <c r="I35" s="2"/>
      <c r="J35" s="19"/>
    </row>
    <row r="36" spans="1:10" x14ac:dyDescent="0.2">
      <c r="A36" s="3"/>
      <c r="B36" s="3"/>
      <c r="D36" s="9" t="s">
        <v>78</v>
      </c>
      <c r="E36" s="10">
        <f>COUNTIF(B:B,"New")</f>
        <v>2</v>
      </c>
      <c r="F36" s="2"/>
      <c r="I36" s="2"/>
      <c r="J36" s="19"/>
    </row>
    <row r="37" spans="1:10" x14ac:dyDescent="0.2">
      <c r="A37" s="3"/>
      <c r="B37" s="3"/>
      <c r="E37" s="2"/>
      <c r="F37" s="2"/>
      <c r="I37" s="2"/>
      <c r="J37" s="19"/>
    </row>
    <row r="38" spans="1:10" x14ac:dyDescent="0.2">
      <c r="A38" s="3"/>
      <c r="B38" s="3"/>
      <c r="D38" t="s">
        <v>66</v>
      </c>
      <c r="E38" s="2"/>
      <c r="F38" s="2"/>
      <c r="I38" s="2"/>
      <c r="J38" s="19"/>
    </row>
    <row r="39" spans="1:10" x14ac:dyDescent="0.2">
      <c r="A39" s="3"/>
      <c r="B39" s="3"/>
      <c r="D39" s="8" t="s">
        <v>67</v>
      </c>
      <c r="E39" s="2"/>
      <c r="F39" s="2"/>
      <c r="I39" s="2"/>
      <c r="J39" s="19"/>
    </row>
    <row r="40" spans="1:10" x14ac:dyDescent="0.2">
      <c r="A40" s="3"/>
      <c r="B40" s="3"/>
      <c r="D40" s="8" t="s">
        <v>65</v>
      </c>
      <c r="E40" s="2"/>
      <c r="F40" s="2"/>
      <c r="I40" s="2"/>
      <c r="J40" s="19"/>
    </row>
    <row r="41" spans="1:10" x14ac:dyDescent="0.2">
      <c r="D41" s="8" t="s">
        <v>71</v>
      </c>
    </row>
  </sheetData>
  <hyperlinks>
    <hyperlink ref="D41" r:id="rId1" xr:uid="{97F5E969-8637-6040-9057-CC8EC9EA96F4}"/>
    <hyperlink ref="D40" r:id="rId2" xr:uid="{FC5A5621-28BD-D241-847D-0526CBFDDE12}"/>
    <hyperlink ref="D39" r:id="rId3" xr:uid="{6CFD31EC-C156-3C40-8C45-532C01080857}"/>
  </hyperlinks>
  <pageMargins left="0.7" right="0.7" top="0.75" bottom="0.75" header="0.3" footer="0.3"/>
  <pageSetup paperSize="9" orientation="portrait" horizontalDpi="0" verticalDpi="0"/>
  <ignoredErrors>
    <ignoredError sqref="H26:I30 G26:G30 F30" calculatedColumn="1"/>
  </ignoredErrors>
  <tableParts count="1">
    <tablePart r:id="rId4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EF537-85F4-F840-B517-FC738B60B479}">
  <dimension ref="A1:J41"/>
  <sheetViews>
    <sheetView workbookViewId="0">
      <selection activeCell="D7" sqref="D7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1.5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0" x14ac:dyDescent="0.2">
      <c r="A2" s="25">
        <v>1</v>
      </c>
      <c r="B2" s="18">
        <v>1</v>
      </c>
      <c r="C2" s="18" t="s">
        <v>7</v>
      </c>
      <c r="D2" s="86" t="s">
        <v>46</v>
      </c>
      <c r="E2" s="12">
        <v>42863</v>
      </c>
      <c r="F2" s="12">
        <f>SUMIFS('Week 33 Aug 10 - Aug 16 2020'!F:F,'Week 33 Aug 10 - Aug 16 2020'!D:D,'Week 34 Aug 17 - Aug 23 2020'!D:D,'Week 33 Aug 10 - Aug 16 2020'!C:C,'Week 34 Aug 17 - Aug 23 2020'!C:C)+Table36119101355571214175259616365676971737577798284868890192123[[#This Row],[Week Sales]]</f>
        <v>5594061</v>
      </c>
      <c r="G2" s="18" t="str">
        <f>(VLOOKUP(D:D,'Week 33 Aug 10 - Aug 16 2020'!D:G,4,FALSE))</f>
        <v>Nintendo</v>
      </c>
      <c r="H2" s="67">
        <f>(VLOOKUP(D:D,'Week 33 Aug 10 - Aug 16 2020'!D:H,5,FALSE))</f>
        <v>43910</v>
      </c>
      <c r="I2" s="12">
        <f>_xlfn.IFNA(SUMIFS('Week 33 Aug 10 - Aug 16 2020'!E:E,'Week 33 Aug 10 - Aug 16 2020'!D:D,'Week 34 Aug 17 - Aug 23 2020'!D:D,'Week 33 Aug 10 - Aug 16 2020'!C:C,'Week 34 Aug 17 - Aug 23 2020'!C:C),"New")</f>
        <v>105983</v>
      </c>
      <c r="J2" s="28">
        <f>IFERROR((E2-I2)/I2,"New")</f>
        <v>-0.59556721360972986</v>
      </c>
    </row>
    <row r="3" spans="1:10" x14ac:dyDescent="0.2">
      <c r="A3" s="25">
        <v>2</v>
      </c>
      <c r="B3" s="18">
        <v>2</v>
      </c>
      <c r="C3" s="18" t="s">
        <v>7</v>
      </c>
      <c r="D3" s="47" t="s">
        <v>45</v>
      </c>
      <c r="E3" s="12">
        <v>30689</v>
      </c>
      <c r="F3" s="12">
        <f>SUMIFS('Week 33 Aug 10 - Aug 16 2020'!F:F,'Week 33 Aug 10 - Aug 16 2020'!D:D,'Week 34 Aug 17 - Aug 23 2020'!D:D,'Week 33 Aug 10 - Aug 16 2020'!C:C,'Week 34 Aug 17 - Aug 23 2020'!C:C)+Table36119101355571214175259616365676971737577798284868890192123[[#This Row],[Week Sales]]</f>
        <v>1366433</v>
      </c>
      <c r="G3" s="18" t="str">
        <f>(VLOOKUP(D:D,'Week 33 Aug 10 - Aug 16 2020'!D:G,4,FALSE))</f>
        <v>Nintendo</v>
      </c>
      <c r="H3" s="67">
        <f>(VLOOKUP(D:D,'Week 33 Aug 10 - Aug 16 2020'!D:H,5,FALSE))</f>
        <v>43756</v>
      </c>
      <c r="I3" s="12">
        <f>_xlfn.IFNA(SUMIFS('Week 33 Aug 10 - Aug 16 2020'!E:E,'Week 33 Aug 10 - Aug 16 2020'!D:D,'Week 34 Aug 17 - Aug 23 2020'!D:D,'Week 33 Aug 10 - Aug 16 2020'!C:C,'Week 34 Aug 17 - Aug 23 2020'!C:C),"New")</f>
        <v>26320</v>
      </c>
      <c r="J3" s="28">
        <f t="shared" ref="J3:J29" si="0">IFERROR((E3-I3)/I3,"New")</f>
        <v>0.16599544072948327</v>
      </c>
    </row>
    <row r="4" spans="1:10" x14ac:dyDescent="0.2">
      <c r="A4" s="25">
        <v>3</v>
      </c>
      <c r="B4" s="18">
        <v>7</v>
      </c>
      <c r="C4" s="18" t="s">
        <v>8</v>
      </c>
      <c r="D4" s="47" t="s">
        <v>11</v>
      </c>
      <c r="E4" s="12">
        <v>17037</v>
      </c>
      <c r="F4" s="12">
        <f>SUMIFS('Week 33 Aug 10 - Aug 16 2020'!F:F,'Week 33 Aug 10 - Aug 16 2020'!D:D,'Week 34 Aug 17 - Aug 23 2020'!D:D,'Week 33 Aug 10 - Aug 16 2020'!C:C,'Week 34 Aug 17 - Aug 23 2020'!C:C)+Table36119101355571214175259616365676971737577798284868890192123[[#This Row],[Week Sales]]</f>
        <v>362354</v>
      </c>
      <c r="G4" s="18" t="str">
        <f>(VLOOKUP(D:D,'Week 33 Aug 10 - Aug 16 2020'!D:G,4,FALSE))</f>
        <v>Sony</v>
      </c>
      <c r="H4" s="67">
        <f>(VLOOKUP(D:D,'Week 33 Aug 10 - Aug 16 2020'!D:H,5,FALSE))</f>
        <v>44029</v>
      </c>
      <c r="I4" s="12">
        <f>_xlfn.IFNA(SUMIFS('Week 33 Aug 10 - Aug 16 2020'!E:E,'Week 33 Aug 10 - Aug 16 2020'!D:D,'Week 34 Aug 17 - Aug 23 2020'!D:D,'Week 33 Aug 10 - Aug 16 2020'!C:C,'Week 34 Aug 17 - Aug 23 2020'!C:C),"New")</f>
        <v>14953</v>
      </c>
      <c r="J4" s="28">
        <f t="shared" si="0"/>
        <v>0.13937002608172272</v>
      </c>
    </row>
    <row r="5" spans="1:10" x14ac:dyDescent="0.2">
      <c r="A5" s="25">
        <v>4</v>
      </c>
      <c r="B5" s="18">
        <v>3</v>
      </c>
      <c r="C5" s="18" t="s">
        <v>7</v>
      </c>
      <c r="D5" s="47" t="s">
        <v>50</v>
      </c>
      <c r="E5" s="12">
        <v>14290</v>
      </c>
      <c r="F5" s="12">
        <f>SUMIFS('Week 33 Aug 10 - Aug 16 2020'!F:F,'Week 33 Aug 10 - Aug 16 2020'!D:D,'Week 34 Aug 17 - Aug 23 2020'!D:D,'Week 33 Aug 10 - Aug 16 2020'!C:C,'Week 34 Aug 17 - Aug 23 2020'!C:C)+Table36119101355571214175259616365676971737577798284868890192123[[#This Row],[Week Sales]]</f>
        <v>336490</v>
      </c>
      <c r="G5" s="18" t="str">
        <f>(VLOOKUP(D:D,'Week 33 Aug 10 - Aug 16 2020'!D:G,4,FALSE))</f>
        <v>Nintendo</v>
      </c>
      <c r="H5" s="67">
        <f>(VLOOKUP(D:D,'Week 33 Aug 10 - Aug 16 2020'!D:H,5,FALSE))</f>
        <v>43987</v>
      </c>
      <c r="I5" s="12">
        <f>_xlfn.IFNA(SUMIFS('Week 33 Aug 10 - Aug 16 2020'!E:E,'Week 33 Aug 10 - Aug 16 2020'!D:D,'Week 34 Aug 17 - Aug 23 2020'!D:D,'Week 33 Aug 10 - Aug 16 2020'!C:C,'Week 34 Aug 17 - Aug 23 2020'!C:C),"New")</f>
        <v>25245</v>
      </c>
      <c r="J5" s="28">
        <f t="shared" si="0"/>
        <v>-0.43394731630025746</v>
      </c>
    </row>
    <row r="6" spans="1:10" x14ac:dyDescent="0.2">
      <c r="A6" s="25">
        <v>5</v>
      </c>
      <c r="B6" s="18">
        <v>4</v>
      </c>
      <c r="C6" s="18" t="s">
        <v>7</v>
      </c>
      <c r="D6" s="47" t="s">
        <v>49</v>
      </c>
      <c r="E6" s="12">
        <v>13862</v>
      </c>
      <c r="F6" s="12">
        <f>SUMIFS('Week 33 Aug 10 - Aug 16 2020'!F:F,'Week 33 Aug 10 - Aug 16 2020'!D:D,'Week 34 Aug 17 - Aug 23 2020'!D:D,'Week 33 Aug 10 - Aug 16 2020'!C:C,'Week 34 Aug 17 - Aug 23 2020'!C:C)+Table36119101355571214175259616365676971737577798284868890192123[[#This Row],[Week Sales]]</f>
        <v>3119722</v>
      </c>
      <c r="G6" s="18" t="str">
        <f>(VLOOKUP(D:D,'Week 33 Aug 10 - Aug 16 2020'!D:G,4,FALSE))</f>
        <v>Nintendo</v>
      </c>
      <c r="H6" s="67">
        <f>(VLOOKUP(D:D,'Week 33 Aug 10 - Aug 16 2020'!D:H,5,FALSE))</f>
        <v>42853</v>
      </c>
      <c r="I6" s="12">
        <f>_xlfn.IFNA(SUMIFS('Week 33 Aug 10 - Aug 16 2020'!E:E,'Week 33 Aug 10 - Aug 16 2020'!D:D,'Week 34 Aug 17 - Aug 23 2020'!D:D,'Week 33 Aug 10 - Aug 16 2020'!C:C,'Week 34 Aug 17 - Aug 23 2020'!C:C),"New")</f>
        <v>25032</v>
      </c>
      <c r="J6" s="28">
        <f t="shared" si="0"/>
        <v>-0.44622882710131034</v>
      </c>
    </row>
    <row r="7" spans="1:10" x14ac:dyDescent="0.2">
      <c r="A7" s="25">
        <v>6</v>
      </c>
      <c r="B7" s="18">
        <v>6</v>
      </c>
      <c r="C7" s="18" t="s">
        <v>7</v>
      </c>
      <c r="D7" s="47" t="s">
        <v>14</v>
      </c>
      <c r="E7" s="12">
        <v>9522</v>
      </c>
      <c r="F7" s="12">
        <f>SUMIFS('Week 33 Aug 10 - Aug 16 2020'!F:F,'Week 33 Aug 10 - Aug 16 2020'!D:D,'Week 34 Aug 17 - Aug 23 2020'!D:D,'Week 33 Aug 10 - Aug 16 2020'!C:C,'Week 34 Aug 17 - Aug 23 2020'!C:C)+Table36119101355571214175259616365676971737577798284868890192123[[#This Row],[Week Sales]]</f>
        <v>200447</v>
      </c>
      <c r="G7" s="18" t="str">
        <f>(VLOOKUP(D:D,'Week 33 Aug 10 - Aug 16 2020'!D:G,4,FALSE))</f>
        <v>Konami</v>
      </c>
      <c r="H7" s="67">
        <f>(VLOOKUP(D:D,'Week 33 Aug 10 - Aug 16 2020'!D:H,5,FALSE))</f>
        <v>44021</v>
      </c>
      <c r="I7" s="12">
        <f>_xlfn.IFNA(SUMIFS('Week 33 Aug 10 - Aug 16 2020'!E:E,'Week 33 Aug 10 - Aug 16 2020'!D:D,'Week 34 Aug 17 - Aug 23 2020'!D:D,'Week 33 Aug 10 - Aug 16 2020'!C:C,'Week 34 Aug 17 - Aug 23 2020'!C:C),"New")</f>
        <v>16444</v>
      </c>
      <c r="J7" s="28">
        <f t="shared" si="0"/>
        <v>-0.42094380929214303</v>
      </c>
    </row>
    <row r="8" spans="1:10" x14ac:dyDescent="0.2">
      <c r="A8" s="25">
        <v>7</v>
      </c>
      <c r="B8" s="18">
        <v>5</v>
      </c>
      <c r="C8" s="18" t="s">
        <v>7</v>
      </c>
      <c r="D8" s="47" t="s">
        <v>15</v>
      </c>
      <c r="E8" s="12">
        <v>9384</v>
      </c>
      <c r="F8" s="12">
        <f>SUMIFS('Week 33 Aug 10 - Aug 16 2020'!F:F,'Week 33 Aug 10 - Aug 16 2020'!D:D,'Week 34 Aug 17 - Aug 23 2020'!D:D,'Week 33 Aug 10 - Aug 16 2020'!C:C,'Week 34 Aug 17 - Aug 23 2020'!C:C)+Table36119101355571214175259616365676971737577798284868890192123[[#This Row],[Week Sales]]</f>
        <v>231959</v>
      </c>
      <c r="G8" s="18" t="str">
        <f>(VLOOKUP(D:D,'Week 33 Aug 10 - Aug 16 2020'!D:G,4,FALSE))</f>
        <v>Nintendo</v>
      </c>
      <c r="H8" s="67">
        <f>(VLOOKUP(D:D,'Week 33 Aug 10 - Aug 16 2020'!D:H,5,FALSE))</f>
        <v>44029</v>
      </c>
      <c r="I8" s="12">
        <f>_xlfn.IFNA(SUMIFS('Week 33 Aug 10 - Aug 16 2020'!E:E,'Week 33 Aug 10 - Aug 16 2020'!D:D,'Week 34 Aug 17 - Aug 23 2020'!D:D,'Week 33 Aug 10 - Aug 16 2020'!C:C,'Week 34 Aug 17 - Aug 23 2020'!C:C),"New")</f>
        <v>20978</v>
      </c>
      <c r="J8" s="28">
        <f t="shared" si="0"/>
        <v>-0.55267423014586714</v>
      </c>
    </row>
    <row r="9" spans="1:10" x14ac:dyDescent="0.2">
      <c r="A9" s="25">
        <v>8</v>
      </c>
      <c r="B9" s="18">
        <v>9</v>
      </c>
      <c r="C9" s="18" t="s">
        <v>7</v>
      </c>
      <c r="D9" s="47" t="s">
        <v>62</v>
      </c>
      <c r="E9" s="12">
        <v>8016</v>
      </c>
      <c r="F9" s="12">
        <f>SUMIFS('Week 33 Aug 10 - Aug 16 2020'!F:F,'Week 33 Aug 10 - Aug 16 2020'!D:D,'Week 34 Aug 17 - Aug 23 2020'!D:D,'Week 33 Aug 10 - Aug 16 2020'!C:C,'Week 34 Aug 17 - Aug 23 2020'!C:C)+Table36119101355571214175259616365676971737577798284868890192123[[#This Row],[Week Sales]]</f>
        <v>3711061</v>
      </c>
      <c r="G9" s="18" t="str">
        <f>(VLOOKUP(D:D,'Week 33 Aug 10 - Aug 16 2020'!D:G,4,FALSE))</f>
        <v>The Pokemon Company</v>
      </c>
      <c r="H9" s="67">
        <f>(VLOOKUP(D:D,'Week 33 Aug 10 - Aug 16 2020'!D:H,5,FALSE))</f>
        <v>43784</v>
      </c>
      <c r="I9" s="12">
        <f>_xlfn.IFNA(SUMIFS('Week 33 Aug 10 - Aug 16 2020'!E:E,'Week 33 Aug 10 - Aug 16 2020'!D:D,'Week 34 Aug 17 - Aug 23 2020'!D:D,'Week 33 Aug 10 - Aug 16 2020'!C:C,'Week 34 Aug 17 - Aug 23 2020'!C:C),"New")</f>
        <v>12603</v>
      </c>
      <c r="J9" s="28">
        <f t="shared" si="0"/>
        <v>-0.36396096167579151</v>
      </c>
    </row>
    <row r="10" spans="1:10" x14ac:dyDescent="0.2">
      <c r="A10" s="26">
        <v>9</v>
      </c>
      <c r="B10" s="18">
        <v>11</v>
      </c>
      <c r="C10" s="18" t="s">
        <v>7</v>
      </c>
      <c r="D10" s="47" t="s">
        <v>10</v>
      </c>
      <c r="E10" s="12">
        <v>7459</v>
      </c>
      <c r="F10" s="12">
        <f>SUMIFS('Week 33 Aug 10 - Aug 16 2020'!F:F,'Week 33 Aug 10 - Aug 16 2020'!D:D,'Week 34 Aug 17 - Aug 23 2020'!D:D,'Week 33 Aug 10 - Aug 16 2020'!C:C,'Week 34 Aug 17 - Aug 23 2020'!C:C)+Table36119101355571214175259616365676971737577798284868890192123[[#This Row],[Week Sales]]</f>
        <v>3537933</v>
      </c>
      <c r="G10" s="18" t="str">
        <f>(VLOOKUP(D:D,'Week 33 Aug 10 - Aug 16 2020'!D:G,4,FALSE))</f>
        <v>Nintendo</v>
      </c>
      <c r="H10" s="67">
        <f>(VLOOKUP(D:D,'Week 33 Aug 10 - Aug 16 2020'!D:H,5,FALSE))</f>
        <v>42937</v>
      </c>
      <c r="I10" s="12">
        <f>_xlfn.IFNA(SUMIFS('Week 33 Aug 10 - Aug 16 2020'!E:E,'Week 33 Aug 10 - Aug 16 2020'!D:D,'Week 34 Aug 17 - Aug 23 2020'!D:D,'Week 33 Aug 10 - Aug 16 2020'!C:C,'Week 34 Aug 17 - Aug 23 2020'!C:C),"New")</f>
        <v>11416</v>
      </c>
      <c r="J10" s="28">
        <f t="shared" si="0"/>
        <v>-0.34661878065872459</v>
      </c>
    </row>
    <row r="11" spans="1:10" x14ac:dyDescent="0.2">
      <c r="A11" s="26">
        <v>10</v>
      </c>
      <c r="B11" s="18">
        <v>8</v>
      </c>
      <c r="C11" s="18" t="s">
        <v>7</v>
      </c>
      <c r="D11" s="47" t="s">
        <v>52</v>
      </c>
      <c r="E11" s="12">
        <v>7230</v>
      </c>
      <c r="F11" s="12">
        <f>SUMIFS('Week 33 Aug 10 - Aug 16 2020'!F:F,'Week 33 Aug 10 - Aug 16 2020'!D:D,'Week 34 Aug 17 - Aug 23 2020'!D:D,'Week 33 Aug 10 - Aug 16 2020'!C:C,'Week 34 Aug 17 - Aug 23 2020'!C:C)+Table36119101355571214175259616365676971737577798284868890192123[[#This Row],[Week Sales]]</f>
        <v>3803838</v>
      </c>
      <c r="G11" s="18" t="str">
        <f>(VLOOKUP(D:D,'Week 33 Aug 10 - Aug 16 2020'!D:G,4,FALSE))</f>
        <v>Nintendo</v>
      </c>
      <c r="H11" s="67">
        <f>(VLOOKUP(D:D,'Week 33 Aug 10 - Aug 16 2020'!D:H,5,FALSE))</f>
        <v>43441</v>
      </c>
      <c r="I11" s="12">
        <f>_xlfn.IFNA(SUMIFS('Week 33 Aug 10 - Aug 16 2020'!E:E,'Week 33 Aug 10 - Aug 16 2020'!D:D,'Week 34 Aug 17 - Aug 23 2020'!D:D,'Week 33 Aug 10 - Aug 16 2020'!C:C,'Week 34 Aug 17 - Aug 23 2020'!C:C),"New")</f>
        <v>12673</v>
      </c>
      <c r="J11" s="28">
        <f t="shared" si="0"/>
        <v>-0.42949577842657616</v>
      </c>
    </row>
    <row r="12" spans="1:10" x14ac:dyDescent="0.2">
      <c r="A12" s="26">
        <v>11</v>
      </c>
      <c r="B12" s="18">
        <v>12</v>
      </c>
      <c r="C12" s="18" t="s">
        <v>7</v>
      </c>
      <c r="D12" s="47" t="s">
        <v>12</v>
      </c>
      <c r="E12" s="12">
        <v>6404</v>
      </c>
      <c r="F12" s="12">
        <f>SUMIFS('Week 33 Aug 10 - Aug 16 2020'!F:F,'Week 33 Aug 10 - Aug 16 2020'!D:D,'Week 34 Aug 17 - Aug 23 2020'!D:D,'Week 33 Aug 10 - Aug 16 2020'!C:C,'Week 34 Aug 17 - Aug 23 2020'!C:C)+Table36119101355571214175259616365676971737577798284868890192123[[#This Row],[Week Sales]]</f>
        <v>1482444</v>
      </c>
      <c r="G12" s="18" t="str">
        <f>(VLOOKUP(D:D,'Week 33 Aug 10 - Aug 16 2020'!D:G,4,FALSE))</f>
        <v>Microsoft</v>
      </c>
      <c r="H12" s="67">
        <f>(VLOOKUP(D:D,'Week 33 Aug 10 - Aug 16 2020'!D:H,5,FALSE))</f>
        <v>43272</v>
      </c>
      <c r="I12" s="12">
        <f>_xlfn.IFNA(SUMIFS('Week 33 Aug 10 - Aug 16 2020'!E:E,'Week 33 Aug 10 - Aug 16 2020'!D:D,'Week 34 Aug 17 - Aug 23 2020'!D:D,'Week 33 Aug 10 - Aug 16 2020'!C:C,'Week 34 Aug 17 - Aug 23 2020'!C:C),"New")</f>
        <v>10245</v>
      </c>
      <c r="J12" s="28">
        <f t="shared" si="0"/>
        <v>-0.37491459248413861</v>
      </c>
    </row>
    <row r="13" spans="1:10" x14ac:dyDescent="0.2">
      <c r="A13" s="26">
        <v>12</v>
      </c>
      <c r="B13" s="18">
        <v>10</v>
      </c>
      <c r="C13" s="18" t="s">
        <v>7</v>
      </c>
      <c r="D13" s="47" t="s">
        <v>13</v>
      </c>
      <c r="E13" s="12">
        <v>5820</v>
      </c>
      <c r="F13" s="12">
        <f>SUMIFS('Week 33 Aug 10 - Aug 16 2020'!F:F,'Week 33 Aug 10 - Aug 16 2020'!D:D,'Week 34 Aug 17 - Aug 23 2020'!D:D,'Week 33 Aug 10 - Aug 16 2020'!C:C,'Week 34 Aug 17 - Aug 23 2020'!C:C)+Table36119101355571214175259616365676971737577798284868890192123[[#This Row],[Week Sales]]</f>
        <v>1532953</v>
      </c>
      <c r="G13" s="18" t="str">
        <f>(VLOOKUP(D:D,'Week 33 Aug 10 - Aug 16 2020'!D:G,4,FALSE))</f>
        <v>Nintendo</v>
      </c>
      <c r="H13" s="67">
        <f>(VLOOKUP(D:D,'Week 33 Aug 10 - Aug 16 2020'!D:H,5,FALSE))</f>
        <v>43378</v>
      </c>
      <c r="I13" s="12">
        <f>_xlfn.IFNA(SUMIFS('Week 33 Aug 10 - Aug 16 2020'!E:E,'Week 33 Aug 10 - Aug 16 2020'!D:D,'Week 34 Aug 17 - Aug 23 2020'!D:D,'Week 33 Aug 10 - Aug 16 2020'!C:C,'Week 34 Aug 17 - Aug 23 2020'!C:C),"New")</f>
        <v>12293</v>
      </c>
      <c r="J13" s="28">
        <f t="shared" si="0"/>
        <v>-0.52655983079801516</v>
      </c>
    </row>
    <row r="14" spans="1:10" x14ac:dyDescent="0.2">
      <c r="A14" s="26">
        <v>13</v>
      </c>
      <c r="B14" s="18">
        <v>14</v>
      </c>
      <c r="C14" s="18" t="s">
        <v>8</v>
      </c>
      <c r="D14" s="47" t="s">
        <v>14</v>
      </c>
      <c r="E14" s="12">
        <v>5366</v>
      </c>
      <c r="F14" s="12">
        <f>SUMIFS('Week 33 Aug 10 - Aug 16 2020'!F:F,'Week 33 Aug 10 - Aug 16 2020'!D:D,'Week 34 Aug 17 - Aug 23 2020'!D:D,'Week 33 Aug 10 - Aug 16 2020'!C:C,'Week 34 Aug 17 - Aug 23 2020'!C:C)+Table36119101355571214175259616365676971737577798284868890192123[[#This Row],[Week Sales]]</f>
        <v>170534</v>
      </c>
      <c r="G14" s="18" t="str">
        <f>(VLOOKUP(D:D,'Week 33 Aug 10 - Aug 16 2020'!D:G,4,FALSE))</f>
        <v>Konami</v>
      </c>
      <c r="H14" s="67">
        <f>(VLOOKUP(D:D,'Week 33 Aug 10 - Aug 16 2020'!D:H,5,FALSE))</f>
        <v>44021</v>
      </c>
      <c r="I14" s="12">
        <f>_xlfn.IFNA(SUMIFS('Week 33 Aug 10 - Aug 16 2020'!E:E,'Week 33 Aug 10 - Aug 16 2020'!D:D,'Week 34 Aug 17 - Aug 23 2020'!D:D,'Week 33 Aug 10 - Aug 16 2020'!C:C,'Week 34 Aug 17 - Aug 23 2020'!C:C),"New")</f>
        <v>9012</v>
      </c>
      <c r="J14" s="28">
        <f t="shared" si="0"/>
        <v>-0.40457168220150908</v>
      </c>
    </row>
    <row r="15" spans="1:10" x14ac:dyDescent="0.2">
      <c r="A15" s="26">
        <v>14</v>
      </c>
      <c r="B15" s="18">
        <v>13</v>
      </c>
      <c r="C15" s="18" t="s">
        <v>8</v>
      </c>
      <c r="D15" s="86" t="s">
        <v>68</v>
      </c>
      <c r="E15" s="12">
        <v>4233</v>
      </c>
      <c r="F15" s="12">
        <f>SUMIFS('Week 33 Aug 10 - Aug 16 2020'!F:F,'Week 33 Aug 10 - Aug 16 2020'!D:D,'Week 34 Aug 17 - Aug 23 2020'!D:D,'Week 33 Aug 10 - Aug 16 2020'!C:C,'Week 34 Aug 17 - Aug 23 2020'!C:C)+Table36119101355571214175259616365676971737577798284868890192123[[#This Row],[Week Sales]]</f>
        <v>155623</v>
      </c>
      <c r="G15" s="18" t="str">
        <f>(VLOOKUP(D:D,'Week 33 Aug 10 - Aug 16 2020'!D:G,4,FALSE))</f>
        <v>Bandai Namco</v>
      </c>
      <c r="H15" s="67">
        <f>(VLOOKUP(D:D,'Week 33 Aug 10 - Aug 16 2020'!D:H,5,FALSE))</f>
        <v>44042</v>
      </c>
      <c r="I15" s="12">
        <f>_xlfn.IFNA(SUMIFS('Week 33 Aug 10 - Aug 16 2020'!E:E,'Week 33 Aug 10 - Aug 16 2020'!D:D,'Week 34 Aug 17 - Aug 23 2020'!D:D,'Week 33 Aug 10 - Aug 16 2020'!C:C,'Week 34 Aug 17 - Aug 23 2020'!C:C),"New")</f>
        <v>10065</v>
      </c>
      <c r="J15" s="28">
        <f t="shared" si="0"/>
        <v>-0.57943368107302529</v>
      </c>
    </row>
    <row r="16" spans="1:10" x14ac:dyDescent="0.2">
      <c r="A16" s="9">
        <v>15</v>
      </c>
      <c r="B16" s="9" t="s">
        <v>36</v>
      </c>
      <c r="C16" s="9" t="s">
        <v>7</v>
      </c>
      <c r="D16" s="95" t="s">
        <v>296</v>
      </c>
      <c r="E16" s="10">
        <v>3538</v>
      </c>
      <c r="F16" s="10">
        <f>SUMIFS('Week 33 Aug 10 - Aug 16 2020'!F:F,'Week 33 Aug 10 - Aug 16 2020'!D:D,'Week 34 Aug 17 - Aug 23 2020'!D:D,'Week 33 Aug 10 - Aug 16 2020'!C:C,'Week 34 Aug 17 - Aug 23 2020'!C:C)+Table36119101355571214175259616365676971737577798284868890192123[[#This Row],[Week Sales]]</f>
        <v>3538</v>
      </c>
      <c r="G16" s="9" t="s">
        <v>43</v>
      </c>
      <c r="H16" s="14">
        <v>44063</v>
      </c>
      <c r="I16" s="10" t="s">
        <v>36</v>
      </c>
      <c r="J16" s="92" t="str">
        <f t="shared" si="0"/>
        <v>New</v>
      </c>
    </row>
    <row r="17" spans="1:10" x14ac:dyDescent="0.2">
      <c r="A17" s="26">
        <v>16</v>
      </c>
      <c r="B17" s="18">
        <v>18</v>
      </c>
      <c r="C17" s="18" t="s">
        <v>7</v>
      </c>
      <c r="D17" s="47" t="s">
        <v>39</v>
      </c>
      <c r="E17" s="12">
        <v>3498</v>
      </c>
      <c r="F17" s="12">
        <f>SUMIFS('Week 33 Aug 10 - Aug 16 2020'!F:F,'Week 33 Aug 10 - Aug 16 2020'!D:D,'Week 34 Aug 17 - Aug 23 2020'!D:D,'Week 33 Aug 10 - Aug 16 2020'!C:C,'Week 34 Aug 17 - Aug 23 2020'!C:C)+Table36119101355571214175259616365676971737577798284868890192123[[#This Row],[Week Sales]]</f>
        <v>1633487</v>
      </c>
      <c r="G17" s="18" t="str">
        <f>(VLOOKUP(D:D,'Week 33 Aug 10 - Aug 16 2020'!D:G,4,FALSE))</f>
        <v>Nintendo</v>
      </c>
      <c r="H17" s="67">
        <f>(VLOOKUP(D:D,'Week 33 Aug 10 - Aug 16 2020'!D:H,5,FALSE))</f>
        <v>42797</v>
      </c>
      <c r="I17" s="12">
        <f>_xlfn.IFNA(SUMIFS('Week 33 Aug 10 - Aug 16 2020'!E:E,'Week 33 Aug 10 - Aug 16 2020'!D:D,'Week 34 Aug 17 - Aug 23 2020'!D:D,'Week 33 Aug 10 - Aug 16 2020'!C:C,'Week 34 Aug 17 - Aug 23 2020'!C:C),"New")</f>
        <v>5203</v>
      </c>
      <c r="J17" s="28">
        <f t="shared" si="0"/>
        <v>-0.32769556025369978</v>
      </c>
    </row>
    <row r="18" spans="1:10" x14ac:dyDescent="0.2">
      <c r="A18" s="26">
        <v>17</v>
      </c>
      <c r="B18" s="18">
        <v>15</v>
      </c>
      <c r="C18" s="18" t="s">
        <v>7</v>
      </c>
      <c r="D18" s="86" t="s">
        <v>20</v>
      </c>
      <c r="E18" s="12">
        <v>3438</v>
      </c>
      <c r="F18" s="12">
        <f>SUMIFS('Week 33 Aug 10 - Aug 16 2020'!F:F,'Week 33 Aug 10 - Aug 16 2020'!D:D,'Week 34 Aug 17 - Aug 23 2020'!D:D,'Week 33 Aug 10 - Aug 16 2020'!C:C,'Week 34 Aug 17 - Aug 23 2020'!C:C)+Table36119101355571214175259616365676971737577798284868890192123[[#This Row],[Week Sales]]</f>
        <v>480613</v>
      </c>
      <c r="G18" s="18" t="str">
        <f>(VLOOKUP(D:D,'Week 33 Aug 10 - Aug 16 2020'!D:G,4,FALSE))</f>
        <v>Bandai Namco</v>
      </c>
      <c r="H18" s="67">
        <f>(VLOOKUP(D:D,'Week 33 Aug 10 - Aug 16 2020'!D:H,5,FALSE))</f>
        <v>43671</v>
      </c>
      <c r="I18" s="12">
        <f>_xlfn.IFNA(SUMIFS('Week 33 Aug 10 - Aug 16 2020'!E:E,'Week 33 Aug 10 - Aug 16 2020'!D:D,'Week 34 Aug 17 - Aug 23 2020'!D:D,'Week 33 Aug 10 - Aug 16 2020'!C:C,'Week 34 Aug 17 - Aug 23 2020'!C:C),"New")</f>
        <v>7215</v>
      </c>
      <c r="J18" s="28">
        <f t="shared" si="0"/>
        <v>-0.52349272349272347</v>
      </c>
    </row>
    <row r="19" spans="1:10" x14ac:dyDescent="0.2">
      <c r="A19" s="26">
        <v>18</v>
      </c>
      <c r="B19" s="18">
        <v>18</v>
      </c>
      <c r="C19" s="18" t="s">
        <v>7</v>
      </c>
      <c r="D19" s="47" t="s">
        <v>17</v>
      </c>
      <c r="E19" s="12">
        <v>3250</v>
      </c>
      <c r="F19" s="12">
        <f>SUMIFS('Week 33 Aug 10 - Aug 16 2020'!F:F,'Week 33 Aug 10 - Aug 16 2020'!D:D,'Week 34 Aug 17 - Aug 23 2020'!D:D,'Week 33 Aug 10 - Aug 16 2020'!C:C,'Week 34 Aug 17 - Aug 23 2020'!C:C)+Table36119101355571214175259616365676971737577798284868890192123[[#This Row],[Week Sales]]</f>
        <v>886614</v>
      </c>
      <c r="G19" s="18" t="str">
        <f>(VLOOKUP(D:D,'Week 33 Aug 10 - Aug 16 2020'!D:G,4,FALSE))</f>
        <v>Nintendo</v>
      </c>
      <c r="H19" s="67">
        <f>(VLOOKUP(D:D,'Week 33 Aug 10 - Aug 16 2020'!D:H,5,FALSE))</f>
        <v>43476</v>
      </c>
      <c r="I19" s="12">
        <f>_xlfn.IFNA(SUMIFS('Week 33 Aug 10 - Aug 16 2020'!E:E,'Week 33 Aug 10 - Aug 16 2020'!D:D,'Week 34 Aug 17 - Aug 23 2020'!D:D,'Week 33 Aug 10 - Aug 16 2020'!C:C,'Week 34 Aug 17 - Aug 23 2020'!C:C),"New")</f>
        <v>6262</v>
      </c>
      <c r="J19" s="28">
        <f t="shared" si="0"/>
        <v>-0.48099648674544876</v>
      </c>
    </row>
    <row r="20" spans="1:10" x14ac:dyDescent="0.2">
      <c r="A20" s="26">
        <v>19</v>
      </c>
      <c r="B20" s="18">
        <v>17</v>
      </c>
      <c r="C20" s="18" t="s">
        <v>7</v>
      </c>
      <c r="D20" s="47" t="s">
        <v>16</v>
      </c>
      <c r="E20" s="12">
        <v>3061</v>
      </c>
      <c r="F20" s="12">
        <f>SUMIFS('Week 33 Aug 10 - Aug 16 2020'!F:F,'Week 33 Aug 10 - Aug 16 2020'!D:D,'Week 34 Aug 17 - Aug 23 2020'!D:D,'Week 33 Aug 10 - Aug 16 2020'!C:C,'Week 34 Aug 17 - Aug 23 2020'!C:C)+Table36119101355571214175259616365676971737577798284868890192123[[#This Row],[Week Sales]]</f>
        <v>282487</v>
      </c>
      <c r="G20" s="18" t="str">
        <f>(VLOOKUP(D:D,'Week 33 Aug 10 - Aug 16 2020'!D:G,4,FALSE))</f>
        <v>Nintendo</v>
      </c>
      <c r="H20" s="67">
        <f>(VLOOKUP(D:D,'Week 33 Aug 10 - Aug 16 2020'!D:H,5,FALSE))</f>
        <v>43826</v>
      </c>
      <c r="I20" s="12">
        <f>_xlfn.IFNA(SUMIFS('Week 33 Aug 10 - Aug 16 2020'!E:E,'Week 33 Aug 10 - Aug 16 2020'!D:D,'Week 34 Aug 17 - Aug 23 2020'!D:D,'Week 33 Aug 10 - Aug 16 2020'!C:C,'Week 34 Aug 17 - Aug 23 2020'!C:C),"New")</f>
        <v>5206</v>
      </c>
      <c r="J20" s="28">
        <f t="shared" si="0"/>
        <v>-0.41202458701498273</v>
      </c>
    </row>
    <row r="21" spans="1:10" x14ac:dyDescent="0.2">
      <c r="A21" s="9">
        <v>20</v>
      </c>
      <c r="B21" s="9" t="s">
        <v>36</v>
      </c>
      <c r="C21" s="9" t="s">
        <v>8</v>
      </c>
      <c r="D21" s="95" t="s">
        <v>297</v>
      </c>
      <c r="E21" s="10">
        <v>3046</v>
      </c>
      <c r="F21" s="10">
        <f>SUMIFS('Week 33 Aug 10 - Aug 16 2020'!F:F,'Week 33 Aug 10 - Aug 16 2020'!D:D,'Week 34 Aug 17 - Aug 23 2020'!D:D,'Week 33 Aug 10 - Aug 16 2020'!C:C,'Week 34 Aug 17 - Aug 23 2020'!C:C)+Table36119101355571214175259616365676971737577798284868890192123[[#This Row],[Week Sales]]</f>
        <v>3046</v>
      </c>
      <c r="G21" s="9" t="s">
        <v>130</v>
      </c>
      <c r="H21" s="14">
        <v>44063</v>
      </c>
      <c r="I21" s="10" t="s">
        <v>36</v>
      </c>
      <c r="J21" s="92" t="str">
        <f t="shared" si="0"/>
        <v>New</v>
      </c>
    </row>
    <row r="22" spans="1:10" x14ac:dyDescent="0.2">
      <c r="A22" s="26">
        <v>21</v>
      </c>
      <c r="B22" s="18">
        <v>19</v>
      </c>
      <c r="C22" s="18" t="s">
        <v>7</v>
      </c>
      <c r="D22" s="47" t="s">
        <v>19</v>
      </c>
      <c r="E22" s="12">
        <v>2846</v>
      </c>
      <c r="F22" s="12">
        <f>SUMIFS('Week 33 Aug 10 - Aug 16 2020'!F:F,'Week 33 Aug 10 - Aug 16 2020'!D:D,'Week 34 Aug 17 - Aug 23 2020'!D:D,'Week 33 Aug 10 - Aug 16 2020'!C:C,'Week 34 Aug 17 - Aug 23 2020'!C:C)+Table36119101355571214175259616365676971737577798284868890192123[[#This Row],[Week Sales]]</f>
        <v>956129</v>
      </c>
      <c r="G22" s="18" t="str">
        <f>(VLOOKUP(D:D,'Week 33 Aug 10 - Aug 16 2020'!D:G,4,FALSE))</f>
        <v>Nintendo</v>
      </c>
      <c r="H22" s="67">
        <f>(VLOOKUP(D:D,'Week 33 Aug 10 - Aug 16 2020'!D:H,5,FALSE))</f>
        <v>43644</v>
      </c>
      <c r="I22" s="12">
        <f>_xlfn.IFNA(SUMIFS('Week 33 Aug 10 - Aug 16 2020'!E:E,'Week 33 Aug 10 - Aug 16 2020'!D:D,'Week 34 Aug 17 - Aug 23 2020'!D:D,'Week 33 Aug 10 - Aug 16 2020'!C:C,'Week 34 Aug 17 - Aug 23 2020'!C:C),"New")</f>
        <v>4974</v>
      </c>
      <c r="J22" s="28">
        <f t="shared" si="0"/>
        <v>-0.42782468837957377</v>
      </c>
    </row>
    <row r="23" spans="1:10" x14ac:dyDescent="0.2">
      <c r="A23" s="26">
        <v>22</v>
      </c>
      <c r="B23" s="18">
        <v>21</v>
      </c>
      <c r="C23" s="18" t="s">
        <v>7</v>
      </c>
      <c r="D23" s="47" t="s">
        <v>25</v>
      </c>
      <c r="E23" s="12">
        <v>2656</v>
      </c>
      <c r="F23" s="12">
        <f>SUMIFS('Week 33 Aug 10 - Aug 16 2020'!F:F,'Week 33 Aug 10 - Aug 16 2020'!D:D,'Week 34 Aug 17 - Aug 23 2020'!D:D,'Week 33 Aug 10 - Aug 16 2020'!C:C,'Week 34 Aug 17 - Aug 23 2020'!C:C)+Table36119101355571214175259616365676971737577798284868890192123[[#This Row],[Week Sales]]</f>
        <v>505835</v>
      </c>
      <c r="G23" s="18" t="str">
        <f>(VLOOKUP(D:D,'Week 33 Aug 10 - Aug 16 2020'!D:G,4,FALSE))</f>
        <v>Bandai Namco</v>
      </c>
      <c r="H23" s="67">
        <f>(VLOOKUP(D:D,'Week 33 Aug 10 - Aug 16 2020'!D:H,5,FALSE))</f>
        <v>43300</v>
      </c>
      <c r="I23" s="12">
        <f>_xlfn.IFNA(SUMIFS('Week 33 Aug 10 - Aug 16 2020'!E:E,'Week 33 Aug 10 - Aug 16 2020'!D:D,'Week 34 Aug 17 - Aug 23 2020'!D:D,'Week 33 Aug 10 - Aug 16 2020'!C:C,'Week 34 Aug 17 - Aug 23 2020'!C:C),"New")</f>
        <v>4886</v>
      </c>
      <c r="J23" s="28">
        <f t="shared" si="0"/>
        <v>-0.45640605812525581</v>
      </c>
    </row>
    <row r="24" spans="1:10" x14ac:dyDescent="0.2">
      <c r="A24" s="26">
        <v>23</v>
      </c>
      <c r="B24" s="18">
        <v>20</v>
      </c>
      <c r="C24" s="18" t="s">
        <v>7</v>
      </c>
      <c r="D24" s="86" t="s">
        <v>56</v>
      </c>
      <c r="E24" s="12">
        <v>2098</v>
      </c>
      <c r="F24" s="12">
        <f>SUMIFS('Week 33 Aug 10 - Aug 16 2020'!F:F,'Week 33 Aug 10 - Aug 16 2020'!D:D,'Week 34 Aug 17 - Aug 23 2020'!D:D,'Week 33 Aug 10 - Aug 16 2020'!C:C,'Week 34 Aug 17 - Aug 23 2020'!C:C)+Table36119101355571214175259616365676971737577798284868890192123[[#This Row],[Week Sales]]</f>
        <v>24337</v>
      </c>
      <c r="G24" s="18" t="str">
        <f>(VLOOKUP(D:D,'Week 33 Aug 10 - Aug 16 2020'!D:G,4,FALSE))</f>
        <v>Teyon Japan</v>
      </c>
      <c r="H24" s="67">
        <f>(VLOOKUP(D:D,'Week 33 Aug 10 - Aug 16 2020'!D:H,5,FALSE))</f>
        <v>44007</v>
      </c>
      <c r="I24" s="12">
        <f>_xlfn.IFNA(SUMIFS('Week 33 Aug 10 - Aug 16 2020'!E:E,'Week 33 Aug 10 - Aug 16 2020'!D:D,'Week 34 Aug 17 - Aug 23 2020'!D:D,'Week 33 Aug 10 - Aug 16 2020'!C:C,'Week 34 Aug 17 - Aug 23 2020'!C:C),"New")</f>
        <v>4915</v>
      </c>
      <c r="J24" s="28">
        <f t="shared" si="0"/>
        <v>-0.57314343845371307</v>
      </c>
    </row>
    <row r="25" spans="1:10" x14ac:dyDescent="0.2">
      <c r="A25" s="26">
        <v>24</v>
      </c>
      <c r="B25" s="18">
        <v>24</v>
      </c>
      <c r="C25" s="18" t="s">
        <v>7</v>
      </c>
      <c r="D25" s="47" t="s">
        <v>79</v>
      </c>
      <c r="E25" s="12">
        <v>2073</v>
      </c>
      <c r="F25" s="12">
        <f>SUMIFS('Week 33 Aug 10 - Aug 16 2020'!F:F,'Week 33 Aug 10 - Aug 16 2020'!D:D,'Week 34 Aug 17 - Aug 23 2020'!D:D,'Week 33 Aug 10 - Aug 16 2020'!C:C,'Week 34 Aug 17 - Aug 23 2020'!C:C)+Table36119101355571214175259616365676971737577798284868890192123[[#This Row],[Week Sales]]</f>
        <v>678086</v>
      </c>
      <c r="G25" s="18" t="str">
        <f>(VLOOKUP(D:D,'Week 33 Aug 10 - Aug 16 2020'!D:G,4,FALSE))</f>
        <v>Nintendo</v>
      </c>
      <c r="H25" s="67">
        <f>(VLOOKUP(D:D,'Week 33 Aug 10 - Aug 16 2020'!D:H,5,FALSE))</f>
        <v>43769</v>
      </c>
      <c r="I25" s="12">
        <f>_xlfn.IFNA(SUMIFS('Week 33 Aug 10 - Aug 16 2020'!E:E,'Week 33 Aug 10 - Aug 16 2020'!D:D,'Week 34 Aug 17 - Aug 23 2020'!D:D,'Week 33 Aug 10 - Aug 16 2020'!C:C,'Week 34 Aug 17 - Aug 23 2020'!C:C),"New")</f>
        <v>3606</v>
      </c>
      <c r="J25" s="28">
        <f t="shared" si="0"/>
        <v>-0.42512479201331116</v>
      </c>
    </row>
    <row r="26" spans="1:10" x14ac:dyDescent="0.2">
      <c r="A26" s="26">
        <v>25</v>
      </c>
      <c r="B26" s="18">
        <v>23</v>
      </c>
      <c r="C26" s="18" t="s">
        <v>7</v>
      </c>
      <c r="D26" s="47" t="s">
        <v>283</v>
      </c>
      <c r="E26" s="12">
        <v>1889</v>
      </c>
      <c r="F26" s="12">
        <f>SUMIFS('Week 33 Aug 10 - Aug 16 2020'!F:F,'Week 33 Aug 10 - Aug 16 2020'!D:D,'Week 34 Aug 17 - Aug 23 2020'!D:D,'Week 33 Aug 10 - Aug 16 2020'!C:C,'Week 34 Aug 17 - Aug 23 2020'!C:C)+Table36119101355571214175259616365676971737577798284868890192123[[#This Row],[Week Sales]]</f>
        <v>23753</v>
      </c>
      <c r="G26" s="18" t="str">
        <f>(VLOOKUP(D:D,'Week 33 Aug 10 - Aug 16 2020'!D:G,4,FALSE))</f>
        <v>GungHo Online Entertainment</v>
      </c>
      <c r="H26" s="67">
        <f>(VLOOKUP(D:D,'Week 33 Aug 10 - Aug 16 2020'!D:H,5,FALSE))</f>
        <v>44034</v>
      </c>
      <c r="I26" s="12">
        <f>_xlfn.IFNA(SUMIFS('Week 33 Aug 10 - Aug 16 2020'!E:E,'Week 33 Aug 10 - Aug 16 2020'!D:D,'Week 34 Aug 17 - Aug 23 2020'!D:D,'Week 33 Aug 10 - Aug 16 2020'!C:C,'Week 34 Aug 17 - Aug 23 2020'!C:C),"New")</f>
        <v>3686</v>
      </c>
      <c r="J26" s="28">
        <f t="shared" si="0"/>
        <v>-0.48752034725990234</v>
      </c>
    </row>
    <row r="27" spans="1:10" x14ac:dyDescent="0.2">
      <c r="A27" s="30">
        <v>26</v>
      </c>
      <c r="B27" s="31" t="s">
        <v>53</v>
      </c>
      <c r="C27" s="31" t="s">
        <v>7</v>
      </c>
      <c r="D27" s="91" t="s">
        <v>228</v>
      </c>
      <c r="E27" s="33">
        <v>1540</v>
      </c>
      <c r="F27" s="33">
        <v>129142</v>
      </c>
      <c r="G27" s="31" t="str">
        <f>(VLOOKUP(D:D,'Week 24 June 8 - June 14 2020'!D:G,4,FALSE))</f>
        <v>Imagineer</v>
      </c>
      <c r="H27" s="93">
        <f>(VLOOKUP(D:D,'Week 24 June 8 - June 14 2020'!D:H,5,FALSE))</f>
        <v>43454</v>
      </c>
      <c r="I27" s="33"/>
      <c r="J27" s="97"/>
    </row>
    <row r="28" spans="1:10" x14ac:dyDescent="0.2">
      <c r="A28" s="30">
        <v>27</v>
      </c>
      <c r="B28" s="31" t="s">
        <v>53</v>
      </c>
      <c r="C28" s="31" t="s">
        <v>7</v>
      </c>
      <c r="D28" s="91" t="s">
        <v>93</v>
      </c>
      <c r="E28" s="33">
        <v>1449</v>
      </c>
      <c r="F28" s="33">
        <v>1742784</v>
      </c>
      <c r="G28" s="31" t="str">
        <f>(VLOOKUP(D:D,'Week 12 Mar 16 - Mar 22 2020'!D:G,4,FALSE))</f>
        <v>The Pokemon Company</v>
      </c>
      <c r="H28" s="93">
        <f>(VLOOKUP(D:D,'Week 12 Mar 16 - Mar 22 2020'!D:H,5,FALSE))</f>
        <v>43420</v>
      </c>
      <c r="I28" s="33"/>
      <c r="J28" s="97"/>
    </row>
    <row r="29" spans="1:10" x14ac:dyDescent="0.2">
      <c r="A29" s="26">
        <v>28</v>
      </c>
      <c r="B29" s="18">
        <v>27</v>
      </c>
      <c r="C29" s="18" t="s">
        <v>7</v>
      </c>
      <c r="D29" s="86" t="s">
        <v>83</v>
      </c>
      <c r="E29" s="12">
        <v>1413</v>
      </c>
      <c r="F29" s="12">
        <f>SUMIFS('Week 33 Aug 10 - Aug 16 2020'!F:F,'Week 33 Aug 10 - Aug 16 2020'!D:D,'Week 34 Aug 17 - Aug 23 2020'!D:D,'Week 33 Aug 10 - Aug 16 2020'!C:C,'Week 34 Aug 17 - Aug 23 2020'!C:C)+Table36119101355571214175259616365676971737577798284868890192123[[#This Row],[Week Sales]]</f>
        <v>545836</v>
      </c>
      <c r="G29" s="18" t="str">
        <f>(VLOOKUP(D:D,'Week 33 Aug 10 - Aug 16 2020'!D:G,4,FALSE))</f>
        <v>Square Enix</v>
      </c>
      <c r="H29" s="67">
        <f>(VLOOKUP(D:D,'Week 33 Aug 10 - Aug 16 2020'!D:H,5,FALSE))</f>
        <v>43735</v>
      </c>
      <c r="I29" s="12">
        <f>_xlfn.IFNA(SUMIFS('Week 33 Aug 10 - Aug 16 2020'!E:E,'Week 33 Aug 10 - Aug 16 2020'!D:D,'Week 34 Aug 17 - Aug 23 2020'!D:D,'Week 33 Aug 10 - Aug 16 2020'!C:C,'Week 34 Aug 17 - Aug 23 2020'!C:C),"New")</f>
        <v>2228</v>
      </c>
      <c r="J29" s="28">
        <f t="shared" si="0"/>
        <v>-0.36579892280071813</v>
      </c>
    </row>
    <row r="30" spans="1:10" x14ac:dyDescent="0.2">
      <c r="A30" s="26">
        <v>29</v>
      </c>
      <c r="B30" s="18">
        <v>26</v>
      </c>
      <c r="C30" s="18" t="s">
        <v>7</v>
      </c>
      <c r="D30" s="86" t="s">
        <v>279</v>
      </c>
      <c r="E30" s="12">
        <v>1381</v>
      </c>
      <c r="F30" s="12">
        <f>SUMIFS('Week 33 Aug 10 - Aug 16 2020'!F:F,'Week 33 Aug 10 - Aug 16 2020'!D:D,'Week 34 Aug 17 - Aug 23 2020'!D:D,'Week 33 Aug 10 - Aug 16 2020'!C:C,'Week 34 Aug 17 - Aug 23 2020'!C:C)+Table36119101355571214175259616365676971737577798284868890192123[[#This Row],[Week Sales]]</f>
        <v>19721</v>
      </c>
      <c r="G30" s="18" t="str">
        <f>(VLOOKUP(D:D,'Week 33 Aug 10 - Aug 16 2020'!D:G,4,FALSE))</f>
        <v>Ponos</v>
      </c>
      <c r="H30" s="67">
        <f>(VLOOKUP(D:D,'Week 33 Aug 10 - Aug 16 2020'!D:H,5,FALSE))</f>
        <v>44028</v>
      </c>
      <c r="I30" s="12">
        <f>_xlfn.IFNA(SUMIFS('Week 33 Aug 10 - Aug 16 2020'!E:E,'Week 33 Aug 10 - Aug 16 2020'!D:D,'Week 34 Aug 17 - Aug 23 2020'!D:D,'Week 33 Aug 10 - Aug 16 2020'!C:C,'Week 34 Aug 17 - Aug 23 2020'!C:C),"New")</f>
        <v>2292</v>
      </c>
      <c r="J30" s="28">
        <f>IFERROR((E30-I30)/I30,"New")</f>
        <v>-0.39746945898778357</v>
      </c>
    </row>
    <row r="31" spans="1:10" x14ac:dyDescent="0.2">
      <c r="A31" s="26">
        <v>30</v>
      </c>
      <c r="B31" s="18">
        <v>30</v>
      </c>
      <c r="C31" s="18" t="s">
        <v>7</v>
      </c>
      <c r="D31" s="69" t="s">
        <v>26</v>
      </c>
      <c r="E31" s="12">
        <v>1267</v>
      </c>
      <c r="F31" s="12">
        <f>SUMIFS('Week 33 Aug 10 - Aug 16 2020'!F:F,'Week 33 Aug 10 - Aug 16 2020'!D:D,'Week 34 Aug 17 - Aug 23 2020'!D:D,'Week 33 Aug 10 - Aug 16 2020'!C:C,'Week 34 Aug 17 - Aug 23 2020'!C:C)+Table36119101355571214175259616365676971737577798284868890192123[[#This Row],[Week Sales]]</f>
        <v>2119498</v>
      </c>
      <c r="G31" s="18" t="str">
        <f>(VLOOKUP(D:D,'Week 33 Aug 10 - Aug 16 2020'!D:G,4,FALSE))</f>
        <v>Nintendo</v>
      </c>
      <c r="H31" s="67">
        <f>(VLOOKUP(D:D,'Week 33 Aug 10 - Aug 16 2020'!D:H,5,FALSE))</f>
        <v>43035</v>
      </c>
      <c r="I31" s="12">
        <f>_xlfn.IFNA(SUMIFS('Week 33 Aug 10 - Aug 16 2020'!E:E,'Week 33 Aug 10 - Aug 16 2020'!D:D,'Week 34 Aug 17 - Aug 23 2020'!D:D,'Week 33 Aug 10 - Aug 16 2020'!C:C,'Week 34 Aug 17 - Aug 23 2020'!C:C),"New")</f>
        <v>2081</v>
      </c>
      <c r="J31" s="28">
        <f>IFERROR((E31-I31)/I31,"New")</f>
        <v>-0.39115809706871696</v>
      </c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220618</v>
      </c>
      <c r="F33" s="2"/>
      <c r="I33" s="2"/>
      <c r="J33" s="19"/>
    </row>
    <row r="34" spans="1:10" x14ac:dyDescent="0.2">
      <c r="A34" s="3"/>
      <c r="B34" s="3"/>
      <c r="D34" s="100" t="s">
        <v>178</v>
      </c>
      <c r="E34" s="101">
        <f>SUM('Week 33 Aug 10 - Aug 16 2020'!E34,'Week 34 Aug 17 - Aug 23 2020'!E33)</f>
        <v>16067725</v>
      </c>
      <c r="F34" s="2"/>
      <c r="I34" s="2"/>
      <c r="J34" s="19"/>
    </row>
    <row r="35" spans="1:10" x14ac:dyDescent="0.2">
      <c r="A35" s="3"/>
      <c r="B35" s="3"/>
      <c r="D35" s="2" t="s">
        <v>60</v>
      </c>
      <c r="E35" s="2">
        <f>AVERAGE(E2:E31)</f>
        <v>7353.9333333333334</v>
      </c>
      <c r="F35" s="2"/>
      <c r="I35" s="2"/>
      <c r="J35" s="19"/>
    </row>
    <row r="36" spans="1:10" x14ac:dyDescent="0.2">
      <c r="A36" s="3"/>
      <c r="B36" s="3"/>
      <c r="D36" s="9" t="s">
        <v>78</v>
      </c>
      <c r="E36" s="10">
        <f>COUNTIF(B:B,"New")</f>
        <v>2</v>
      </c>
      <c r="F36" s="2"/>
      <c r="I36" s="2"/>
      <c r="J36" s="19"/>
    </row>
    <row r="37" spans="1:10" x14ac:dyDescent="0.2">
      <c r="A37" s="3"/>
      <c r="B37" s="3"/>
      <c r="E37" s="2"/>
      <c r="F37" s="2"/>
      <c r="I37" s="2"/>
      <c r="J37" s="19"/>
    </row>
    <row r="38" spans="1:10" x14ac:dyDescent="0.2">
      <c r="A38" s="3"/>
      <c r="B38" s="3"/>
      <c r="D38" t="s">
        <v>66</v>
      </c>
      <c r="E38" s="2"/>
      <c r="F38" s="2"/>
      <c r="I38" s="2"/>
      <c r="J38" s="19"/>
    </row>
    <row r="39" spans="1:10" x14ac:dyDescent="0.2">
      <c r="A39" s="3"/>
      <c r="B39" s="3"/>
      <c r="D39" s="8" t="s">
        <v>67</v>
      </c>
      <c r="E39" s="2"/>
      <c r="F39" s="2"/>
      <c r="I39" s="2"/>
      <c r="J39" s="19"/>
    </row>
    <row r="40" spans="1:10" x14ac:dyDescent="0.2">
      <c r="A40" s="3"/>
      <c r="B40" s="3"/>
      <c r="D40" s="8" t="s">
        <v>65</v>
      </c>
      <c r="E40" s="2"/>
      <c r="F40" s="2"/>
      <c r="I40" s="2"/>
      <c r="J40" s="19"/>
    </row>
    <row r="41" spans="1:10" x14ac:dyDescent="0.2">
      <c r="D41" s="8" t="s">
        <v>71</v>
      </c>
    </row>
  </sheetData>
  <hyperlinks>
    <hyperlink ref="D41" r:id="rId1" xr:uid="{0B8521DE-7D5E-A84F-8C1C-33EBA4566F7A}"/>
    <hyperlink ref="D40" r:id="rId2" xr:uid="{A1414970-6996-2240-8627-7C9043CA2EE4}"/>
    <hyperlink ref="D39" r:id="rId3" xr:uid="{7C497BAB-A30C-3143-9FD1-35D722BCB42B}"/>
  </hyperlinks>
  <pageMargins left="0.7" right="0.7" top="0.75" bottom="0.75" header="0.3" footer="0.3"/>
  <pageSetup paperSize="9" orientation="portrait" horizontalDpi="0" verticalDpi="0"/>
  <ignoredErrors>
    <ignoredError sqref="F16:I26 G28:I28 G27:I27 F27:F28" calculatedColumn="1"/>
  </ignoredErrors>
  <tableParts count="1">
    <tablePart r:id="rId4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6E76E-C3C9-464F-AF9F-2FA5675E46BE}">
  <dimension ref="A1:J42"/>
  <sheetViews>
    <sheetView workbookViewId="0">
      <selection activeCell="D4" sqref="D4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44" customWidth="1"/>
    <col min="5" max="5" width="10.83203125" style="2"/>
    <col min="6" max="6" width="10.1640625" style="2" bestFit="1" customWidth="1"/>
    <col min="7" max="7" width="20.33203125" bestFit="1" customWidth="1"/>
    <col min="8" max="8" width="12.1640625" style="22" bestFit="1" customWidth="1"/>
    <col min="9" max="9" width="16" bestFit="1" customWidth="1"/>
    <col min="10" max="10" width="16.83203125" bestFit="1" customWidth="1"/>
  </cols>
  <sheetData>
    <row r="1" spans="1:10" x14ac:dyDescent="0.2">
      <c r="A1" t="s">
        <v>0</v>
      </c>
      <c r="B1" t="s">
        <v>35</v>
      </c>
      <c r="C1" t="s">
        <v>1</v>
      </c>
      <c r="D1" t="s">
        <v>2</v>
      </c>
      <c r="E1" s="2" t="s">
        <v>3</v>
      </c>
      <c r="F1" s="2" t="s">
        <v>4</v>
      </c>
      <c r="G1" t="s">
        <v>5</v>
      </c>
      <c r="H1" s="22" t="s">
        <v>6</v>
      </c>
      <c r="I1" t="s">
        <v>64</v>
      </c>
      <c r="J1" t="s">
        <v>63</v>
      </c>
    </row>
    <row r="2" spans="1:10" x14ac:dyDescent="0.2">
      <c r="A2" s="9">
        <v>1</v>
      </c>
      <c r="B2" s="9" t="s">
        <v>36</v>
      </c>
      <c r="C2" s="9" t="s">
        <v>8</v>
      </c>
      <c r="D2" s="9" t="s">
        <v>18</v>
      </c>
      <c r="E2" s="10">
        <v>83680</v>
      </c>
      <c r="F2" s="10">
        <f>SUMIFS('Week 34 Aug 17 - Aug 23 2020'!F:F,'Week 34 Aug 17 - Aug 23 2020'!D:D,'Week 35 Aug 24 - Aug 30 2020'!D:D,'Week 34 Aug 17 - Aug 23 2020'!C:C,'Week 35 Aug 24 - Aug 30 2020'!C:C)+Table15[[#This Row],[Week Sales]]</f>
        <v>83680</v>
      </c>
      <c r="G2" s="9" t="s">
        <v>44</v>
      </c>
      <c r="H2" s="23">
        <v>44070</v>
      </c>
      <c r="I2" s="10" t="s">
        <v>36</v>
      </c>
      <c r="J2" s="92" t="str">
        <f>IFERROR((E2-I2)/I2,"New")</f>
        <v>New</v>
      </c>
    </row>
    <row r="3" spans="1:10" s="18" customFormat="1" x14ac:dyDescent="0.2">
      <c r="A3">
        <v>2</v>
      </c>
      <c r="B3">
        <v>2</v>
      </c>
      <c r="C3" t="s">
        <v>7</v>
      </c>
      <c r="D3" t="s">
        <v>45</v>
      </c>
      <c r="E3" s="2">
        <v>53594</v>
      </c>
      <c r="F3" s="12">
        <f>SUMIFS('Week 34 Aug 17 - Aug 23 2020'!F:F,'Week 34 Aug 17 - Aug 23 2020'!D:D,'Week 35 Aug 24 - Aug 30 2020'!D:D,'Week 34 Aug 17 - Aug 23 2020'!C:C,'Week 35 Aug 24 - Aug 30 2020'!C:C)+Table15[[#This Row],[Week Sales]]</f>
        <v>1420027</v>
      </c>
      <c r="G3" t="s">
        <v>9</v>
      </c>
      <c r="H3" s="22">
        <v>43756</v>
      </c>
      <c r="I3" s="12">
        <f>_xlfn.IFNA(SUMIFS('Week 34 Aug 17 - Aug 23 2020'!E:E,'Week 34 Aug 17 - Aug 23 2020'!D:D,'Week 35 Aug 24 - Aug 30 2020'!D:D,'Week 34 Aug 17 - Aug 23 2020'!C:C,'Week 35 Aug 24 - Aug 30 2020'!C:C),"New")</f>
        <v>30689</v>
      </c>
      <c r="J3" s="28">
        <f t="shared" ref="J3:J31" si="0">IFERROR((E3-I3)/I3,"New")</f>
        <v>0.74635863012805892</v>
      </c>
    </row>
    <row r="4" spans="1:10" x14ac:dyDescent="0.2">
      <c r="A4" s="9">
        <v>3</v>
      </c>
      <c r="B4" s="9" t="s">
        <v>36</v>
      </c>
      <c r="C4" s="9" t="s">
        <v>7</v>
      </c>
      <c r="D4" s="9" t="s">
        <v>23</v>
      </c>
      <c r="E4" s="10">
        <v>48957</v>
      </c>
      <c r="F4" s="10">
        <f>SUMIFS('Week 34 Aug 17 - Aug 23 2020'!F:F,'Week 34 Aug 17 - Aug 23 2020'!D:D,'Week 35 Aug 24 - Aug 30 2020'!D:D,'Week 34 Aug 17 - Aug 23 2020'!C:C,'Week 35 Aug 24 - Aug 30 2020'!C:C)+Table15[[#This Row],[Week Sales]]</f>
        <v>48957</v>
      </c>
      <c r="G4" s="9" t="s">
        <v>27</v>
      </c>
      <c r="H4" s="23">
        <v>44070</v>
      </c>
      <c r="I4" s="10" t="s">
        <v>36</v>
      </c>
      <c r="J4" s="92" t="str">
        <f t="shared" si="0"/>
        <v>New</v>
      </c>
    </row>
    <row r="5" spans="1:10" x14ac:dyDescent="0.2">
      <c r="A5">
        <v>4</v>
      </c>
      <c r="B5">
        <v>1</v>
      </c>
      <c r="C5" t="s">
        <v>7</v>
      </c>
      <c r="D5" t="s">
        <v>46</v>
      </c>
      <c r="E5" s="2">
        <v>34401</v>
      </c>
      <c r="F5" s="12">
        <f>SUMIFS('Week 34 Aug 17 - Aug 23 2020'!F:F,'Week 34 Aug 17 - Aug 23 2020'!D:D,'Week 35 Aug 24 - Aug 30 2020'!D:D,'Week 34 Aug 17 - Aug 23 2020'!C:C,'Week 35 Aug 24 - Aug 30 2020'!C:C)+Table15[[#This Row],[Week Sales]]</f>
        <v>5628462</v>
      </c>
      <c r="G5" t="s">
        <v>9</v>
      </c>
      <c r="H5" s="22">
        <v>43910</v>
      </c>
      <c r="I5" s="12">
        <f>_xlfn.IFNA(SUMIFS('Week 34 Aug 17 - Aug 23 2020'!E:E,'Week 34 Aug 17 - Aug 23 2020'!D:D,'Week 35 Aug 24 - Aug 30 2020'!D:D,'Week 34 Aug 17 - Aug 23 2020'!C:C,'Week 35 Aug 24 - Aug 30 2020'!C:C),"New")</f>
        <v>42863</v>
      </c>
      <c r="J5" s="28">
        <f t="shared" si="0"/>
        <v>-0.19741968597624993</v>
      </c>
    </row>
    <row r="6" spans="1:10" x14ac:dyDescent="0.2">
      <c r="A6" s="9">
        <v>5</v>
      </c>
      <c r="B6" s="9" t="s">
        <v>36</v>
      </c>
      <c r="C6" s="9" t="s">
        <v>8</v>
      </c>
      <c r="D6" s="9" t="s">
        <v>23</v>
      </c>
      <c r="E6" s="10">
        <v>30169</v>
      </c>
      <c r="F6" s="10">
        <f>SUMIFS('Week 34 Aug 17 - Aug 23 2020'!F:F,'Week 34 Aug 17 - Aug 23 2020'!D:D,'Week 35 Aug 24 - Aug 30 2020'!D:D,'Week 34 Aug 17 - Aug 23 2020'!C:C,'Week 35 Aug 24 - Aug 30 2020'!C:C)+Table15[[#This Row],[Week Sales]]</f>
        <v>30169</v>
      </c>
      <c r="G6" s="9" t="s">
        <v>27</v>
      </c>
      <c r="H6" s="23">
        <v>44070</v>
      </c>
      <c r="I6" s="10" t="s">
        <v>36</v>
      </c>
      <c r="J6" s="92" t="str">
        <f t="shared" si="0"/>
        <v>New</v>
      </c>
    </row>
    <row r="7" spans="1:10" x14ac:dyDescent="0.2">
      <c r="A7" s="9">
        <v>6</v>
      </c>
      <c r="B7" s="9" t="s">
        <v>36</v>
      </c>
      <c r="C7" s="9" t="s">
        <v>7</v>
      </c>
      <c r="D7" s="9" t="s">
        <v>69</v>
      </c>
      <c r="E7" s="10">
        <v>16678</v>
      </c>
      <c r="F7" s="10">
        <f>SUMIFS('Week 34 Aug 17 - Aug 23 2020'!F:F,'Week 34 Aug 17 - Aug 23 2020'!D:D,'Week 35 Aug 24 - Aug 30 2020'!D:D,'Week 34 Aug 17 - Aug 23 2020'!C:C,'Week 35 Aug 24 - Aug 30 2020'!C:C)+Table15[[#This Row],[Week Sales]]</f>
        <v>16678</v>
      </c>
      <c r="G7" s="9" t="s">
        <v>34</v>
      </c>
      <c r="H7" s="23">
        <v>44070</v>
      </c>
      <c r="I7" s="10" t="s">
        <v>36</v>
      </c>
      <c r="J7" s="92" t="str">
        <f t="shared" si="0"/>
        <v>New</v>
      </c>
    </row>
    <row r="8" spans="1:10" s="18" customFormat="1" x14ac:dyDescent="0.2">
      <c r="A8" s="9">
        <v>7</v>
      </c>
      <c r="B8" s="9" t="s">
        <v>36</v>
      </c>
      <c r="C8" s="9" t="s">
        <v>7</v>
      </c>
      <c r="D8" s="9" t="s">
        <v>21</v>
      </c>
      <c r="E8" s="10">
        <v>15588</v>
      </c>
      <c r="F8" s="10">
        <f>SUMIFS('Week 34 Aug 17 - Aug 23 2020'!F:F,'Week 34 Aug 17 - Aug 23 2020'!D:D,'Week 35 Aug 24 - Aug 30 2020'!D:D,'Week 34 Aug 17 - Aug 23 2020'!C:C,'Week 35 Aug 24 - Aug 30 2020'!C:C)+Table15[[#This Row],[Week Sales]]</f>
        <v>15588</v>
      </c>
      <c r="G8" s="9" t="s">
        <v>34</v>
      </c>
      <c r="H8" s="23">
        <v>44070</v>
      </c>
      <c r="I8" s="10" t="s">
        <v>36</v>
      </c>
      <c r="J8" s="92" t="str">
        <f t="shared" si="0"/>
        <v>New</v>
      </c>
    </row>
    <row r="9" spans="1:10" x14ac:dyDescent="0.2">
      <c r="A9" s="9">
        <v>8</v>
      </c>
      <c r="B9" s="9" t="s">
        <v>36</v>
      </c>
      <c r="C9" s="9" t="s">
        <v>8</v>
      </c>
      <c r="D9" s="9" t="s">
        <v>69</v>
      </c>
      <c r="E9" s="10">
        <v>13828</v>
      </c>
      <c r="F9" s="10">
        <f>SUMIFS('Week 34 Aug 17 - Aug 23 2020'!F:F,'Week 34 Aug 17 - Aug 23 2020'!D:D,'Week 35 Aug 24 - Aug 30 2020'!D:D,'Week 34 Aug 17 - Aug 23 2020'!C:C,'Week 35 Aug 24 - Aug 30 2020'!C:C)+Table15[[#This Row],[Week Sales]]</f>
        <v>13828</v>
      </c>
      <c r="G9" s="9" t="s">
        <v>34</v>
      </c>
      <c r="H9" s="23">
        <v>44070</v>
      </c>
      <c r="I9" s="10" t="s">
        <v>36</v>
      </c>
      <c r="J9" s="92" t="str">
        <f t="shared" si="0"/>
        <v>New</v>
      </c>
    </row>
    <row r="10" spans="1:10" x14ac:dyDescent="0.2">
      <c r="A10">
        <v>9</v>
      </c>
      <c r="B10">
        <v>3</v>
      </c>
      <c r="C10" t="s">
        <v>8</v>
      </c>
      <c r="D10" t="s">
        <v>11</v>
      </c>
      <c r="E10" s="2">
        <v>13226</v>
      </c>
      <c r="F10" s="12">
        <f>SUMIFS('Week 34 Aug 17 - Aug 23 2020'!F:F,'Week 34 Aug 17 - Aug 23 2020'!D:D,'Week 35 Aug 24 - Aug 30 2020'!D:D,'Week 34 Aug 17 - Aug 23 2020'!C:C,'Week 35 Aug 24 - Aug 30 2020'!C:C)+Table15[[#This Row],[Week Sales]]</f>
        <v>375580</v>
      </c>
      <c r="G10" t="s">
        <v>30</v>
      </c>
      <c r="H10" s="1">
        <v>44029</v>
      </c>
      <c r="I10" s="12">
        <f>_xlfn.IFNA(SUMIFS('Week 34 Aug 17 - Aug 23 2020'!E:E,'Week 34 Aug 17 - Aug 23 2020'!D:D,'Week 35 Aug 24 - Aug 30 2020'!D:D,'Week 34 Aug 17 - Aug 23 2020'!C:C,'Week 35 Aug 24 - Aug 30 2020'!C:C),"New")</f>
        <v>17037</v>
      </c>
      <c r="J10" s="28">
        <f t="shared" si="0"/>
        <v>-0.22368961671655807</v>
      </c>
    </row>
    <row r="11" spans="1:10" x14ac:dyDescent="0.2">
      <c r="A11">
        <v>10</v>
      </c>
      <c r="B11">
        <v>4</v>
      </c>
      <c r="C11" t="s">
        <v>7</v>
      </c>
      <c r="D11" t="s">
        <v>50</v>
      </c>
      <c r="E11" s="2">
        <v>12520</v>
      </c>
      <c r="F11" s="12">
        <f>SUMIFS('Week 34 Aug 17 - Aug 23 2020'!F:F,'Week 34 Aug 17 - Aug 23 2020'!D:D,'Week 35 Aug 24 - Aug 30 2020'!D:D,'Week 34 Aug 17 - Aug 23 2020'!C:C,'Week 35 Aug 24 - Aug 30 2020'!C:C)+Table15[[#This Row],[Week Sales]]</f>
        <v>349010</v>
      </c>
      <c r="G11" t="s">
        <v>9</v>
      </c>
      <c r="H11" s="1">
        <v>43987</v>
      </c>
      <c r="I11" s="12">
        <f>_xlfn.IFNA(SUMIFS('Week 34 Aug 17 - Aug 23 2020'!E:E,'Week 34 Aug 17 - Aug 23 2020'!D:D,'Week 35 Aug 24 - Aug 30 2020'!D:D,'Week 34 Aug 17 - Aug 23 2020'!C:C,'Week 35 Aug 24 - Aug 30 2020'!C:C),"New")</f>
        <v>14290</v>
      </c>
      <c r="J11" s="28">
        <f t="shared" si="0"/>
        <v>-0.12386284114765571</v>
      </c>
    </row>
    <row r="12" spans="1:10" x14ac:dyDescent="0.2">
      <c r="A12">
        <v>11</v>
      </c>
      <c r="B12">
        <v>5</v>
      </c>
      <c r="C12" t="s">
        <v>7</v>
      </c>
      <c r="D12" t="s">
        <v>49</v>
      </c>
      <c r="E12" s="2">
        <v>12136</v>
      </c>
      <c r="F12" s="12">
        <f>SUMIFS('Week 34 Aug 17 - Aug 23 2020'!F:F,'Week 34 Aug 17 - Aug 23 2020'!D:D,'Week 35 Aug 24 - Aug 30 2020'!D:D,'Week 34 Aug 17 - Aug 23 2020'!C:C,'Week 35 Aug 24 - Aug 30 2020'!C:C)+Table15[[#This Row],[Week Sales]]</f>
        <v>3131858</v>
      </c>
      <c r="G12" t="s">
        <v>9</v>
      </c>
      <c r="H12" s="1">
        <v>42853</v>
      </c>
      <c r="I12" s="12">
        <f>_xlfn.IFNA(SUMIFS('Week 34 Aug 17 - Aug 23 2020'!E:E,'Week 34 Aug 17 - Aug 23 2020'!D:D,'Week 35 Aug 24 - Aug 30 2020'!D:D,'Week 34 Aug 17 - Aug 23 2020'!C:C,'Week 35 Aug 24 - Aug 30 2020'!C:C),"New")</f>
        <v>13862</v>
      </c>
      <c r="J12" s="28">
        <f t="shared" si="0"/>
        <v>-0.12451305727889193</v>
      </c>
    </row>
    <row r="13" spans="1:10" x14ac:dyDescent="0.2">
      <c r="A13">
        <v>12</v>
      </c>
      <c r="B13">
        <v>6</v>
      </c>
      <c r="C13" t="s">
        <v>7</v>
      </c>
      <c r="D13" t="s">
        <v>14</v>
      </c>
      <c r="E13" s="2">
        <v>7310</v>
      </c>
      <c r="F13" s="12">
        <f>SUMIFS('Week 34 Aug 17 - Aug 23 2020'!F:F,'Week 34 Aug 17 - Aug 23 2020'!D:D,'Week 35 Aug 24 - Aug 30 2020'!D:D,'Week 34 Aug 17 - Aug 23 2020'!C:C,'Week 35 Aug 24 - Aug 30 2020'!C:C)+Table15[[#This Row],[Week Sales]]</f>
        <v>207757</v>
      </c>
      <c r="G13" t="s">
        <v>32</v>
      </c>
      <c r="H13" s="22">
        <v>42937</v>
      </c>
      <c r="I13" s="12">
        <f>_xlfn.IFNA(SUMIFS('Week 34 Aug 17 - Aug 23 2020'!E:E,'Week 34 Aug 17 - Aug 23 2020'!D:D,'Week 35 Aug 24 - Aug 30 2020'!D:D,'Week 34 Aug 17 - Aug 23 2020'!C:C,'Week 35 Aug 24 - Aug 30 2020'!C:C),"New")</f>
        <v>9522</v>
      </c>
      <c r="J13" s="28">
        <f t="shared" si="0"/>
        <v>-0.23230413778617937</v>
      </c>
    </row>
    <row r="14" spans="1:10" x14ac:dyDescent="0.2">
      <c r="A14">
        <v>13</v>
      </c>
      <c r="B14">
        <v>8</v>
      </c>
      <c r="C14" t="s">
        <v>7</v>
      </c>
      <c r="D14" t="s">
        <v>62</v>
      </c>
      <c r="E14" s="2">
        <v>6936</v>
      </c>
      <c r="F14" s="12">
        <f>SUMIFS('Week 34 Aug 17 - Aug 23 2020'!F:F,'Week 34 Aug 17 - Aug 23 2020'!D:D,'Week 35 Aug 24 - Aug 30 2020'!D:D,'Week 34 Aug 17 - Aug 23 2020'!C:C,'Week 35 Aug 24 - Aug 30 2020'!C:C)+Table15[[#This Row],[Week Sales]]</f>
        <v>3717997</v>
      </c>
      <c r="G14" t="s">
        <v>42</v>
      </c>
      <c r="H14" s="1">
        <v>43784</v>
      </c>
      <c r="I14" s="12">
        <f>_xlfn.IFNA(SUMIFS('Week 34 Aug 17 - Aug 23 2020'!E:E,'Week 34 Aug 17 - Aug 23 2020'!D:D,'Week 35 Aug 24 - Aug 30 2020'!D:D,'Week 34 Aug 17 - Aug 23 2020'!C:C,'Week 35 Aug 24 - Aug 30 2020'!C:C),"New")</f>
        <v>8016</v>
      </c>
      <c r="J14" s="28">
        <f t="shared" si="0"/>
        <v>-0.1347305389221557</v>
      </c>
    </row>
    <row r="15" spans="1:10" x14ac:dyDescent="0.2">
      <c r="A15">
        <v>14</v>
      </c>
      <c r="B15">
        <v>9</v>
      </c>
      <c r="C15" t="s">
        <v>7</v>
      </c>
      <c r="D15" t="s">
        <v>10</v>
      </c>
      <c r="E15" s="2">
        <v>6830</v>
      </c>
      <c r="F15" s="12">
        <f>SUMIFS('Week 34 Aug 17 - Aug 23 2020'!F:F,'Week 34 Aug 17 - Aug 23 2020'!D:D,'Week 35 Aug 24 - Aug 30 2020'!D:D,'Week 34 Aug 17 - Aug 23 2020'!C:C,'Week 35 Aug 24 - Aug 30 2020'!C:C)+Table15[[#This Row],[Week Sales]]</f>
        <v>3544763</v>
      </c>
      <c r="G15" t="s">
        <v>9</v>
      </c>
      <c r="H15" s="1">
        <v>42937</v>
      </c>
      <c r="I15" s="12">
        <f>_xlfn.IFNA(SUMIFS('Week 34 Aug 17 - Aug 23 2020'!E:E,'Week 34 Aug 17 - Aug 23 2020'!D:D,'Week 35 Aug 24 - Aug 30 2020'!D:D,'Week 34 Aug 17 - Aug 23 2020'!C:C,'Week 35 Aug 24 - Aug 30 2020'!C:C),"New")</f>
        <v>7459</v>
      </c>
      <c r="J15" s="28">
        <f t="shared" si="0"/>
        <v>-8.4327657862984309E-2</v>
      </c>
    </row>
    <row r="16" spans="1:10" x14ac:dyDescent="0.2">
      <c r="A16">
        <v>15</v>
      </c>
      <c r="B16">
        <v>7</v>
      </c>
      <c r="C16" t="s">
        <v>7</v>
      </c>
      <c r="D16" t="s">
        <v>15</v>
      </c>
      <c r="E16" s="2">
        <v>6432</v>
      </c>
      <c r="F16" s="12">
        <f>SUMIFS('Week 34 Aug 17 - Aug 23 2020'!F:F,'Week 34 Aug 17 - Aug 23 2020'!D:D,'Week 35 Aug 24 - Aug 30 2020'!D:D,'Week 34 Aug 17 - Aug 23 2020'!C:C,'Week 35 Aug 24 - Aug 30 2020'!C:C)+Table15[[#This Row],[Week Sales]]</f>
        <v>238391</v>
      </c>
      <c r="G16" t="s">
        <v>9</v>
      </c>
      <c r="H16" s="1">
        <v>44029</v>
      </c>
      <c r="I16" s="12">
        <f>_xlfn.IFNA(SUMIFS('Week 34 Aug 17 - Aug 23 2020'!E:E,'Week 34 Aug 17 - Aug 23 2020'!D:D,'Week 35 Aug 24 - Aug 30 2020'!D:D,'Week 34 Aug 17 - Aug 23 2020'!C:C,'Week 35 Aug 24 - Aug 30 2020'!C:C),"New")</f>
        <v>9384</v>
      </c>
      <c r="J16" s="28">
        <f t="shared" si="0"/>
        <v>-0.31457800511508949</v>
      </c>
    </row>
    <row r="17" spans="1:10" x14ac:dyDescent="0.2">
      <c r="A17">
        <v>16</v>
      </c>
      <c r="B17">
        <v>10</v>
      </c>
      <c r="C17" t="s">
        <v>7</v>
      </c>
      <c r="D17" t="s">
        <v>52</v>
      </c>
      <c r="E17" s="2">
        <v>6105</v>
      </c>
      <c r="F17" s="12">
        <f>SUMIFS('Week 34 Aug 17 - Aug 23 2020'!F:F,'Week 34 Aug 17 - Aug 23 2020'!D:D,'Week 35 Aug 24 - Aug 30 2020'!D:D,'Week 34 Aug 17 - Aug 23 2020'!C:C,'Week 35 Aug 24 - Aug 30 2020'!C:C)+Table15[[#This Row],[Week Sales]]</f>
        <v>3809943</v>
      </c>
      <c r="G17" t="s">
        <v>9</v>
      </c>
      <c r="H17" s="1">
        <v>43441</v>
      </c>
      <c r="I17" s="12">
        <f>_xlfn.IFNA(SUMIFS('Week 34 Aug 17 - Aug 23 2020'!E:E,'Week 34 Aug 17 - Aug 23 2020'!D:D,'Week 35 Aug 24 - Aug 30 2020'!D:D,'Week 34 Aug 17 - Aug 23 2020'!C:C,'Week 35 Aug 24 - Aug 30 2020'!C:C),"New")</f>
        <v>7230</v>
      </c>
      <c r="J17" s="28">
        <f t="shared" si="0"/>
        <v>-0.15560165975103735</v>
      </c>
    </row>
    <row r="18" spans="1:10" x14ac:dyDescent="0.2">
      <c r="A18">
        <v>17</v>
      </c>
      <c r="B18">
        <v>11</v>
      </c>
      <c r="C18" t="s">
        <v>7</v>
      </c>
      <c r="D18" t="s">
        <v>12</v>
      </c>
      <c r="E18" s="2">
        <v>5715</v>
      </c>
      <c r="F18" s="12">
        <f>SUMIFS('Week 34 Aug 17 - Aug 23 2020'!F:F,'Week 34 Aug 17 - Aug 23 2020'!D:D,'Week 35 Aug 24 - Aug 30 2020'!D:D,'Week 34 Aug 17 - Aug 23 2020'!C:C,'Week 35 Aug 24 - Aug 30 2020'!C:C)+Table15[[#This Row],[Week Sales]]</f>
        <v>1488159</v>
      </c>
      <c r="G18" t="s">
        <v>28</v>
      </c>
      <c r="H18" s="1">
        <v>43272</v>
      </c>
      <c r="I18" s="12">
        <f>_xlfn.IFNA(SUMIFS('Week 34 Aug 17 - Aug 23 2020'!E:E,'Week 34 Aug 17 - Aug 23 2020'!D:D,'Week 35 Aug 24 - Aug 30 2020'!D:D,'Week 34 Aug 17 - Aug 23 2020'!C:C,'Week 35 Aug 24 - Aug 30 2020'!C:C),"New")</f>
        <v>6404</v>
      </c>
      <c r="J18" s="28">
        <f t="shared" si="0"/>
        <v>-0.10758900687070581</v>
      </c>
    </row>
    <row r="19" spans="1:10" x14ac:dyDescent="0.2">
      <c r="A19">
        <v>18</v>
      </c>
      <c r="B19">
        <v>12</v>
      </c>
      <c r="C19" t="s">
        <v>7</v>
      </c>
      <c r="D19" t="s">
        <v>13</v>
      </c>
      <c r="E19" s="2">
        <v>5193</v>
      </c>
      <c r="F19" s="12">
        <f>SUMIFS('Week 34 Aug 17 - Aug 23 2020'!F:F,'Week 34 Aug 17 - Aug 23 2020'!D:D,'Week 35 Aug 24 - Aug 30 2020'!D:D,'Week 34 Aug 17 - Aug 23 2020'!C:C,'Week 35 Aug 24 - Aug 30 2020'!C:C)+Table15[[#This Row],[Week Sales]]</f>
        <v>1538146</v>
      </c>
      <c r="G19" t="s">
        <v>9</v>
      </c>
      <c r="H19" s="1">
        <v>43378</v>
      </c>
      <c r="I19" s="12">
        <f>_xlfn.IFNA(SUMIFS('Week 34 Aug 17 - Aug 23 2020'!E:E,'Week 34 Aug 17 - Aug 23 2020'!D:D,'Week 35 Aug 24 - Aug 30 2020'!D:D,'Week 34 Aug 17 - Aug 23 2020'!C:C,'Week 35 Aug 24 - Aug 30 2020'!C:C),"New")</f>
        <v>5820</v>
      </c>
      <c r="J19" s="28">
        <f t="shared" si="0"/>
        <v>-0.1077319587628866</v>
      </c>
    </row>
    <row r="20" spans="1:10" x14ac:dyDescent="0.2">
      <c r="A20">
        <v>19</v>
      </c>
      <c r="B20">
        <v>13</v>
      </c>
      <c r="C20" t="s">
        <v>8</v>
      </c>
      <c r="D20" t="s">
        <v>14</v>
      </c>
      <c r="E20" s="2">
        <v>3765</v>
      </c>
      <c r="F20" s="12">
        <f>SUMIFS('Week 34 Aug 17 - Aug 23 2020'!F:F,'Week 34 Aug 17 - Aug 23 2020'!D:D,'Week 35 Aug 24 - Aug 30 2020'!D:D,'Week 34 Aug 17 - Aug 23 2020'!C:C,'Week 35 Aug 24 - Aug 30 2020'!C:C)+Table15[[#This Row],[Week Sales]]</f>
        <v>174299</v>
      </c>
      <c r="G20" t="s">
        <v>32</v>
      </c>
      <c r="H20" s="1">
        <v>44021</v>
      </c>
      <c r="I20" s="12">
        <f>_xlfn.IFNA(SUMIFS('Week 34 Aug 17 - Aug 23 2020'!E:E,'Week 34 Aug 17 - Aug 23 2020'!D:D,'Week 35 Aug 24 - Aug 30 2020'!D:D,'Week 34 Aug 17 - Aug 23 2020'!C:C,'Week 35 Aug 24 - Aug 30 2020'!C:C),"New")</f>
        <v>5366</v>
      </c>
      <c r="J20" s="28">
        <f t="shared" si="0"/>
        <v>-0.29836004472605293</v>
      </c>
    </row>
    <row r="21" spans="1:10" x14ac:dyDescent="0.2">
      <c r="A21">
        <v>20</v>
      </c>
      <c r="B21">
        <v>16</v>
      </c>
      <c r="C21" t="s">
        <v>7</v>
      </c>
      <c r="D21" t="s">
        <v>39</v>
      </c>
      <c r="E21" s="2">
        <v>3567</v>
      </c>
      <c r="F21" s="12">
        <f>SUMIFS('Week 34 Aug 17 - Aug 23 2020'!F:F,'Week 34 Aug 17 - Aug 23 2020'!D:D,'Week 35 Aug 24 - Aug 30 2020'!D:D,'Week 34 Aug 17 - Aug 23 2020'!C:C,'Week 35 Aug 24 - Aug 30 2020'!C:C)+Table15[[#This Row],[Week Sales]]</f>
        <v>1637054</v>
      </c>
      <c r="G21" t="s">
        <v>9</v>
      </c>
      <c r="H21" s="1">
        <v>42797</v>
      </c>
      <c r="I21" s="12">
        <f>_xlfn.IFNA(SUMIFS('Week 34 Aug 17 - Aug 23 2020'!E:E,'Week 34 Aug 17 - Aug 23 2020'!D:D,'Week 35 Aug 24 - Aug 30 2020'!D:D,'Week 34 Aug 17 - Aug 23 2020'!C:C,'Week 35 Aug 24 - Aug 30 2020'!C:C),"New")</f>
        <v>3498</v>
      </c>
      <c r="J21" s="28">
        <f t="shared" si="0"/>
        <v>1.9725557461406518E-2</v>
      </c>
    </row>
    <row r="22" spans="1:10" x14ac:dyDescent="0.2">
      <c r="A22" s="9">
        <v>21</v>
      </c>
      <c r="B22" s="9" t="s">
        <v>36</v>
      </c>
      <c r="C22" s="9" t="s">
        <v>7</v>
      </c>
      <c r="D22" s="9" t="s">
        <v>74</v>
      </c>
      <c r="E22" s="10">
        <v>3189</v>
      </c>
      <c r="F22" s="10">
        <f>SUMIFS('Week 34 Aug 17 - Aug 23 2020'!F:F,'Week 34 Aug 17 - Aug 23 2020'!D:D,'Week 35 Aug 24 - Aug 30 2020'!D:D,'Week 34 Aug 17 - Aug 23 2020'!C:C,'Week 35 Aug 24 - Aug 30 2020'!C:C)+Table15[[#This Row],[Week Sales]]</f>
        <v>3189</v>
      </c>
      <c r="G22" s="9" t="s">
        <v>75</v>
      </c>
      <c r="H22" s="23">
        <v>44070</v>
      </c>
      <c r="I22" s="10" t="s">
        <v>36</v>
      </c>
      <c r="J22" s="92" t="str">
        <f t="shared" si="0"/>
        <v>New</v>
      </c>
    </row>
    <row r="23" spans="1:10" x14ac:dyDescent="0.2">
      <c r="A23">
        <v>22</v>
      </c>
      <c r="B23">
        <v>14</v>
      </c>
      <c r="C23" t="s">
        <v>8</v>
      </c>
      <c r="D23" t="s">
        <v>68</v>
      </c>
      <c r="E23" s="2">
        <v>3091</v>
      </c>
      <c r="F23" s="12">
        <f>SUMIFS('Week 34 Aug 17 - Aug 23 2020'!F:F,'Week 34 Aug 17 - Aug 23 2020'!D:D,'Week 35 Aug 24 - Aug 30 2020'!D:D,'Week 34 Aug 17 - Aug 23 2020'!C:C,'Week 35 Aug 24 - Aug 30 2020'!C:C)+Table15[[#This Row],[Week Sales]]</f>
        <v>158714</v>
      </c>
      <c r="G23" t="s">
        <v>34</v>
      </c>
      <c r="H23" s="1">
        <v>44042</v>
      </c>
      <c r="I23" s="12">
        <f>_xlfn.IFNA(SUMIFS('Week 34 Aug 17 - Aug 23 2020'!E:E,'Week 34 Aug 17 - Aug 23 2020'!D:D,'Week 35 Aug 24 - Aug 30 2020'!D:D,'Week 34 Aug 17 - Aug 23 2020'!C:C,'Week 35 Aug 24 - Aug 30 2020'!C:C),"New")</f>
        <v>4233</v>
      </c>
      <c r="J23" s="28">
        <f t="shared" si="0"/>
        <v>-0.26978502244271202</v>
      </c>
    </row>
    <row r="24" spans="1:10" x14ac:dyDescent="0.2">
      <c r="A24" s="9">
        <v>23</v>
      </c>
      <c r="B24" s="9" t="s">
        <v>36</v>
      </c>
      <c r="C24" s="9" t="s">
        <v>8</v>
      </c>
      <c r="D24" s="9" t="s">
        <v>73</v>
      </c>
      <c r="E24" s="10">
        <v>3090</v>
      </c>
      <c r="F24" s="10">
        <f>SUMIFS('Week 34 Aug 17 - Aug 23 2020'!F:F,'Week 34 Aug 17 - Aug 23 2020'!D:D,'Week 35 Aug 24 - Aug 30 2020'!D:D,'Week 34 Aug 17 - Aug 23 2020'!C:C,'Week 35 Aug 24 - Aug 30 2020'!C:C)+Table15[[#This Row],[Week Sales]]</f>
        <v>3090</v>
      </c>
      <c r="G24" s="9" t="s">
        <v>77</v>
      </c>
      <c r="H24" s="23">
        <v>44070</v>
      </c>
      <c r="I24" s="10" t="s">
        <v>36</v>
      </c>
      <c r="J24" s="92" t="str">
        <f t="shared" si="0"/>
        <v>New</v>
      </c>
    </row>
    <row r="25" spans="1:10" x14ac:dyDescent="0.2">
      <c r="A25">
        <v>24</v>
      </c>
      <c r="B25">
        <v>19</v>
      </c>
      <c r="C25" t="s">
        <v>7</v>
      </c>
      <c r="D25" t="s">
        <v>16</v>
      </c>
      <c r="E25" s="2">
        <v>3054</v>
      </c>
      <c r="F25" s="12">
        <f>SUMIFS('Week 34 Aug 17 - Aug 23 2020'!F:F,'Week 34 Aug 17 - Aug 23 2020'!D:D,'Week 35 Aug 24 - Aug 30 2020'!D:D,'Week 34 Aug 17 - Aug 23 2020'!C:C,'Week 35 Aug 24 - Aug 30 2020'!C:C)+Table15[[#This Row],[Week Sales]]</f>
        <v>285541</v>
      </c>
      <c r="G25" t="s">
        <v>9</v>
      </c>
      <c r="H25" s="1">
        <v>43826</v>
      </c>
      <c r="I25" s="12">
        <f>_xlfn.IFNA(SUMIFS('Week 34 Aug 17 - Aug 23 2020'!E:E,'Week 34 Aug 17 - Aug 23 2020'!D:D,'Week 35 Aug 24 - Aug 30 2020'!D:D,'Week 34 Aug 17 - Aug 23 2020'!C:C,'Week 35 Aug 24 - Aug 30 2020'!C:C),"New")</f>
        <v>3061</v>
      </c>
      <c r="J25" s="28">
        <f t="shared" si="0"/>
        <v>-2.2868343678536427E-3</v>
      </c>
    </row>
    <row r="26" spans="1:10" x14ac:dyDescent="0.2">
      <c r="A26">
        <v>25</v>
      </c>
      <c r="B26">
        <v>17</v>
      </c>
      <c r="C26" t="s">
        <v>7</v>
      </c>
      <c r="D26" t="s">
        <v>20</v>
      </c>
      <c r="E26" s="2">
        <v>2845</v>
      </c>
      <c r="F26" s="12">
        <f>SUMIFS('Week 34 Aug 17 - Aug 23 2020'!F:F,'Week 34 Aug 17 - Aug 23 2020'!D:D,'Week 35 Aug 24 - Aug 30 2020'!D:D,'Week 34 Aug 17 - Aug 23 2020'!C:C,'Week 35 Aug 24 - Aug 30 2020'!C:C)+Table15[[#This Row],[Week Sales]]</f>
        <v>483458</v>
      </c>
      <c r="G26" t="s">
        <v>34</v>
      </c>
      <c r="H26" s="1">
        <v>43671</v>
      </c>
      <c r="I26" s="12">
        <f>_xlfn.IFNA(SUMIFS('Week 34 Aug 17 - Aug 23 2020'!E:E,'Week 34 Aug 17 - Aug 23 2020'!D:D,'Week 35 Aug 24 - Aug 30 2020'!D:D,'Week 34 Aug 17 - Aug 23 2020'!C:C,'Week 35 Aug 24 - Aug 30 2020'!C:C),"New")</f>
        <v>3438</v>
      </c>
      <c r="J26" s="28">
        <f t="shared" si="0"/>
        <v>-0.17248400232693425</v>
      </c>
    </row>
    <row r="27" spans="1:10" s="18" customFormat="1" x14ac:dyDescent="0.2">
      <c r="A27">
        <v>26</v>
      </c>
      <c r="B27">
        <v>18</v>
      </c>
      <c r="C27" t="s">
        <v>7</v>
      </c>
      <c r="D27" t="s">
        <v>17</v>
      </c>
      <c r="E27" s="2">
        <v>2777</v>
      </c>
      <c r="F27" s="12">
        <f>SUMIFS('Week 34 Aug 17 - Aug 23 2020'!F:F,'Week 34 Aug 17 - Aug 23 2020'!D:D,'Week 35 Aug 24 - Aug 30 2020'!D:D,'Week 34 Aug 17 - Aug 23 2020'!C:C,'Week 35 Aug 24 - Aug 30 2020'!C:C)+Table15[[#This Row],[Week Sales]]</f>
        <v>889391</v>
      </c>
      <c r="G27" t="s">
        <v>9</v>
      </c>
      <c r="H27" s="22">
        <v>44078</v>
      </c>
      <c r="I27" s="12">
        <f>_xlfn.IFNA(SUMIFS('Week 34 Aug 17 - Aug 23 2020'!E:E,'Week 34 Aug 17 - Aug 23 2020'!D:D,'Week 35 Aug 24 - Aug 30 2020'!D:D,'Week 34 Aug 17 - Aug 23 2020'!C:C,'Week 35 Aug 24 - Aug 30 2020'!C:C),"New")</f>
        <v>3250</v>
      </c>
      <c r="J27" s="28">
        <f t="shared" si="0"/>
        <v>-0.14553846153846153</v>
      </c>
    </row>
    <row r="28" spans="1:10" x14ac:dyDescent="0.2">
      <c r="A28" s="9">
        <v>27</v>
      </c>
      <c r="B28" s="9" t="s">
        <v>36</v>
      </c>
      <c r="C28" s="9" t="s">
        <v>8</v>
      </c>
      <c r="D28" s="9" t="s">
        <v>72</v>
      </c>
      <c r="E28" s="10">
        <v>2486</v>
      </c>
      <c r="F28" s="10">
        <f>SUMIFS('Week 34 Aug 17 - Aug 23 2020'!F:F,'Week 34 Aug 17 - Aug 23 2020'!D:D,'Week 35 Aug 24 - Aug 30 2020'!D:D,'Week 34 Aug 17 - Aug 23 2020'!C:C,'Week 35 Aug 24 - Aug 30 2020'!C:C)+Table15[[#This Row],[Week Sales]]</f>
        <v>2486</v>
      </c>
      <c r="G28" s="9" t="s">
        <v>76</v>
      </c>
      <c r="H28" s="23">
        <v>44070</v>
      </c>
      <c r="I28" s="10" t="s">
        <v>36</v>
      </c>
      <c r="J28" s="92" t="str">
        <f t="shared" si="0"/>
        <v>New</v>
      </c>
    </row>
    <row r="29" spans="1:10" x14ac:dyDescent="0.2">
      <c r="A29">
        <v>28</v>
      </c>
      <c r="B29">
        <v>21</v>
      </c>
      <c r="C29" t="s">
        <v>7</v>
      </c>
      <c r="D29" t="s">
        <v>19</v>
      </c>
      <c r="E29" s="2">
        <v>2375</v>
      </c>
      <c r="F29" s="12">
        <f>SUMIFS('Week 34 Aug 17 - Aug 23 2020'!F:F,'Week 34 Aug 17 - Aug 23 2020'!D:D,'Week 35 Aug 24 - Aug 30 2020'!D:D,'Week 34 Aug 17 - Aug 23 2020'!C:C,'Week 35 Aug 24 - Aug 30 2020'!C:C)+Table15[[#This Row],[Week Sales]]</f>
        <v>958504</v>
      </c>
      <c r="G29" t="s">
        <v>9</v>
      </c>
      <c r="H29" s="1">
        <v>43476</v>
      </c>
      <c r="I29" s="12">
        <f>_xlfn.IFNA(SUMIFS('Week 34 Aug 17 - Aug 23 2020'!E:E,'Week 34 Aug 17 - Aug 23 2020'!D:D,'Week 35 Aug 24 - Aug 30 2020'!D:D,'Week 34 Aug 17 - Aug 23 2020'!C:C,'Week 35 Aug 24 - Aug 30 2020'!C:C),"New")</f>
        <v>2846</v>
      </c>
      <c r="J29" s="28">
        <f t="shared" si="0"/>
        <v>-0.16549543218552354</v>
      </c>
    </row>
    <row r="30" spans="1:10" x14ac:dyDescent="0.2">
      <c r="A30">
        <v>29</v>
      </c>
      <c r="B30">
        <v>22</v>
      </c>
      <c r="C30" t="s">
        <v>7</v>
      </c>
      <c r="D30" t="s">
        <v>25</v>
      </c>
      <c r="E30" s="2">
        <v>2206</v>
      </c>
      <c r="F30" s="12">
        <f>SUMIFS('Week 34 Aug 17 - Aug 23 2020'!F:F,'Week 34 Aug 17 - Aug 23 2020'!D:D,'Week 35 Aug 24 - Aug 30 2020'!D:D,'Week 34 Aug 17 - Aug 23 2020'!C:C,'Week 35 Aug 24 - Aug 30 2020'!C:C)+Table15[[#This Row],[Week Sales]]</f>
        <v>508041</v>
      </c>
      <c r="G30" t="s">
        <v>34</v>
      </c>
      <c r="H30" s="1">
        <v>43300</v>
      </c>
      <c r="I30" s="12">
        <f>_xlfn.IFNA(SUMIFS('Week 34 Aug 17 - Aug 23 2020'!E:E,'Week 34 Aug 17 - Aug 23 2020'!D:D,'Week 35 Aug 24 - Aug 30 2020'!D:D,'Week 34 Aug 17 - Aug 23 2020'!C:C,'Week 35 Aug 24 - Aug 30 2020'!C:C),"New")</f>
        <v>2656</v>
      </c>
      <c r="J30" s="28">
        <f t="shared" si="0"/>
        <v>-0.16942771084337349</v>
      </c>
    </row>
    <row r="31" spans="1:10" x14ac:dyDescent="0.2">
      <c r="A31">
        <v>30</v>
      </c>
      <c r="B31">
        <v>23</v>
      </c>
      <c r="C31" t="s">
        <v>7</v>
      </c>
      <c r="D31" t="s">
        <v>56</v>
      </c>
      <c r="E31" s="2">
        <v>1932</v>
      </c>
      <c r="F31" s="12">
        <f>SUMIFS('Week 34 Aug 17 - Aug 23 2020'!F:F,'Week 34 Aug 17 - Aug 23 2020'!D:D,'Week 35 Aug 24 - Aug 30 2020'!D:D,'Week 34 Aug 17 - Aug 23 2020'!C:C,'Week 35 Aug 24 - Aug 30 2020'!C:C)+Table15[[#This Row],[Week Sales]]</f>
        <v>26269</v>
      </c>
      <c r="G31" t="s">
        <v>38</v>
      </c>
      <c r="H31" s="1">
        <v>44007</v>
      </c>
      <c r="I31" s="12">
        <f>_xlfn.IFNA(SUMIFS('Week 34 Aug 17 - Aug 23 2020'!E:E,'Week 34 Aug 17 - Aug 23 2020'!D:D,'Week 35 Aug 24 - Aug 30 2020'!D:D,'Week 34 Aug 17 - Aug 23 2020'!C:C,'Week 35 Aug 24 - Aug 30 2020'!C:C),"New")</f>
        <v>2098</v>
      </c>
      <c r="J31" s="28">
        <f t="shared" si="0"/>
        <v>-7.9122974261201143E-2</v>
      </c>
    </row>
    <row r="33" spans="4:5" x14ac:dyDescent="0.2">
      <c r="D33" s="7" t="s">
        <v>59</v>
      </c>
      <c r="E33" s="2">
        <f>SUM(E2:E31)</f>
        <v>413675</v>
      </c>
    </row>
    <row r="34" spans="4:5" x14ac:dyDescent="0.2">
      <c r="D34" s="100" t="s">
        <v>178</v>
      </c>
      <c r="E34" s="101">
        <f>SUM('Week 34 Aug 17 - Aug 23 2020'!E34,'Week 35 Aug 24 - Aug 30 2020'!E33)</f>
        <v>16481400</v>
      </c>
    </row>
    <row r="35" spans="4:5" x14ac:dyDescent="0.2">
      <c r="D35" s="98" t="s">
        <v>298</v>
      </c>
      <c r="E35" s="99">
        <f>E33+'Week 34 Aug 17 - Aug 23 2020'!E33+'Week 33 Aug 10 - Aug 16 2020'!E33+'Week 32 Aug 3 - Aug 9 2020'!E33</f>
        <v>1418861</v>
      </c>
    </row>
    <row r="36" spans="4:5" x14ac:dyDescent="0.2">
      <c r="D36" s="2" t="s">
        <v>60</v>
      </c>
      <c r="E36" s="2">
        <f>AVERAGE(E2:E31)</f>
        <v>13789.166666666666</v>
      </c>
    </row>
    <row r="37" spans="4:5" x14ac:dyDescent="0.2">
      <c r="D37" s="9" t="s">
        <v>78</v>
      </c>
      <c r="E37" s="10">
        <f>COUNTIF(B:B,"New")</f>
        <v>9</v>
      </c>
    </row>
    <row r="39" spans="4:5" x14ac:dyDescent="0.2">
      <c r="D39" t="s">
        <v>66</v>
      </c>
    </row>
    <row r="40" spans="4:5" x14ac:dyDescent="0.2">
      <c r="D40" s="21" t="s">
        <v>65</v>
      </c>
    </row>
    <row r="41" spans="4:5" x14ac:dyDescent="0.2">
      <c r="D41" s="21" t="s">
        <v>67</v>
      </c>
    </row>
    <row r="42" spans="4:5" x14ac:dyDescent="0.2">
      <c r="D42" s="21" t="s">
        <v>71</v>
      </c>
    </row>
  </sheetData>
  <hyperlinks>
    <hyperlink ref="D42" r:id="rId1" xr:uid="{B68D2B76-C101-2149-9929-92B9CB1DABF3}"/>
    <hyperlink ref="D40" r:id="rId2" xr:uid="{033F1310-85F3-5448-8E62-8B289D1B7DFC}"/>
    <hyperlink ref="D41" r:id="rId3" xr:uid="{D3FE3B93-0C8D-894D-9039-9DEB2F58E43A}"/>
  </hyperlinks>
  <pageMargins left="0.7" right="0.7" top="0.75" bottom="0.75" header="0.3" footer="0.3"/>
  <pageSetup paperSize="9" orientation="portrait" horizontalDpi="0" verticalDpi="0"/>
  <ignoredErrors>
    <ignoredError sqref="I2:I28" calculatedColumn="1"/>
  </ignoredErrors>
  <tableParts count="1">
    <tablePart r:id="rId4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BA887-3E13-8C40-92B1-F87D5E8CE8EA}">
  <dimension ref="A1:J41"/>
  <sheetViews>
    <sheetView workbookViewId="0">
      <selection activeCell="D10" sqref="D10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44.5" bestFit="1" customWidth="1"/>
    <col min="5" max="5" width="10.83203125" style="2" bestFit="1" customWidth="1"/>
    <col min="6" max="6" width="10.1640625" style="2" bestFit="1" customWidth="1"/>
    <col min="7" max="7" width="20.33203125" bestFit="1" customWidth="1"/>
    <col min="8" max="8" width="12.1640625" bestFit="1" customWidth="1"/>
    <col min="9" max="9" width="16" style="2" bestFit="1" customWidth="1"/>
    <col min="10" max="10" width="16.83203125" bestFit="1" customWidth="1"/>
  </cols>
  <sheetData>
    <row r="1" spans="1:10" x14ac:dyDescent="0.2">
      <c r="A1" s="3" t="s">
        <v>0</v>
      </c>
      <c r="B1" s="3" t="s">
        <v>35</v>
      </c>
      <c r="C1" t="s">
        <v>1</v>
      </c>
      <c r="D1" t="s">
        <v>2</v>
      </c>
      <c r="E1" s="2" t="s">
        <v>3</v>
      </c>
      <c r="F1" s="2" t="s">
        <v>4</v>
      </c>
      <c r="G1" t="s">
        <v>5</v>
      </c>
      <c r="H1" t="s">
        <v>6</v>
      </c>
      <c r="I1" s="2" t="s">
        <v>64</v>
      </c>
      <c r="J1" s="6" t="s">
        <v>63</v>
      </c>
    </row>
    <row r="2" spans="1:10" x14ac:dyDescent="0.2">
      <c r="A2">
        <v>1</v>
      </c>
      <c r="B2">
        <v>2</v>
      </c>
      <c r="C2" t="s">
        <v>7</v>
      </c>
      <c r="D2" t="s">
        <v>45</v>
      </c>
      <c r="E2" s="2">
        <v>63958</v>
      </c>
      <c r="F2" s="2">
        <f>SUMIFS('Week 35 Aug 24 - Aug 30 2020'!F:F,'Week 35 Aug 24 - Aug 30 2020'!D:D,'Week 36 Aug 31 - Sept 6 2020'!D:D,'Week 35 Aug 24 - Aug 30 2020'!C:C,'Week 36 Aug 31 - Sept 6 2020'!C:C)+Table1[[#This Row],[Week Sales]]</f>
        <v>1483985</v>
      </c>
      <c r="G2" t="s">
        <v>9</v>
      </c>
      <c r="H2" s="1">
        <v>43756</v>
      </c>
      <c r="I2" s="12">
        <f>_xlfn.IFNA(SUMIFS('Week 35 Aug 24 - Aug 30 2020'!E:E,'Week 35 Aug 24 - Aug 30 2020'!D:D,'Week 36 Aug 31 - Sept 6 2020'!D:D,'Week 35 Aug 24 - Aug 30 2020'!C:C,'Week 36 Aug 31 - Sept 6 2020'!C:C),"New")</f>
        <v>53594</v>
      </c>
      <c r="J2" s="6">
        <f t="shared" ref="J2:J31" si="0">(E2-I2)/I2</f>
        <v>0.19337985595402471</v>
      </c>
    </row>
    <row r="3" spans="1:10" x14ac:dyDescent="0.2">
      <c r="A3" s="9">
        <v>2</v>
      </c>
      <c r="B3" s="9" t="s">
        <v>36</v>
      </c>
      <c r="C3" s="9" t="s">
        <v>8</v>
      </c>
      <c r="D3" s="9" t="s">
        <v>54</v>
      </c>
      <c r="E3" s="10">
        <v>42979</v>
      </c>
      <c r="F3" s="10">
        <f>SUMIFS('Week 35 Aug 24 - Aug 30 2020'!F:F,'Week 35 Aug 24 - Aug 30 2020'!D:D,'Week 36 Aug 31 - Sept 6 2020'!D:D,'Week 35 Aug 24 - Aug 30 2020'!C:C,'Week 36 Aug 31 - Sept 6 2020'!C:C)+Table1[[#This Row],[Week Sales]]</f>
        <v>42979</v>
      </c>
      <c r="G3" s="9" t="s">
        <v>27</v>
      </c>
      <c r="H3" s="14">
        <v>44078</v>
      </c>
      <c r="I3" s="10" t="s">
        <v>36</v>
      </c>
      <c r="J3" s="92" t="s">
        <v>36</v>
      </c>
    </row>
    <row r="4" spans="1:10" x14ac:dyDescent="0.2">
      <c r="A4">
        <v>3</v>
      </c>
      <c r="B4">
        <v>4</v>
      </c>
      <c r="C4" t="s">
        <v>7</v>
      </c>
      <c r="D4" t="s">
        <v>46</v>
      </c>
      <c r="E4" s="2">
        <v>32136</v>
      </c>
      <c r="F4" s="2">
        <f>SUMIFS('Week 35 Aug 24 - Aug 30 2020'!F:F,'Week 35 Aug 24 - Aug 30 2020'!D:D,'Week 36 Aug 31 - Sept 6 2020'!D:D,'Week 35 Aug 24 - Aug 30 2020'!C:C,'Week 36 Aug 31 - Sept 6 2020'!C:C)+Table1[[#This Row],[Week Sales]]</f>
        <v>5660598</v>
      </c>
      <c r="G4" t="s">
        <v>9</v>
      </c>
      <c r="H4" s="1">
        <v>43910</v>
      </c>
      <c r="I4" s="12">
        <f>_xlfn.IFNA(SUMIFS('Week 35 Aug 24 - Aug 30 2020'!E:E,'Week 35 Aug 24 - Aug 30 2020'!D:D,'Week 36 Aug 31 - Sept 6 2020'!D:D,'Week 35 Aug 24 - Aug 30 2020'!C:C,'Week 36 Aug 31 - Sept 6 2020'!C:C),"New")</f>
        <v>34401</v>
      </c>
      <c r="J4" s="6">
        <f t="shared" si="0"/>
        <v>-6.5841109270079357E-2</v>
      </c>
    </row>
    <row r="5" spans="1:10" x14ac:dyDescent="0.2">
      <c r="A5">
        <v>4</v>
      </c>
      <c r="B5">
        <v>11</v>
      </c>
      <c r="C5" t="s">
        <v>7</v>
      </c>
      <c r="D5" t="s">
        <v>49</v>
      </c>
      <c r="E5" s="2">
        <v>13523</v>
      </c>
      <c r="F5" s="2">
        <f>SUMIFS('Week 35 Aug 24 - Aug 30 2020'!F:F,'Week 35 Aug 24 - Aug 30 2020'!D:D,'Week 36 Aug 31 - Sept 6 2020'!D:D,'Week 35 Aug 24 - Aug 30 2020'!C:C,'Week 36 Aug 31 - Sept 6 2020'!C:C)+Table1[[#This Row],[Week Sales]]</f>
        <v>3145381</v>
      </c>
      <c r="G5" t="s">
        <v>9</v>
      </c>
      <c r="H5" s="1">
        <v>42853</v>
      </c>
      <c r="I5" s="12">
        <f>_xlfn.IFNA(SUMIFS('Week 35 Aug 24 - Aug 30 2020'!E:E,'Week 35 Aug 24 - Aug 30 2020'!D:D,'Week 36 Aug 31 - Sept 6 2020'!D:D,'Week 35 Aug 24 - Aug 30 2020'!C:C,'Week 36 Aug 31 - Sept 6 2020'!C:C),"New")</f>
        <v>12136</v>
      </c>
      <c r="J5" s="6">
        <f t="shared" si="0"/>
        <v>0.11428806855636124</v>
      </c>
    </row>
    <row r="6" spans="1:10" x14ac:dyDescent="0.2">
      <c r="A6">
        <v>5</v>
      </c>
      <c r="B6">
        <v>10</v>
      </c>
      <c r="C6" t="s">
        <v>7</v>
      </c>
      <c r="D6" t="s">
        <v>50</v>
      </c>
      <c r="E6" s="2">
        <v>13410</v>
      </c>
      <c r="F6" s="2">
        <f>SUMIFS('Week 35 Aug 24 - Aug 30 2020'!F:F,'Week 35 Aug 24 - Aug 30 2020'!D:D,'Week 36 Aug 31 - Sept 6 2020'!D:D,'Week 35 Aug 24 - Aug 30 2020'!C:C,'Week 36 Aug 31 - Sept 6 2020'!C:C)+Table1[[#This Row],[Week Sales]]</f>
        <v>362420</v>
      </c>
      <c r="G6" t="s">
        <v>9</v>
      </c>
      <c r="H6" s="1">
        <v>43987</v>
      </c>
      <c r="I6" s="12">
        <f>_xlfn.IFNA(SUMIFS('Week 35 Aug 24 - Aug 30 2020'!E:E,'Week 35 Aug 24 - Aug 30 2020'!D:D,'Week 36 Aug 31 - Sept 6 2020'!D:D,'Week 35 Aug 24 - Aug 30 2020'!C:C,'Week 36 Aug 31 - Sept 6 2020'!C:C),"New")</f>
        <v>12520</v>
      </c>
      <c r="J6" s="6">
        <f t="shared" si="0"/>
        <v>7.1086261980830664E-2</v>
      </c>
    </row>
    <row r="7" spans="1:10" x14ac:dyDescent="0.2">
      <c r="A7">
        <v>6</v>
      </c>
      <c r="B7">
        <v>9</v>
      </c>
      <c r="C7" t="s">
        <v>8</v>
      </c>
      <c r="D7" t="s">
        <v>11</v>
      </c>
      <c r="E7" s="2">
        <v>9563</v>
      </c>
      <c r="F7" s="2">
        <f>SUMIFS('Week 35 Aug 24 - Aug 30 2020'!F:F,'Week 35 Aug 24 - Aug 30 2020'!D:D,'Week 36 Aug 31 - Sept 6 2020'!D:D,'Week 35 Aug 24 - Aug 30 2020'!C:C,'Week 36 Aug 31 - Sept 6 2020'!C:C)+Table1[[#This Row],[Week Sales]]</f>
        <v>385143</v>
      </c>
      <c r="G7" t="s">
        <v>30</v>
      </c>
      <c r="H7" s="1">
        <v>44029</v>
      </c>
      <c r="I7" s="12">
        <f>_xlfn.IFNA(SUMIFS('Week 35 Aug 24 - Aug 30 2020'!E:E,'Week 35 Aug 24 - Aug 30 2020'!D:D,'Week 36 Aug 31 - Sept 6 2020'!D:D,'Week 35 Aug 24 - Aug 30 2020'!C:C,'Week 36 Aug 31 - Sept 6 2020'!C:C),"New")</f>
        <v>13226</v>
      </c>
      <c r="J7" s="6">
        <f t="shared" si="0"/>
        <v>-0.27695448359292302</v>
      </c>
    </row>
    <row r="8" spans="1:10" x14ac:dyDescent="0.2">
      <c r="A8" s="9">
        <v>7</v>
      </c>
      <c r="B8" s="9" t="s">
        <v>36</v>
      </c>
      <c r="C8" s="9" t="s">
        <v>8</v>
      </c>
      <c r="D8" s="9" t="s">
        <v>24</v>
      </c>
      <c r="E8" s="10">
        <v>8541</v>
      </c>
      <c r="F8" s="10">
        <f>SUMIFS('Week 35 Aug 24 - Aug 30 2020'!F:F,'Week 35 Aug 24 - Aug 30 2020'!D:D,'Week 36 Aug 31 - Sept 6 2020'!D:D,'Week 35 Aug 24 - Aug 30 2020'!C:C,'Week 36 Aug 31 - Sept 6 2020'!C:C)+Table1[[#This Row],[Week Sales]]</f>
        <v>8541</v>
      </c>
      <c r="G8" s="9" t="s">
        <v>70</v>
      </c>
      <c r="H8" s="14">
        <v>44078</v>
      </c>
      <c r="I8" s="10" t="s">
        <v>36</v>
      </c>
      <c r="J8" s="92" t="s">
        <v>36</v>
      </c>
    </row>
    <row r="9" spans="1:10" x14ac:dyDescent="0.2">
      <c r="A9">
        <v>8</v>
      </c>
      <c r="B9">
        <v>16</v>
      </c>
      <c r="C9" t="s">
        <v>7</v>
      </c>
      <c r="D9" t="s">
        <v>52</v>
      </c>
      <c r="E9" s="2">
        <v>7725</v>
      </c>
      <c r="F9" s="2">
        <f>SUMIFS('Week 35 Aug 24 - Aug 30 2020'!F:F,'Week 35 Aug 24 - Aug 30 2020'!D:D,'Week 36 Aug 31 - Sept 6 2020'!D:D,'Week 35 Aug 24 - Aug 30 2020'!C:C,'Week 36 Aug 31 - Sept 6 2020'!C:C)+Table1[[#This Row],[Week Sales]]</f>
        <v>3817668</v>
      </c>
      <c r="G9" t="s">
        <v>9</v>
      </c>
      <c r="H9" s="1">
        <v>43441</v>
      </c>
      <c r="I9" s="12">
        <f>_xlfn.IFNA(SUMIFS('Week 35 Aug 24 - Aug 30 2020'!E:E,'Week 35 Aug 24 - Aug 30 2020'!D:D,'Week 36 Aug 31 - Sept 6 2020'!D:D,'Week 35 Aug 24 - Aug 30 2020'!C:C,'Week 36 Aug 31 - Sept 6 2020'!C:C),"New")</f>
        <v>6105</v>
      </c>
      <c r="J9" s="6">
        <f t="shared" si="0"/>
        <v>0.26535626535626533</v>
      </c>
    </row>
    <row r="10" spans="1:10" x14ac:dyDescent="0.2">
      <c r="A10">
        <v>9</v>
      </c>
      <c r="B10">
        <v>1</v>
      </c>
      <c r="C10" t="s">
        <v>8</v>
      </c>
      <c r="D10" t="s">
        <v>18</v>
      </c>
      <c r="E10" s="2">
        <v>7606</v>
      </c>
      <c r="F10" s="2">
        <f>SUMIFS('Week 35 Aug 24 - Aug 30 2020'!F:F,'Week 35 Aug 24 - Aug 30 2020'!D:D,'Week 36 Aug 31 - Sept 6 2020'!D:D,'Week 35 Aug 24 - Aug 30 2020'!C:C,'Week 36 Aug 31 - Sept 6 2020'!C:C)+Table1[[#This Row],[Week Sales]]</f>
        <v>91286</v>
      </c>
      <c r="G10" t="s">
        <v>44</v>
      </c>
      <c r="H10" s="1">
        <v>44070</v>
      </c>
      <c r="I10" s="12">
        <f>_xlfn.IFNA(SUMIFS('Week 35 Aug 24 - Aug 30 2020'!E:E,'Week 35 Aug 24 - Aug 30 2020'!D:D,'Week 36 Aug 31 - Sept 6 2020'!D:D,'Week 35 Aug 24 - Aug 30 2020'!C:C,'Week 36 Aug 31 - Sept 6 2020'!C:C),"New")</f>
        <v>83680</v>
      </c>
      <c r="J10" s="6">
        <f t="shared" si="0"/>
        <v>-0.90910611854684509</v>
      </c>
    </row>
    <row r="11" spans="1:10" x14ac:dyDescent="0.2">
      <c r="A11">
        <v>10</v>
      </c>
      <c r="B11">
        <v>12</v>
      </c>
      <c r="C11" t="s">
        <v>7</v>
      </c>
      <c r="D11" t="s">
        <v>14</v>
      </c>
      <c r="E11" s="2">
        <v>7318</v>
      </c>
      <c r="F11" s="2">
        <f>SUMIFS('Week 35 Aug 24 - Aug 30 2020'!F:F,'Week 35 Aug 24 - Aug 30 2020'!D:D,'Week 36 Aug 31 - Sept 6 2020'!D:D,'Week 35 Aug 24 - Aug 30 2020'!C:C,'Week 36 Aug 31 - Sept 6 2020'!C:C)+Table1[[#This Row],[Week Sales]]</f>
        <v>215075</v>
      </c>
      <c r="G11" t="s">
        <v>32</v>
      </c>
      <c r="H11" s="1">
        <v>44021</v>
      </c>
      <c r="I11" s="12">
        <f>_xlfn.IFNA(SUMIFS('Week 35 Aug 24 - Aug 30 2020'!E:E,'Week 35 Aug 24 - Aug 30 2020'!D:D,'Week 36 Aug 31 - Sept 6 2020'!D:D,'Week 35 Aug 24 - Aug 30 2020'!C:C,'Week 36 Aug 31 - Sept 6 2020'!C:C),"New")</f>
        <v>7310</v>
      </c>
      <c r="J11" s="6">
        <f t="shared" si="0"/>
        <v>1.094391244870041E-3</v>
      </c>
    </row>
    <row r="12" spans="1:10" x14ac:dyDescent="0.2">
      <c r="A12">
        <v>11</v>
      </c>
      <c r="B12">
        <v>13</v>
      </c>
      <c r="C12" t="s">
        <v>7</v>
      </c>
      <c r="D12" t="s">
        <v>62</v>
      </c>
      <c r="E12" s="2">
        <v>6960</v>
      </c>
      <c r="F12" s="2">
        <f>SUMIFS('Week 35 Aug 24 - Aug 30 2020'!F:F,'Week 35 Aug 24 - Aug 30 2020'!D:D,'Week 36 Aug 31 - Sept 6 2020'!D:D,'Week 35 Aug 24 - Aug 30 2020'!C:C,'Week 36 Aug 31 - Sept 6 2020'!C:C)+Table1[[#This Row],[Week Sales]]</f>
        <v>3724957</v>
      </c>
      <c r="G12" t="s">
        <v>42</v>
      </c>
      <c r="H12" s="1">
        <v>43784</v>
      </c>
      <c r="I12" s="12">
        <f>_xlfn.IFNA(SUMIFS('Week 35 Aug 24 - Aug 30 2020'!E:E,'Week 35 Aug 24 - Aug 30 2020'!D:D,'Week 36 Aug 31 - Sept 6 2020'!D:D,'Week 35 Aug 24 - Aug 30 2020'!C:C,'Week 36 Aug 31 - Sept 6 2020'!C:C),"New")</f>
        <v>6936</v>
      </c>
      <c r="J12" s="6">
        <f t="shared" si="0"/>
        <v>3.4602076124567475E-3</v>
      </c>
    </row>
    <row r="13" spans="1:10" x14ac:dyDescent="0.2">
      <c r="A13">
        <v>12</v>
      </c>
      <c r="B13">
        <v>14</v>
      </c>
      <c r="C13" t="s">
        <v>7</v>
      </c>
      <c r="D13" t="s">
        <v>10</v>
      </c>
      <c r="E13" s="2">
        <v>6916</v>
      </c>
      <c r="F13" s="2">
        <f>SUMIFS('Week 35 Aug 24 - Aug 30 2020'!F:F,'Week 35 Aug 24 - Aug 30 2020'!D:D,'Week 36 Aug 31 - Sept 6 2020'!D:D,'Week 35 Aug 24 - Aug 30 2020'!C:C,'Week 36 Aug 31 - Sept 6 2020'!C:C)+Table1[[#This Row],[Week Sales]]</f>
        <v>3551679</v>
      </c>
      <c r="G13" t="s">
        <v>9</v>
      </c>
      <c r="H13" s="1">
        <v>42937</v>
      </c>
      <c r="I13" s="12">
        <f>_xlfn.IFNA(SUMIFS('Week 35 Aug 24 - Aug 30 2020'!E:E,'Week 35 Aug 24 - Aug 30 2020'!D:D,'Week 36 Aug 31 - Sept 6 2020'!D:D,'Week 35 Aug 24 - Aug 30 2020'!C:C,'Week 36 Aug 31 - Sept 6 2020'!C:C),"New")</f>
        <v>6830</v>
      </c>
      <c r="J13" s="6">
        <f t="shared" si="0"/>
        <v>1.2591508052708639E-2</v>
      </c>
    </row>
    <row r="14" spans="1:10" x14ac:dyDescent="0.2">
      <c r="A14">
        <v>13</v>
      </c>
      <c r="B14">
        <v>17</v>
      </c>
      <c r="C14" t="s">
        <v>7</v>
      </c>
      <c r="D14" t="s">
        <v>12</v>
      </c>
      <c r="E14" s="2">
        <v>5939</v>
      </c>
      <c r="F14" s="2">
        <f>SUMIFS('Week 35 Aug 24 - Aug 30 2020'!F:F,'Week 35 Aug 24 - Aug 30 2020'!D:D,'Week 36 Aug 31 - Sept 6 2020'!D:D,'Week 35 Aug 24 - Aug 30 2020'!C:C,'Week 36 Aug 31 - Sept 6 2020'!C:C)+Table1[[#This Row],[Week Sales]]</f>
        <v>1494098</v>
      </c>
      <c r="G14" t="s">
        <v>28</v>
      </c>
      <c r="H14" s="1">
        <v>43272</v>
      </c>
      <c r="I14" s="12">
        <f>_xlfn.IFNA(SUMIFS('Week 35 Aug 24 - Aug 30 2020'!E:E,'Week 35 Aug 24 - Aug 30 2020'!D:D,'Week 36 Aug 31 - Sept 6 2020'!D:D,'Week 35 Aug 24 - Aug 30 2020'!C:C,'Week 36 Aug 31 - Sept 6 2020'!C:C),"New")</f>
        <v>5715</v>
      </c>
      <c r="J14" s="6">
        <f t="shared" si="0"/>
        <v>3.9195100612423449E-2</v>
      </c>
    </row>
    <row r="15" spans="1:10" x14ac:dyDescent="0.2">
      <c r="A15">
        <v>14</v>
      </c>
      <c r="B15">
        <v>18</v>
      </c>
      <c r="C15" t="s">
        <v>7</v>
      </c>
      <c r="D15" t="s">
        <v>13</v>
      </c>
      <c r="E15" s="2">
        <v>5819</v>
      </c>
      <c r="F15" s="2">
        <f>SUMIFS('Week 35 Aug 24 - Aug 30 2020'!F:F,'Week 35 Aug 24 - Aug 30 2020'!D:D,'Week 36 Aug 31 - Sept 6 2020'!D:D,'Week 35 Aug 24 - Aug 30 2020'!C:C,'Week 36 Aug 31 - Sept 6 2020'!C:C)+Table1[[#This Row],[Week Sales]]</f>
        <v>1543965</v>
      </c>
      <c r="G15" t="s">
        <v>9</v>
      </c>
      <c r="H15" s="1">
        <v>43378</v>
      </c>
      <c r="I15" s="12">
        <f>_xlfn.IFNA(SUMIFS('Week 35 Aug 24 - Aug 30 2020'!E:E,'Week 35 Aug 24 - Aug 30 2020'!D:D,'Week 36 Aug 31 - Sept 6 2020'!D:D,'Week 35 Aug 24 - Aug 30 2020'!C:C,'Week 36 Aug 31 - Sept 6 2020'!C:C),"New")</f>
        <v>5193</v>
      </c>
      <c r="J15" s="6">
        <f t="shared" si="0"/>
        <v>0.12054689004429039</v>
      </c>
    </row>
    <row r="16" spans="1:10" x14ac:dyDescent="0.2">
      <c r="A16">
        <v>15</v>
      </c>
      <c r="B16">
        <v>15</v>
      </c>
      <c r="C16" t="s">
        <v>7</v>
      </c>
      <c r="D16" t="s">
        <v>15</v>
      </c>
      <c r="E16" s="2">
        <v>5719</v>
      </c>
      <c r="F16" s="2">
        <f>SUMIFS('Week 35 Aug 24 - Aug 30 2020'!F:F,'Week 35 Aug 24 - Aug 30 2020'!D:D,'Week 36 Aug 31 - Sept 6 2020'!D:D,'Week 35 Aug 24 - Aug 30 2020'!C:C,'Week 36 Aug 31 - Sept 6 2020'!C:C)+Table1[[#This Row],[Week Sales]]</f>
        <v>244110</v>
      </c>
      <c r="G16" t="s">
        <v>9</v>
      </c>
      <c r="H16" s="1">
        <v>44029</v>
      </c>
      <c r="I16" s="12">
        <f>_xlfn.IFNA(SUMIFS('Week 35 Aug 24 - Aug 30 2020'!E:E,'Week 35 Aug 24 - Aug 30 2020'!D:D,'Week 36 Aug 31 - Sept 6 2020'!D:D,'Week 35 Aug 24 - Aug 30 2020'!C:C,'Week 36 Aug 31 - Sept 6 2020'!C:C),"New")</f>
        <v>6432</v>
      </c>
      <c r="J16" s="6">
        <f t="shared" si="0"/>
        <v>-0.11085199004975124</v>
      </c>
    </row>
    <row r="17" spans="1:10" x14ac:dyDescent="0.2">
      <c r="A17">
        <v>16</v>
      </c>
      <c r="B17">
        <v>3</v>
      </c>
      <c r="C17" t="s">
        <v>7</v>
      </c>
      <c r="D17" t="s">
        <v>23</v>
      </c>
      <c r="E17" s="2">
        <v>5137</v>
      </c>
      <c r="F17" s="2">
        <f>SUMIFS('Week 35 Aug 24 - Aug 30 2020'!F:F,'Week 35 Aug 24 - Aug 30 2020'!D:D,'Week 36 Aug 31 - Sept 6 2020'!D:D,'Week 35 Aug 24 - Aug 30 2020'!C:C,'Week 36 Aug 31 - Sept 6 2020'!C:C)+Table1[[#This Row],[Week Sales]]</f>
        <v>54094</v>
      </c>
      <c r="G17" t="s">
        <v>27</v>
      </c>
      <c r="H17" s="1">
        <v>44070</v>
      </c>
      <c r="I17" s="12">
        <f>_xlfn.IFNA(SUMIFS('Week 35 Aug 24 - Aug 30 2020'!E:E,'Week 35 Aug 24 - Aug 30 2020'!D:D,'Week 36 Aug 31 - Sept 6 2020'!D:D,'Week 35 Aug 24 - Aug 30 2020'!C:C,'Week 36 Aug 31 - Sept 6 2020'!C:C),"New")</f>
        <v>48957</v>
      </c>
      <c r="J17" s="6">
        <f t="shared" si="0"/>
        <v>-0.89507118491737647</v>
      </c>
    </row>
    <row r="18" spans="1:10" x14ac:dyDescent="0.2">
      <c r="A18">
        <v>17</v>
      </c>
      <c r="B18">
        <v>7</v>
      </c>
      <c r="C18" t="s">
        <v>7</v>
      </c>
      <c r="D18" t="s">
        <v>21</v>
      </c>
      <c r="E18" s="2">
        <v>4346</v>
      </c>
      <c r="F18" s="2">
        <f>SUMIFS('Week 35 Aug 24 - Aug 30 2020'!F:F,'Week 35 Aug 24 - Aug 30 2020'!D:D,'Week 36 Aug 31 - Sept 6 2020'!D:D,'Week 35 Aug 24 - Aug 30 2020'!C:C,'Week 36 Aug 31 - Sept 6 2020'!C:C)+Table1[[#This Row],[Week Sales]]</f>
        <v>19934</v>
      </c>
      <c r="G18" t="s">
        <v>34</v>
      </c>
      <c r="H18" s="1">
        <v>44070</v>
      </c>
      <c r="I18" s="12">
        <f>_xlfn.IFNA(SUMIFS('Week 35 Aug 24 - Aug 30 2020'!E:E,'Week 35 Aug 24 - Aug 30 2020'!D:D,'Week 36 Aug 31 - Sept 6 2020'!D:D,'Week 35 Aug 24 - Aug 30 2020'!C:C,'Week 36 Aug 31 - Sept 6 2020'!C:C),"New")</f>
        <v>15588</v>
      </c>
      <c r="J18" s="6">
        <f t="shared" si="0"/>
        <v>-0.72119579163459069</v>
      </c>
    </row>
    <row r="19" spans="1:10" x14ac:dyDescent="0.2">
      <c r="A19">
        <v>18</v>
      </c>
      <c r="B19">
        <v>20</v>
      </c>
      <c r="C19" t="s">
        <v>7</v>
      </c>
      <c r="D19" t="s">
        <v>39</v>
      </c>
      <c r="E19" s="2">
        <v>3996</v>
      </c>
      <c r="F19" s="2">
        <f>SUMIFS('Week 35 Aug 24 - Aug 30 2020'!F:F,'Week 35 Aug 24 - Aug 30 2020'!D:D,'Week 36 Aug 31 - Sept 6 2020'!D:D,'Week 35 Aug 24 - Aug 30 2020'!C:C,'Week 36 Aug 31 - Sept 6 2020'!C:C)+Table1[[#This Row],[Week Sales]]</f>
        <v>1641050</v>
      </c>
      <c r="G19" t="s">
        <v>9</v>
      </c>
      <c r="H19" s="1">
        <v>42797</v>
      </c>
      <c r="I19" s="12">
        <f>_xlfn.IFNA(SUMIFS('Week 35 Aug 24 - Aug 30 2020'!E:E,'Week 35 Aug 24 - Aug 30 2020'!D:D,'Week 36 Aug 31 - Sept 6 2020'!D:D,'Week 35 Aug 24 - Aug 30 2020'!C:C,'Week 36 Aug 31 - Sept 6 2020'!C:C),"New")</f>
        <v>3567</v>
      </c>
      <c r="J19" s="6">
        <f t="shared" si="0"/>
        <v>0.12026913372582002</v>
      </c>
    </row>
    <row r="20" spans="1:10" x14ac:dyDescent="0.2">
      <c r="A20">
        <v>19</v>
      </c>
      <c r="B20">
        <v>24</v>
      </c>
      <c r="C20" t="s">
        <v>7</v>
      </c>
      <c r="D20" t="s">
        <v>16</v>
      </c>
      <c r="E20" s="2">
        <v>3897</v>
      </c>
      <c r="F20" s="2">
        <f>SUMIFS('Week 35 Aug 24 - Aug 30 2020'!F:F,'Week 35 Aug 24 - Aug 30 2020'!D:D,'Week 36 Aug 31 - Sept 6 2020'!D:D,'Week 35 Aug 24 - Aug 30 2020'!C:C,'Week 36 Aug 31 - Sept 6 2020'!C:C)+Table1[[#This Row],[Week Sales]]</f>
        <v>289438</v>
      </c>
      <c r="G20" t="s">
        <v>9</v>
      </c>
      <c r="H20" s="1">
        <v>43826</v>
      </c>
      <c r="I20" s="12">
        <f>_xlfn.IFNA(SUMIFS('Week 35 Aug 24 - Aug 30 2020'!E:E,'Week 35 Aug 24 - Aug 30 2020'!D:D,'Week 36 Aug 31 - Sept 6 2020'!D:D,'Week 35 Aug 24 - Aug 30 2020'!C:C,'Week 36 Aug 31 - Sept 6 2020'!C:C),"New")</f>
        <v>3054</v>
      </c>
      <c r="J20" s="6">
        <f t="shared" si="0"/>
        <v>0.27603143418467585</v>
      </c>
    </row>
    <row r="21" spans="1:10" x14ac:dyDescent="0.2">
      <c r="A21">
        <v>20</v>
      </c>
      <c r="B21">
        <v>19</v>
      </c>
      <c r="C21" t="s">
        <v>8</v>
      </c>
      <c r="D21" t="s">
        <v>14</v>
      </c>
      <c r="E21" s="2">
        <v>3565</v>
      </c>
      <c r="F21" s="2">
        <f>SUMIFS('Week 35 Aug 24 - Aug 30 2020'!F:F,'Week 35 Aug 24 - Aug 30 2020'!D:D,'Week 36 Aug 31 - Sept 6 2020'!D:D,'Week 35 Aug 24 - Aug 30 2020'!C:C,'Week 36 Aug 31 - Sept 6 2020'!C:C)+Table1[[#This Row],[Week Sales]]</f>
        <v>177864</v>
      </c>
      <c r="G21" t="s">
        <v>32</v>
      </c>
      <c r="H21" s="1">
        <v>44021</v>
      </c>
      <c r="I21" s="12">
        <f>_xlfn.IFNA(SUMIFS('Week 35 Aug 24 - Aug 30 2020'!E:E,'Week 35 Aug 24 - Aug 30 2020'!D:D,'Week 36 Aug 31 - Sept 6 2020'!D:D,'Week 35 Aug 24 - Aug 30 2020'!C:C,'Week 36 Aug 31 - Sept 6 2020'!C:C),"New")</f>
        <v>3765</v>
      </c>
      <c r="J21" s="6">
        <f t="shared" si="0"/>
        <v>-5.3120849933598939E-2</v>
      </c>
    </row>
    <row r="22" spans="1:10" x14ac:dyDescent="0.2">
      <c r="A22">
        <v>21</v>
      </c>
      <c r="B22">
        <v>6</v>
      </c>
      <c r="C22" t="s">
        <v>7</v>
      </c>
      <c r="D22" t="s">
        <v>69</v>
      </c>
      <c r="E22" s="2">
        <v>3285</v>
      </c>
      <c r="F22" s="2">
        <f>SUMIFS('Week 35 Aug 24 - Aug 30 2020'!F:F,'Week 35 Aug 24 - Aug 30 2020'!D:D,'Week 36 Aug 31 - Sept 6 2020'!D:D,'Week 35 Aug 24 - Aug 30 2020'!C:C,'Week 36 Aug 31 - Sept 6 2020'!C:C)+Table1[[#This Row],[Week Sales]]</f>
        <v>19963</v>
      </c>
      <c r="G22" t="s">
        <v>34</v>
      </c>
      <c r="H22" s="1">
        <v>44070</v>
      </c>
      <c r="I22" s="12">
        <f>_xlfn.IFNA(SUMIFS('Week 35 Aug 24 - Aug 30 2020'!E:E,'Week 35 Aug 24 - Aug 30 2020'!D:D,'Week 36 Aug 31 - Sept 6 2020'!D:D,'Week 35 Aug 24 - Aug 30 2020'!C:C,'Week 36 Aug 31 - Sept 6 2020'!C:C),"New")</f>
        <v>16678</v>
      </c>
      <c r="J22" s="6">
        <f t="shared" si="0"/>
        <v>-0.80303393692289249</v>
      </c>
    </row>
    <row r="23" spans="1:10" x14ac:dyDescent="0.2">
      <c r="A23">
        <v>22</v>
      </c>
      <c r="B23">
        <v>26</v>
      </c>
      <c r="C23" t="s">
        <v>7</v>
      </c>
      <c r="D23" t="s">
        <v>17</v>
      </c>
      <c r="E23" s="2">
        <v>3165</v>
      </c>
      <c r="F23" s="2">
        <f>SUMIFS('Week 35 Aug 24 - Aug 30 2020'!F:F,'Week 35 Aug 24 - Aug 30 2020'!D:D,'Week 36 Aug 31 - Sept 6 2020'!D:D,'Week 35 Aug 24 - Aug 30 2020'!C:C,'Week 36 Aug 31 - Sept 6 2020'!C:C)+Table1[[#This Row],[Week Sales]]</f>
        <v>892556</v>
      </c>
      <c r="G23" t="s">
        <v>9</v>
      </c>
      <c r="H23" s="1">
        <v>43476</v>
      </c>
      <c r="I23" s="12">
        <f>_xlfn.IFNA(SUMIFS('Week 35 Aug 24 - Aug 30 2020'!E:E,'Week 35 Aug 24 - Aug 30 2020'!D:D,'Week 36 Aug 31 - Sept 6 2020'!D:D,'Week 35 Aug 24 - Aug 30 2020'!C:C,'Week 36 Aug 31 - Sept 6 2020'!C:C),"New")</f>
        <v>2777</v>
      </c>
      <c r="J23" s="6">
        <f t="shared" si="0"/>
        <v>0.13971912135397913</v>
      </c>
    </row>
    <row r="24" spans="1:10" x14ac:dyDescent="0.2">
      <c r="A24">
        <v>23</v>
      </c>
      <c r="B24">
        <v>5</v>
      </c>
      <c r="C24" t="s">
        <v>8</v>
      </c>
      <c r="D24" t="s">
        <v>23</v>
      </c>
      <c r="E24" s="2">
        <v>3034</v>
      </c>
      <c r="F24" s="2">
        <f>SUMIFS('Week 35 Aug 24 - Aug 30 2020'!F:F,'Week 35 Aug 24 - Aug 30 2020'!D:D,'Week 36 Aug 31 - Sept 6 2020'!D:D,'Week 35 Aug 24 - Aug 30 2020'!C:C,'Week 36 Aug 31 - Sept 6 2020'!C:C)+Table1[[#This Row],[Week Sales]]</f>
        <v>33203</v>
      </c>
      <c r="G24" t="s">
        <v>27</v>
      </c>
      <c r="H24" s="1">
        <v>44070</v>
      </c>
      <c r="I24" s="12">
        <f>_xlfn.IFNA(SUMIFS('Week 35 Aug 24 - Aug 30 2020'!E:E,'Week 35 Aug 24 - Aug 30 2020'!D:D,'Week 36 Aug 31 - Sept 6 2020'!D:D,'Week 35 Aug 24 - Aug 30 2020'!C:C,'Week 36 Aug 31 - Sept 6 2020'!C:C),"New")</f>
        <v>30169</v>
      </c>
      <c r="J24" s="6">
        <f t="shared" si="0"/>
        <v>-0.8994331930126952</v>
      </c>
    </row>
    <row r="25" spans="1:10" x14ac:dyDescent="0.2">
      <c r="A25">
        <v>24</v>
      </c>
      <c r="B25">
        <v>8</v>
      </c>
      <c r="C25" t="s">
        <v>8</v>
      </c>
      <c r="D25" t="s">
        <v>69</v>
      </c>
      <c r="E25" s="2">
        <v>2994</v>
      </c>
      <c r="F25" s="2">
        <f>SUMIFS('Week 35 Aug 24 - Aug 30 2020'!F:F,'Week 35 Aug 24 - Aug 30 2020'!D:D,'Week 36 Aug 31 - Sept 6 2020'!D:D,'Week 35 Aug 24 - Aug 30 2020'!C:C,'Week 36 Aug 31 - Sept 6 2020'!C:C)+Table1[[#This Row],[Week Sales]]</f>
        <v>16822</v>
      </c>
      <c r="G25" t="s">
        <v>34</v>
      </c>
      <c r="H25" s="1">
        <v>44070</v>
      </c>
      <c r="I25" s="12">
        <f>_xlfn.IFNA(SUMIFS('Week 35 Aug 24 - Aug 30 2020'!E:E,'Week 35 Aug 24 - Aug 30 2020'!D:D,'Week 36 Aug 31 - Sept 6 2020'!D:D,'Week 35 Aug 24 - Aug 30 2020'!C:C,'Week 36 Aug 31 - Sept 6 2020'!C:C),"New")</f>
        <v>13828</v>
      </c>
      <c r="J25" s="6">
        <f t="shared" si="0"/>
        <v>-0.78348278854498121</v>
      </c>
    </row>
    <row r="26" spans="1:10" x14ac:dyDescent="0.2">
      <c r="A26">
        <v>25</v>
      </c>
      <c r="B26">
        <v>30</v>
      </c>
      <c r="C26" t="s">
        <v>7</v>
      </c>
      <c r="D26" s="18" t="s">
        <v>56</v>
      </c>
      <c r="E26" s="2">
        <v>2735</v>
      </c>
      <c r="F26" s="2">
        <f>SUMIFS('Week 35 Aug 24 - Aug 30 2020'!F:F,'Week 35 Aug 24 - Aug 30 2020'!D:D,'Week 36 Aug 31 - Sept 6 2020'!D:D,'Week 35 Aug 24 - Aug 30 2020'!C:C,'Week 36 Aug 31 - Sept 6 2020'!C:C)+Table1[[#This Row],[Week Sales]]</f>
        <v>29004</v>
      </c>
      <c r="G26" t="s">
        <v>38</v>
      </c>
      <c r="H26" s="1">
        <v>44007</v>
      </c>
      <c r="I26" s="12">
        <f>_xlfn.IFNA(SUMIFS('Week 35 Aug 24 - Aug 30 2020'!E:E,'Week 35 Aug 24 - Aug 30 2020'!D:D,'Week 36 Aug 31 - Sept 6 2020'!D:D,'Week 35 Aug 24 - Aug 30 2020'!C:C,'Week 36 Aug 31 - Sept 6 2020'!C:C),"New")</f>
        <v>1932</v>
      </c>
      <c r="J26" s="6">
        <f t="shared" si="0"/>
        <v>0.41563146997929606</v>
      </c>
    </row>
    <row r="27" spans="1:10" x14ac:dyDescent="0.2">
      <c r="A27" s="9">
        <v>26</v>
      </c>
      <c r="B27" s="9" t="s">
        <v>36</v>
      </c>
      <c r="C27" s="9" t="s">
        <v>7</v>
      </c>
      <c r="D27" s="9" t="s">
        <v>24</v>
      </c>
      <c r="E27" s="10">
        <v>2489</v>
      </c>
      <c r="F27" s="10">
        <f>SUMIFS('Week 35 Aug 24 - Aug 30 2020'!F:F,'Week 35 Aug 24 - Aug 30 2020'!D:D,'Week 36 Aug 31 - Sept 6 2020'!D:D,'Week 35 Aug 24 - Aug 30 2020'!C:C,'Week 36 Aug 31 - Sept 6 2020'!C:C)+Table1[[#This Row],[Week Sales]]</f>
        <v>2489</v>
      </c>
      <c r="G27" s="9" t="s">
        <v>70</v>
      </c>
      <c r="H27" s="14">
        <v>44078</v>
      </c>
      <c r="I27" s="10" t="s">
        <v>36</v>
      </c>
      <c r="J27" s="92" t="s">
        <v>36</v>
      </c>
    </row>
    <row r="28" spans="1:10" x14ac:dyDescent="0.2">
      <c r="A28">
        <v>27</v>
      </c>
      <c r="B28">
        <v>25</v>
      </c>
      <c r="C28" t="s">
        <v>7</v>
      </c>
      <c r="D28" t="s">
        <v>20</v>
      </c>
      <c r="E28" s="2">
        <v>2477</v>
      </c>
      <c r="F28" s="2">
        <f>SUMIFS('Week 35 Aug 24 - Aug 30 2020'!F:F,'Week 35 Aug 24 - Aug 30 2020'!D:D,'Week 36 Aug 31 - Sept 6 2020'!D:D,'Week 35 Aug 24 - Aug 30 2020'!C:C,'Week 36 Aug 31 - Sept 6 2020'!C:C)+Table1[[#This Row],[Week Sales]]</f>
        <v>485935</v>
      </c>
      <c r="G28" t="s">
        <v>34</v>
      </c>
      <c r="H28" s="1">
        <v>43671</v>
      </c>
      <c r="I28" s="12">
        <f>_xlfn.IFNA(SUMIFS('Week 35 Aug 24 - Aug 30 2020'!E:E,'Week 35 Aug 24 - Aug 30 2020'!D:D,'Week 36 Aug 31 - Sept 6 2020'!D:D,'Week 35 Aug 24 - Aug 30 2020'!C:C,'Week 36 Aug 31 - Sept 6 2020'!C:C),"New")</f>
        <v>2845</v>
      </c>
      <c r="J28" s="6">
        <f t="shared" si="0"/>
        <v>-0.12934973637961336</v>
      </c>
    </row>
    <row r="29" spans="1:10" x14ac:dyDescent="0.2">
      <c r="A29">
        <v>28</v>
      </c>
      <c r="B29">
        <v>28</v>
      </c>
      <c r="C29" t="s">
        <v>7</v>
      </c>
      <c r="D29" t="s">
        <v>19</v>
      </c>
      <c r="E29" s="2">
        <v>2476</v>
      </c>
      <c r="F29" s="2">
        <f>SUMIFS('Week 35 Aug 24 - Aug 30 2020'!F:F,'Week 35 Aug 24 - Aug 30 2020'!D:D,'Week 36 Aug 31 - Sept 6 2020'!D:D,'Week 35 Aug 24 - Aug 30 2020'!C:C,'Week 36 Aug 31 - Sept 6 2020'!C:C)+Table1[[#This Row],[Week Sales]]</f>
        <v>960980</v>
      </c>
      <c r="G29" t="s">
        <v>9</v>
      </c>
      <c r="H29" s="1">
        <v>43644</v>
      </c>
      <c r="I29" s="12">
        <f>_xlfn.IFNA(SUMIFS('Week 35 Aug 24 - Aug 30 2020'!E:E,'Week 35 Aug 24 - Aug 30 2020'!D:D,'Week 36 Aug 31 - Sept 6 2020'!D:D,'Week 35 Aug 24 - Aug 30 2020'!C:C,'Week 36 Aug 31 - Sept 6 2020'!C:C),"New")</f>
        <v>2375</v>
      </c>
      <c r="J29" s="6">
        <f t="shared" si="0"/>
        <v>4.2526315789473683E-2</v>
      </c>
    </row>
    <row r="30" spans="1:10" x14ac:dyDescent="0.2">
      <c r="A30">
        <v>29</v>
      </c>
      <c r="B30">
        <v>22</v>
      </c>
      <c r="C30" t="s">
        <v>8</v>
      </c>
      <c r="D30" t="s">
        <v>68</v>
      </c>
      <c r="E30" s="2">
        <v>2300</v>
      </c>
      <c r="F30" s="2">
        <f>SUMIFS('Week 35 Aug 24 - Aug 30 2020'!F:F,'Week 35 Aug 24 - Aug 30 2020'!D:D,'Week 36 Aug 31 - Sept 6 2020'!D:D,'Week 35 Aug 24 - Aug 30 2020'!C:C,'Week 36 Aug 31 - Sept 6 2020'!C:C)+Table1[[#This Row],[Week Sales]]</f>
        <v>161014</v>
      </c>
      <c r="G30" t="s">
        <v>34</v>
      </c>
      <c r="H30" s="1">
        <v>44042</v>
      </c>
      <c r="I30" s="12">
        <f>_xlfn.IFNA(SUMIFS('Week 35 Aug 24 - Aug 30 2020'!E:E,'Week 35 Aug 24 - Aug 30 2020'!D:D,'Week 36 Aug 31 - Sept 6 2020'!D:D,'Week 35 Aug 24 - Aug 30 2020'!C:C,'Week 36 Aug 31 - Sept 6 2020'!C:C),"New")</f>
        <v>3091</v>
      </c>
      <c r="J30" s="6">
        <f t="shared" si="0"/>
        <v>-0.25590423811064378</v>
      </c>
    </row>
    <row r="31" spans="1:10" x14ac:dyDescent="0.2">
      <c r="A31">
        <v>30</v>
      </c>
      <c r="B31">
        <v>29</v>
      </c>
      <c r="C31" t="s">
        <v>7</v>
      </c>
      <c r="D31" t="s">
        <v>25</v>
      </c>
      <c r="E31" s="2">
        <v>2292</v>
      </c>
      <c r="F31" s="2">
        <f>SUMIFS('Week 35 Aug 24 - Aug 30 2020'!F:F,'Week 35 Aug 24 - Aug 30 2020'!D:D,'Week 36 Aug 31 - Sept 6 2020'!D:D,'Week 35 Aug 24 - Aug 30 2020'!C:C,'Week 36 Aug 31 - Sept 6 2020'!C:C)+Table1[[#This Row],[Week Sales]]</f>
        <v>510333</v>
      </c>
      <c r="G31" t="s">
        <v>34</v>
      </c>
      <c r="H31" s="1">
        <v>43300</v>
      </c>
      <c r="I31" s="12">
        <f>_xlfn.IFNA(SUMIFS('Week 35 Aug 24 - Aug 30 2020'!E:E,'Week 35 Aug 24 - Aug 30 2020'!D:D,'Week 36 Aug 31 - Sept 6 2020'!D:D,'Week 35 Aug 24 - Aug 30 2020'!C:C,'Week 36 Aug 31 - Sept 6 2020'!C:C),"New")</f>
        <v>2206</v>
      </c>
      <c r="J31" s="6">
        <f t="shared" si="0"/>
        <v>3.8984587488667274E-2</v>
      </c>
    </row>
    <row r="33" spans="4:5" x14ac:dyDescent="0.2">
      <c r="D33" s="7" t="s">
        <v>59</v>
      </c>
      <c r="E33" s="2">
        <f>SUM(E2:E31)</f>
        <v>286300</v>
      </c>
    </row>
    <row r="34" spans="4:5" x14ac:dyDescent="0.2">
      <c r="D34" s="100" t="s">
        <v>178</v>
      </c>
      <c r="E34" s="101">
        <f>SUM('Week 35 Aug 24 - Aug 30 2020'!E34,'Week 36 Aug 31 - Sept 6 2020'!E33)</f>
        <v>16767700</v>
      </c>
    </row>
    <row r="35" spans="4:5" x14ac:dyDescent="0.2">
      <c r="D35" s="2" t="s">
        <v>60</v>
      </c>
      <c r="E35" s="2">
        <f>AVERAGE(E2:E31)</f>
        <v>9543.3333333333339</v>
      </c>
    </row>
    <row r="36" spans="4:5" x14ac:dyDescent="0.2">
      <c r="D36" s="9" t="s">
        <v>78</v>
      </c>
      <c r="E36" s="10">
        <f>COUNTIF(B:B,"New")</f>
        <v>3</v>
      </c>
    </row>
    <row r="38" spans="4:5" x14ac:dyDescent="0.2">
      <c r="D38" t="s">
        <v>66</v>
      </c>
    </row>
    <row r="39" spans="4:5" x14ac:dyDescent="0.2">
      <c r="D39" s="21" t="s">
        <v>65</v>
      </c>
    </row>
    <row r="40" spans="4:5" x14ac:dyDescent="0.2">
      <c r="D40" s="21" t="s">
        <v>67</v>
      </c>
    </row>
    <row r="41" spans="4:5" x14ac:dyDescent="0.2">
      <c r="D41" s="21" t="s">
        <v>71</v>
      </c>
    </row>
  </sheetData>
  <hyperlinks>
    <hyperlink ref="D41" r:id="rId1" xr:uid="{9F9579DB-A378-334B-9EA1-7EF00DA08AA6}"/>
    <hyperlink ref="D39" r:id="rId2" xr:uid="{4B34F3DD-6F2F-344C-B383-5F1E4B9954EC}"/>
    <hyperlink ref="D40" r:id="rId3" xr:uid="{1F2784B0-CC3B-9E42-BEE8-5C51C99DDFB1}"/>
  </hyperlinks>
  <pageMargins left="0.7" right="0.7" top="0.75" bottom="0.75" header="0.3" footer="0.3"/>
  <pageSetup paperSize="9" orientation="portrait" horizontalDpi="0" verticalDpi="0"/>
  <ignoredErrors>
    <ignoredError sqref="J3:J27 I3:I31" calculatedColumn="1"/>
  </ignoredErrors>
  <tableParts count="1">
    <tablePart r:id="rId4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A9DB9-2E59-1B4E-85DD-092F35B70DB7}">
  <dimension ref="A1:J41"/>
  <sheetViews>
    <sheetView workbookViewId="0">
      <selection activeCell="F31" sqref="F31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44.5" style="2" bestFit="1" customWidth="1"/>
    <col min="5" max="5" width="10.83203125" bestFit="1" customWidth="1"/>
    <col min="6" max="6" width="10.1640625" style="2" bestFit="1" customWidth="1"/>
    <col min="7" max="7" width="20.33203125" bestFit="1" customWidth="1"/>
    <col min="8" max="8" width="12.1640625" bestFit="1" customWidth="1"/>
    <col min="9" max="9" width="16" style="16" bestFit="1" customWidth="1"/>
    <col min="10" max="10" width="16.83203125" style="6" bestFit="1" customWidth="1"/>
  </cols>
  <sheetData>
    <row r="1" spans="1:10" x14ac:dyDescent="0.2">
      <c r="A1" t="s">
        <v>0</v>
      </c>
      <c r="B1" t="s">
        <v>35</v>
      </c>
      <c r="C1" t="s">
        <v>1</v>
      </c>
      <c r="D1" t="s">
        <v>2</v>
      </c>
      <c r="E1" s="2" t="s">
        <v>3</v>
      </c>
      <c r="F1" s="2" t="s">
        <v>4</v>
      </c>
      <c r="G1" t="s">
        <v>5</v>
      </c>
      <c r="H1" t="s">
        <v>6</v>
      </c>
      <c r="I1" s="16" t="s">
        <v>64</v>
      </c>
      <c r="J1" s="6" t="s">
        <v>63</v>
      </c>
    </row>
    <row r="2" spans="1:10" x14ac:dyDescent="0.2">
      <c r="A2">
        <v>1</v>
      </c>
      <c r="B2">
        <v>1</v>
      </c>
      <c r="C2" t="s">
        <v>7</v>
      </c>
      <c r="D2" t="s">
        <v>45</v>
      </c>
      <c r="E2" s="2">
        <v>43459</v>
      </c>
      <c r="F2" s="2">
        <f>SUMIFS('Week 36 Aug 31 - Sept 6 2020'!F:F,'Week 36 Aug 31 - Sept 6 2020'!D:D,'Week 37 Sept 7 - Sept 13 2020'!D:D,'Week 36 Aug 31 - Sept 6 2020'!C:C,'Week 37 Sept 7 - Sept 13 2020'!C:C)+Table2[[#This Row],[Week Sales]]</f>
        <v>1527444</v>
      </c>
      <c r="G2" t="s">
        <v>9</v>
      </c>
      <c r="H2" s="1">
        <v>43756</v>
      </c>
      <c r="I2" s="12">
        <f>_xlfn.IFNA(SUMIFS('Week 36 Aug 31 - Sept 6 2020'!E:E,'Week 36 Aug 31 - Sept 6 2020'!D:D,'Week 37 Sept 7 - Sept 13 2020'!D:D,'Week 36 Aug 31 - Sept 6 2020'!C:C,'Week 37 Sept 7 - Sept 13 2020'!C:C),"New")</f>
        <v>63958</v>
      </c>
      <c r="J2" s="6">
        <f>(E2-I2)/I2</f>
        <v>-0.32050720785515496</v>
      </c>
    </row>
    <row r="3" spans="1:10" x14ac:dyDescent="0.2">
      <c r="A3">
        <v>2</v>
      </c>
      <c r="B3">
        <v>3</v>
      </c>
      <c r="C3" t="s">
        <v>7</v>
      </c>
      <c r="D3" t="s">
        <v>46</v>
      </c>
      <c r="E3" s="2">
        <v>31558</v>
      </c>
      <c r="F3" s="2">
        <f>SUMIFS('Week 36 Aug 31 - Sept 6 2020'!F:F,'Week 36 Aug 31 - Sept 6 2020'!D:D,'Week 37 Sept 7 - Sept 13 2020'!D:D,'Week 36 Aug 31 - Sept 6 2020'!C:C,'Week 37 Sept 7 - Sept 13 2020'!C:C)+Table2[[#This Row],[Week Sales]]</f>
        <v>5692156</v>
      </c>
      <c r="G3" t="s">
        <v>9</v>
      </c>
      <c r="H3" s="1">
        <v>43910</v>
      </c>
      <c r="I3" s="12">
        <f>_xlfn.IFNA(SUMIFS('Week 36 Aug 31 - Sept 6 2020'!E:E,'Week 36 Aug 31 - Sept 6 2020'!D:D,'Week 37 Sept 7 - Sept 13 2020'!D:D,'Week 36 Aug 31 - Sept 6 2020'!C:C,'Week 37 Sept 7 - Sept 13 2020'!C:C),"New")</f>
        <v>32136</v>
      </c>
      <c r="J3" s="6">
        <f t="shared" ref="J3:J30" si="0">(E3-I3)/I3</f>
        <v>-1.7986059248195171E-2</v>
      </c>
    </row>
    <row r="4" spans="1:10" x14ac:dyDescent="0.2">
      <c r="A4">
        <v>3</v>
      </c>
      <c r="B4">
        <v>4</v>
      </c>
      <c r="C4" t="s">
        <v>7</v>
      </c>
      <c r="D4" t="s">
        <v>49</v>
      </c>
      <c r="E4" s="2">
        <v>12280</v>
      </c>
      <c r="F4" s="2">
        <f>SUMIFS('Week 36 Aug 31 - Sept 6 2020'!F:F,'Week 36 Aug 31 - Sept 6 2020'!D:D,'Week 37 Sept 7 - Sept 13 2020'!D:D,'Week 36 Aug 31 - Sept 6 2020'!C:C,'Week 37 Sept 7 - Sept 13 2020'!C:C)+Table2[[#This Row],[Week Sales]]</f>
        <v>3157661</v>
      </c>
      <c r="G4" t="s">
        <v>9</v>
      </c>
      <c r="H4" s="1">
        <v>42853</v>
      </c>
      <c r="I4" s="12">
        <f>_xlfn.IFNA(SUMIFS('Week 36 Aug 31 - Sept 6 2020'!E:E,'Week 36 Aug 31 - Sept 6 2020'!D:D,'Week 37 Sept 7 - Sept 13 2020'!D:D,'Week 36 Aug 31 - Sept 6 2020'!C:C,'Week 37 Sept 7 - Sept 13 2020'!C:C),"New")</f>
        <v>13523</v>
      </c>
      <c r="J4" s="6">
        <f t="shared" si="0"/>
        <v>-9.1917473933298827E-2</v>
      </c>
    </row>
    <row r="5" spans="1:10" s="15" customFormat="1" x14ac:dyDescent="0.2">
      <c r="A5" s="9">
        <v>4</v>
      </c>
      <c r="B5" s="9" t="s">
        <v>36</v>
      </c>
      <c r="C5" s="9" t="s">
        <v>7</v>
      </c>
      <c r="D5" s="9" t="s">
        <v>58</v>
      </c>
      <c r="E5" s="10">
        <v>11450</v>
      </c>
      <c r="F5" s="10">
        <f>SUMIFS('Week 36 Aug 31 - Sept 6 2020'!F:F,'Week 36 Aug 31 - Sept 6 2020'!D:D,'Week 37 Sept 7 - Sept 13 2020'!D:D,'Week 36 Aug 31 - Sept 6 2020'!C:C,'Week 37 Sept 7 - Sept 13 2020'!C:C)+Table2[[#This Row],[Week Sales]]</f>
        <v>11450</v>
      </c>
      <c r="G5" s="9" t="s">
        <v>28</v>
      </c>
      <c r="H5" s="14">
        <v>44082</v>
      </c>
      <c r="I5" s="10" t="s">
        <v>36</v>
      </c>
      <c r="J5" s="92" t="s">
        <v>36</v>
      </c>
    </row>
    <row r="6" spans="1:10" s="15" customFormat="1" x14ac:dyDescent="0.2">
      <c r="A6" s="15">
        <v>5</v>
      </c>
      <c r="B6" s="15">
        <v>5</v>
      </c>
      <c r="C6" s="15" t="s">
        <v>7</v>
      </c>
      <c r="D6" s="15" t="s">
        <v>50</v>
      </c>
      <c r="E6" s="16">
        <v>9620</v>
      </c>
      <c r="F6" s="16">
        <f>SUMIFS('Week 36 Aug 31 - Sept 6 2020'!F:F,'Week 36 Aug 31 - Sept 6 2020'!D:D,'Week 37 Sept 7 - Sept 13 2020'!D:D,'Week 36 Aug 31 - Sept 6 2020'!C:C,'Week 37 Sept 7 - Sept 13 2020'!C:C)+Table2[[#This Row],[Week Sales]]</f>
        <v>372040</v>
      </c>
      <c r="G6" s="15" t="s">
        <v>9</v>
      </c>
      <c r="H6" s="17">
        <v>43987</v>
      </c>
      <c r="I6" s="12">
        <f>_xlfn.IFNA(SUMIFS('Week 36 Aug 31 - Sept 6 2020'!E:E,'Week 36 Aug 31 - Sept 6 2020'!D:D,'Week 37 Sept 7 - Sept 13 2020'!D:D,'Week 36 Aug 31 - Sept 6 2020'!C:C,'Week 37 Sept 7 - Sept 13 2020'!C:C),"New")</f>
        <v>13410</v>
      </c>
      <c r="J6" s="6">
        <f t="shared" si="0"/>
        <v>-0.28262490678598062</v>
      </c>
    </row>
    <row r="7" spans="1:10" s="15" customFormat="1" x14ac:dyDescent="0.2">
      <c r="A7" s="15">
        <v>6</v>
      </c>
      <c r="B7" s="15">
        <v>2</v>
      </c>
      <c r="C7" s="15" t="s">
        <v>8</v>
      </c>
      <c r="D7" s="15" t="s">
        <v>54</v>
      </c>
      <c r="E7" s="16">
        <v>7892</v>
      </c>
      <c r="F7" s="16">
        <f>SUMIFS('Week 36 Aug 31 - Sept 6 2020'!F:F,'Week 36 Aug 31 - Sept 6 2020'!D:D,'Week 37 Sept 7 - Sept 13 2020'!D:D,'Week 36 Aug 31 - Sept 6 2020'!C:C,'Week 37 Sept 7 - Sept 13 2020'!C:C)+Table2[[#This Row],[Week Sales]]</f>
        <v>50871</v>
      </c>
      <c r="G7" s="15" t="s">
        <v>27</v>
      </c>
      <c r="H7" s="17">
        <v>44078</v>
      </c>
      <c r="I7" s="12">
        <f>_xlfn.IFNA(SUMIFS('Week 36 Aug 31 - Sept 6 2020'!E:E,'Week 36 Aug 31 - Sept 6 2020'!D:D,'Week 37 Sept 7 - Sept 13 2020'!D:D,'Week 36 Aug 31 - Sept 6 2020'!C:C,'Week 37 Sept 7 - Sept 13 2020'!C:C),"New")</f>
        <v>42979</v>
      </c>
      <c r="J7" s="6">
        <f t="shared" si="0"/>
        <v>-0.81637543916796573</v>
      </c>
    </row>
    <row r="8" spans="1:10" s="15" customFormat="1" x14ac:dyDescent="0.2">
      <c r="A8" s="9">
        <v>7</v>
      </c>
      <c r="B8" s="9" t="s">
        <v>36</v>
      </c>
      <c r="C8" s="9" t="s">
        <v>8</v>
      </c>
      <c r="D8" s="9" t="s">
        <v>61</v>
      </c>
      <c r="E8" s="10">
        <v>7789</v>
      </c>
      <c r="F8" s="10">
        <f>SUMIFS('Week 36 Aug 31 - Sept 6 2020'!F:F,'Week 36 Aug 31 - Sept 6 2020'!D:D,'Week 37 Sept 7 - Sept 13 2020'!D:D,'Week 36 Aug 31 - Sept 6 2020'!C:C,'Week 37 Sept 7 - Sept 13 2020'!C:C)+Table2[[#This Row],[Week Sales]]</f>
        <v>7789</v>
      </c>
      <c r="G8" s="9" t="s">
        <v>29</v>
      </c>
      <c r="H8" s="14">
        <v>44084</v>
      </c>
      <c r="I8" s="10" t="s">
        <v>36</v>
      </c>
      <c r="J8" s="92" t="s">
        <v>36</v>
      </c>
    </row>
    <row r="9" spans="1:10" s="15" customFormat="1" x14ac:dyDescent="0.2">
      <c r="A9" s="9">
        <v>8</v>
      </c>
      <c r="B9" s="9" t="s">
        <v>36</v>
      </c>
      <c r="C9" s="9" t="s">
        <v>7</v>
      </c>
      <c r="D9" s="9" t="s">
        <v>61</v>
      </c>
      <c r="E9" s="10">
        <v>7277</v>
      </c>
      <c r="F9" s="10">
        <f>SUMIFS('Week 36 Aug 31 - Sept 6 2020'!F:F,'Week 36 Aug 31 - Sept 6 2020'!D:D,'Week 37 Sept 7 - Sept 13 2020'!D:D,'Week 36 Aug 31 - Sept 6 2020'!C:C,'Week 37 Sept 7 - Sept 13 2020'!C:C)+Table2[[#This Row],[Week Sales]]</f>
        <v>7277</v>
      </c>
      <c r="G9" s="9" t="s">
        <v>29</v>
      </c>
      <c r="H9" s="14">
        <v>44084</v>
      </c>
      <c r="I9" s="10" t="s">
        <v>36</v>
      </c>
      <c r="J9" s="92" t="s">
        <v>36</v>
      </c>
    </row>
    <row r="10" spans="1:10" s="15" customFormat="1" x14ac:dyDescent="0.2">
      <c r="A10" s="15">
        <v>9</v>
      </c>
      <c r="B10" s="15">
        <v>8</v>
      </c>
      <c r="C10" s="15" t="s">
        <v>7</v>
      </c>
      <c r="D10" s="15" t="s">
        <v>52</v>
      </c>
      <c r="E10" s="16">
        <v>6761</v>
      </c>
      <c r="F10" s="16">
        <f>SUMIFS('Week 36 Aug 31 - Sept 6 2020'!F:F,'Week 36 Aug 31 - Sept 6 2020'!D:D,'Week 37 Sept 7 - Sept 13 2020'!D:D,'Week 36 Aug 31 - Sept 6 2020'!C:C,'Week 37 Sept 7 - Sept 13 2020'!C:C)+Table2[[#This Row],[Week Sales]]</f>
        <v>3824429</v>
      </c>
      <c r="G10" s="15" t="s">
        <v>9</v>
      </c>
      <c r="H10" s="17">
        <v>43441</v>
      </c>
      <c r="I10" s="12">
        <f>_xlfn.IFNA(SUMIFS('Week 36 Aug 31 - Sept 6 2020'!E:E,'Week 36 Aug 31 - Sept 6 2020'!D:D,'Week 37 Sept 7 - Sept 13 2020'!D:D,'Week 36 Aug 31 - Sept 6 2020'!C:C,'Week 37 Sept 7 - Sept 13 2020'!C:C),"New")</f>
        <v>7725</v>
      </c>
      <c r="J10" s="6">
        <f t="shared" si="0"/>
        <v>-0.12478964401294498</v>
      </c>
    </row>
    <row r="11" spans="1:10" s="15" customFormat="1" x14ac:dyDescent="0.2">
      <c r="A11" s="15">
        <v>10</v>
      </c>
      <c r="B11" s="15">
        <v>11</v>
      </c>
      <c r="C11" s="15" t="s">
        <v>7</v>
      </c>
      <c r="D11" s="15" t="s">
        <v>62</v>
      </c>
      <c r="E11" s="16">
        <v>6492</v>
      </c>
      <c r="F11" s="16">
        <f>SUMIFS('Week 36 Aug 31 - Sept 6 2020'!F:F,'Week 36 Aug 31 - Sept 6 2020'!D:D,'Week 37 Sept 7 - Sept 13 2020'!D:D,'Week 36 Aug 31 - Sept 6 2020'!C:C,'Week 37 Sept 7 - Sept 13 2020'!C:C)+Table2[[#This Row],[Week Sales]]</f>
        <v>3731449</v>
      </c>
      <c r="G11" s="15" t="s">
        <v>42</v>
      </c>
      <c r="H11" s="17">
        <v>43784</v>
      </c>
      <c r="I11" s="12">
        <f>_xlfn.IFNA(SUMIFS('Week 36 Aug 31 - Sept 6 2020'!E:E,'Week 36 Aug 31 - Sept 6 2020'!D:D,'Week 37 Sept 7 - Sept 13 2020'!D:D,'Week 36 Aug 31 - Sept 6 2020'!C:C,'Week 37 Sept 7 - Sept 13 2020'!C:C),"New")</f>
        <v>6960</v>
      </c>
      <c r="J11" s="6">
        <f t="shared" si="0"/>
        <v>-6.7241379310344823E-2</v>
      </c>
    </row>
    <row r="12" spans="1:10" s="15" customFormat="1" x14ac:dyDescent="0.2">
      <c r="A12" s="15">
        <v>11</v>
      </c>
      <c r="B12" s="15">
        <v>12</v>
      </c>
      <c r="C12" s="15" t="s">
        <v>7</v>
      </c>
      <c r="D12" s="15" t="s">
        <v>10</v>
      </c>
      <c r="E12" s="16">
        <v>6126</v>
      </c>
      <c r="F12" s="16">
        <f>SUMIFS('Week 36 Aug 31 - Sept 6 2020'!F:F,'Week 36 Aug 31 - Sept 6 2020'!D:D,'Week 37 Sept 7 - Sept 13 2020'!D:D,'Week 36 Aug 31 - Sept 6 2020'!C:C,'Week 37 Sept 7 - Sept 13 2020'!C:C)+Table2[[#This Row],[Week Sales]]</f>
        <v>3557805</v>
      </c>
      <c r="G12" s="15" t="s">
        <v>9</v>
      </c>
      <c r="H12" s="17">
        <v>42937</v>
      </c>
      <c r="I12" s="12">
        <f>_xlfn.IFNA(SUMIFS('Week 36 Aug 31 - Sept 6 2020'!E:E,'Week 36 Aug 31 - Sept 6 2020'!D:D,'Week 37 Sept 7 - Sept 13 2020'!D:D,'Week 36 Aug 31 - Sept 6 2020'!C:C,'Week 37 Sept 7 - Sept 13 2020'!C:C),"New")</f>
        <v>6916</v>
      </c>
      <c r="J12" s="6">
        <f t="shared" si="0"/>
        <v>-0.11422787738577213</v>
      </c>
    </row>
    <row r="13" spans="1:10" s="15" customFormat="1" x14ac:dyDescent="0.2">
      <c r="A13" s="15">
        <v>12</v>
      </c>
      <c r="B13" s="15">
        <v>6</v>
      </c>
      <c r="C13" s="15" t="s">
        <v>8</v>
      </c>
      <c r="D13" s="15" t="s">
        <v>11</v>
      </c>
      <c r="E13" s="16">
        <v>6108</v>
      </c>
      <c r="F13" s="16">
        <f>SUMIFS('Week 36 Aug 31 - Sept 6 2020'!F:F,'Week 36 Aug 31 - Sept 6 2020'!D:D,'Week 37 Sept 7 - Sept 13 2020'!D:D,'Week 36 Aug 31 - Sept 6 2020'!C:C,'Week 37 Sept 7 - Sept 13 2020'!C:C)+Table2[[#This Row],[Week Sales]]</f>
        <v>391251</v>
      </c>
      <c r="G13" s="15" t="s">
        <v>30</v>
      </c>
      <c r="H13" s="17">
        <v>44029</v>
      </c>
      <c r="I13" s="12">
        <f>_xlfn.IFNA(SUMIFS('Week 36 Aug 31 - Sept 6 2020'!E:E,'Week 36 Aug 31 - Sept 6 2020'!D:D,'Week 37 Sept 7 - Sept 13 2020'!D:D,'Week 36 Aug 31 - Sept 6 2020'!C:C,'Week 37 Sept 7 - Sept 13 2020'!C:C),"New")</f>
        <v>9563</v>
      </c>
      <c r="J13" s="6">
        <f t="shared" si="0"/>
        <v>-0.36128829865105094</v>
      </c>
    </row>
    <row r="14" spans="1:10" s="15" customFormat="1" x14ac:dyDescent="0.2">
      <c r="A14" s="15">
        <v>13</v>
      </c>
      <c r="B14" s="15">
        <v>13</v>
      </c>
      <c r="C14" s="15" t="s">
        <v>7</v>
      </c>
      <c r="D14" s="15" t="s">
        <v>12</v>
      </c>
      <c r="E14" s="16">
        <v>5516</v>
      </c>
      <c r="F14" s="16">
        <f>SUMIFS('Week 36 Aug 31 - Sept 6 2020'!F:F,'Week 36 Aug 31 - Sept 6 2020'!D:D,'Week 37 Sept 7 - Sept 13 2020'!D:D,'Week 36 Aug 31 - Sept 6 2020'!C:C,'Week 37 Sept 7 - Sept 13 2020'!C:C)+Table2[[#This Row],[Week Sales]]</f>
        <v>1499614</v>
      </c>
      <c r="G14" s="15" t="s">
        <v>28</v>
      </c>
      <c r="H14" s="17">
        <v>43272</v>
      </c>
      <c r="I14" s="12">
        <f>_xlfn.IFNA(SUMIFS('Week 36 Aug 31 - Sept 6 2020'!E:E,'Week 36 Aug 31 - Sept 6 2020'!D:D,'Week 37 Sept 7 - Sept 13 2020'!D:D,'Week 36 Aug 31 - Sept 6 2020'!C:C,'Week 37 Sept 7 - Sept 13 2020'!C:C),"New")</f>
        <v>5939</v>
      </c>
      <c r="J14" s="6">
        <f t="shared" si="0"/>
        <v>-7.1224111803333892E-2</v>
      </c>
    </row>
    <row r="15" spans="1:10" s="15" customFormat="1" x14ac:dyDescent="0.2">
      <c r="A15" s="15">
        <v>14</v>
      </c>
      <c r="B15" s="15">
        <v>14</v>
      </c>
      <c r="C15" s="15" t="s">
        <v>7</v>
      </c>
      <c r="D15" s="15" t="s">
        <v>13</v>
      </c>
      <c r="E15" s="16">
        <v>5283</v>
      </c>
      <c r="F15" s="16">
        <f>SUMIFS('Week 36 Aug 31 - Sept 6 2020'!F:F,'Week 36 Aug 31 - Sept 6 2020'!D:D,'Week 37 Sept 7 - Sept 13 2020'!D:D,'Week 36 Aug 31 - Sept 6 2020'!C:C,'Week 37 Sept 7 - Sept 13 2020'!C:C)+Table2[[#This Row],[Week Sales]]</f>
        <v>1549248</v>
      </c>
      <c r="G15" s="15" t="s">
        <v>9</v>
      </c>
      <c r="H15" s="17">
        <v>44109</v>
      </c>
      <c r="I15" s="12">
        <f>_xlfn.IFNA(SUMIFS('Week 36 Aug 31 - Sept 6 2020'!E:E,'Week 36 Aug 31 - Sept 6 2020'!D:D,'Week 37 Sept 7 - Sept 13 2020'!D:D,'Week 36 Aug 31 - Sept 6 2020'!C:C,'Week 37 Sept 7 - Sept 13 2020'!C:C),"New")</f>
        <v>5819</v>
      </c>
      <c r="J15" s="6">
        <f t="shared" si="0"/>
        <v>-9.2112046743426712E-2</v>
      </c>
    </row>
    <row r="16" spans="1:10" s="15" customFormat="1" x14ac:dyDescent="0.2">
      <c r="A16" s="15">
        <v>15</v>
      </c>
      <c r="B16" s="15">
        <v>10</v>
      </c>
      <c r="C16" s="15" t="s">
        <v>7</v>
      </c>
      <c r="D16" s="15" t="s">
        <v>14</v>
      </c>
      <c r="E16" s="16">
        <v>5097</v>
      </c>
      <c r="F16" s="16">
        <f>SUMIFS('Week 36 Aug 31 - Sept 6 2020'!F:F,'Week 36 Aug 31 - Sept 6 2020'!D:D,'Week 37 Sept 7 - Sept 13 2020'!D:D,'Week 36 Aug 31 - Sept 6 2020'!C:C,'Week 37 Sept 7 - Sept 13 2020'!C:C)+Table2[[#This Row],[Week Sales]]</f>
        <v>220172</v>
      </c>
      <c r="G16" s="15" t="s">
        <v>32</v>
      </c>
      <c r="H16" s="17">
        <v>44021</v>
      </c>
      <c r="I16" s="12">
        <f>_xlfn.IFNA(SUMIFS('Week 36 Aug 31 - Sept 6 2020'!E:E,'Week 36 Aug 31 - Sept 6 2020'!D:D,'Week 37 Sept 7 - Sept 13 2020'!D:D,'Week 36 Aug 31 - Sept 6 2020'!C:C,'Week 37 Sept 7 - Sept 13 2020'!C:C),"New")</f>
        <v>7318</v>
      </c>
      <c r="J16" s="6">
        <f t="shared" si="0"/>
        <v>-0.30349822355834927</v>
      </c>
    </row>
    <row r="17" spans="1:10" s="15" customFormat="1" x14ac:dyDescent="0.2">
      <c r="A17" s="15">
        <v>16</v>
      </c>
      <c r="B17" s="15">
        <v>15</v>
      </c>
      <c r="C17" s="15" t="s">
        <v>7</v>
      </c>
      <c r="D17" s="15" t="s">
        <v>15</v>
      </c>
      <c r="E17" s="16">
        <v>4649</v>
      </c>
      <c r="F17" s="16">
        <f>SUMIFS('Week 36 Aug 31 - Sept 6 2020'!F:F,'Week 36 Aug 31 - Sept 6 2020'!D:D,'Week 37 Sept 7 - Sept 13 2020'!D:D,'Week 36 Aug 31 - Sept 6 2020'!C:C,'Week 37 Sept 7 - Sept 13 2020'!C:C)+Table2[[#This Row],[Week Sales]]</f>
        <v>248759</v>
      </c>
      <c r="G17" s="15" t="s">
        <v>9</v>
      </c>
      <c r="H17" s="17">
        <v>44029</v>
      </c>
      <c r="I17" s="12">
        <f>_xlfn.IFNA(SUMIFS('Week 36 Aug 31 - Sept 6 2020'!E:E,'Week 36 Aug 31 - Sept 6 2020'!D:D,'Week 37 Sept 7 - Sept 13 2020'!D:D,'Week 36 Aug 31 - Sept 6 2020'!C:C,'Week 37 Sept 7 - Sept 13 2020'!C:C),"New")</f>
        <v>5719</v>
      </c>
      <c r="J17" s="6">
        <f t="shared" si="0"/>
        <v>-0.18709564609197413</v>
      </c>
    </row>
    <row r="18" spans="1:10" s="15" customFormat="1" x14ac:dyDescent="0.2">
      <c r="A18" s="15">
        <v>17</v>
      </c>
      <c r="B18" s="15">
        <v>18</v>
      </c>
      <c r="C18" s="15" t="s">
        <v>7</v>
      </c>
      <c r="D18" s="15" t="s">
        <v>39</v>
      </c>
      <c r="E18" s="16">
        <v>4575</v>
      </c>
      <c r="F18" s="16">
        <f>SUMIFS('Week 36 Aug 31 - Sept 6 2020'!F:F,'Week 36 Aug 31 - Sept 6 2020'!D:D,'Week 37 Sept 7 - Sept 13 2020'!D:D,'Week 36 Aug 31 - Sept 6 2020'!C:C,'Week 37 Sept 7 - Sept 13 2020'!C:C)+Table2[[#This Row],[Week Sales]]</f>
        <v>1645625</v>
      </c>
      <c r="G18" s="15" t="s">
        <v>9</v>
      </c>
      <c r="H18" s="17">
        <v>42797</v>
      </c>
      <c r="I18" s="12">
        <f>_xlfn.IFNA(SUMIFS('Week 36 Aug 31 - Sept 6 2020'!E:E,'Week 36 Aug 31 - Sept 6 2020'!D:D,'Week 37 Sept 7 - Sept 13 2020'!D:D,'Week 36 Aug 31 - Sept 6 2020'!C:C,'Week 37 Sept 7 - Sept 13 2020'!C:C),"New")</f>
        <v>3996</v>
      </c>
      <c r="J18" s="6">
        <f t="shared" si="0"/>
        <v>0.1448948948948949</v>
      </c>
    </row>
    <row r="19" spans="1:10" s="15" customFormat="1" x14ac:dyDescent="0.2">
      <c r="A19" s="15">
        <v>18</v>
      </c>
      <c r="B19" s="15">
        <v>19</v>
      </c>
      <c r="C19" s="15" t="s">
        <v>7</v>
      </c>
      <c r="D19" s="15" t="s">
        <v>16</v>
      </c>
      <c r="E19" s="16">
        <v>3725</v>
      </c>
      <c r="F19" s="16">
        <f>SUMIFS('Week 36 Aug 31 - Sept 6 2020'!F:F,'Week 36 Aug 31 - Sept 6 2020'!D:D,'Week 37 Sept 7 - Sept 13 2020'!D:D,'Week 36 Aug 31 - Sept 6 2020'!C:C,'Week 37 Sept 7 - Sept 13 2020'!C:C)+Table2[[#This Row],[Week Sales]]</f>
        <v>293163</v>
      </c>
      <c r="G19" s="15" t="s">
        <v>9</v>
      </c>
      <c r="H19" s="17">
        <v>43826</v>
      </c>
      <c r="I19" s="12">
        <f>_xlfn.IFNA(SUMIFS('Week 36 Aug 31 - Sept 6 2020'!E:E,'Week 36 Aug 31 - Sept 6 2020'!D:D,'Week 37 Sept 7 - Sept 13 2020'!D:D,'Week 36 Aug 31 - Sept 6 2020'!C:C,'Week 37 Sept 7 - Sept 13 2020'!C:C),"New")</f>
        <v>3897</v>
      </c>
      <c r="J19" s="6">
        <f t="shared" si="0"/>
        <v>-4.4136515268154992E-2</v>
      </c>
    </row>
    <row r="20" spans="1:10" s="15" customFormat="1" x14ac:dyDescent="0.2">
      <c r="A20" s="15">
        <v>19</v>
      </c>
      <c r="B20" s="15">
        <v>22</v>
      </c>
      <c r="C20" s="15" t="s">
        <v>7</v>
      </c>
      <c r="D20" s="15" t="s">
        <v>17</v>
      </c>
      <c r="E20" s="16">
        <v>3159</v>
      </c>
      <c r="F20" s="16">
        <f>SUMIFS('Week 36 Aug 31 - Sept 6 2020'!F:F,'Week 36 Aug 31 - Sept 6 2020'!D:D,'Week 37 Sept 7 - Sept 13 2020'!D:D,'Week 36 Aug 31 - Sept 6 2020'!C:C,'Week 37 Sept 7 - Sept 13 2020'!C:C)+Table2[[#This Row],[Week Sales]]</f>
        <v>895715</v>
      </c>
      <c r="G20" s="15" t="s">
        <v>9</v>
      </c>
      <c r="H20" s="17">
        <v>43476</v>
      </c>
      <c r="I20" s="12">
        <f>_xlfn.IFNA(SUMIFS('Week 36 Aug 31 - Sept 6 2020'!E:E,'Week 36 Aug 31 - Sept 6 2020'!D:D,'Week 37 Sept 7 - Sept 13 2020'!D:D,'Week 36 Aug 31 - Sept 6 2020'!C:C,'Week 37 Sept 7 - Sept 13 2020'!C:C),"New")</f>
        <v>3165</v>
      </c>
      <c r="J20" s="6">
        <f t="shared" si="0"/>
        <v>-1.8957345971563982E-3</v>
      </c>
    </row>
    <row r="21" spans="1:10" s="15" customFormat="1" x14ac:dyDescent="0.2">
      <c r="A21" s="15">
        <v>20</v>
      </c>
      <c r="B21" s="15">
        <v>9</v>
      </c>
      <c r="C21" s="15" t="s">
        <v>8</v>
      </c>
      <c r="D21" s="15" t="s">
        <v>18</v>
      </c>
      <c r="E21" s="16">
        <v>2859</v>
      </c>
      <c r="F21" s="16">
        <f>SUMIFS('Week 36 Aug 31 - Sept 6 2020'!F:F,'Week 36 Aug 31 - Sept 6 2020'!D:D,'Week 37 Sept 7 - Sept 13 2020'!D:D,'Week 36 Aug 31 - Sept 6 2020'!C:C,'Week 37 Sept 7 - Sept 13 2020'!C:C)+Table2[[#This Row],[Week Sales]]</f>
        <v>94145</v>
      </c>
      <c r="G21" s="15" t="s">
        <v>31</v>
      </c>
      <c r="H21" s="17">
        <v>44070</v>
      </c>
      <c r="I21" s="12">
        <f>_xlfn.IFNA(SUMIFS('Week 36 Aug 31 - Sept 6 2020'!E:E,'Week 36 Aug 31 - Sept 6 2020'!D:D,'Week 37 Sept 7 - Sept 13 2020'!D:D,'Week 36 Aug 31 - Sept 6 2020'!C:C,'Week 37 Sept 7 - Sept 13 2020'!C:C),"New")</f>
        <v>7606</v>
      </c>
      <c r="J21" s="6">
        <f t="shared" si="0"/>
        <v>-0.62411254272942418</v>
      </c>
    </row>
    <row r="22" spans="1:10" s="15" customFormat="1" x14ac:dyDescent="0.2">
      <c r="A22" s="15">
        <v>21</v>
      </c>
      <c r="B22" s="15">
        <v>28</v>
      </c>
      <c r="C22" s="15" t="s">
        <v>7</v>
      </c>
      <c r="D22" s="15" t="s">
        <v>19</v>
      </c>
      <c r="E22" s="16">
        <v>2465</v>
      </c>
      <c r="F22" s="16">
        <f>SUMIFS('Week 36 Aug 31 - Sept 6 2020'!F:F,'Week 36 Aug 31 - Sept 6 2020'!D:D,'Week 37 Sept 7 - Sept 13 2020'!D:D,'Week 36 Aug 31 - Sept 6 2020'!C:C,'Week 37 Sept 7 - Sept 13 2020'!C:C)+Table2[[#This Row],[Week Sales]]</f>
        <v>963445</v>
      </c>
      <c r="G22" s="15" t="s">
        <v>9</v>
      </c>
      <c r="H22" s="17">
        <v>43644</v>
      </c>
      <c r="I22" s="12">
        <f>_xlfn.IFNA(SUMIFS('Week 36 Aug 31 - Sept 6 2020'!E:E,'Week 36 Aug 31 - Sept 6 2020'!D:D,'Week 37 Sept 7 - Sept 13 2020'!D:D,'Week 36 Aug 31 - Sept 6 2020'!C:C,'Week 37 Sept 7 - Sept 13 2020'!C:C),"New")</f>
        <v>2476</v>
      </c>
      <c r="J22" s="6">
        <f t="shared" si="0"/>
        <v>-4.4426494345718905E-3</v>
      </c>
    </row>
    <row r="23" spans="1:10" s="15" customFormat="1" x14ac:dyDescent="0.2">
      <c r="A23" s="15">
        <v>22</v>
      </c>
      <c r="B23" s="15">
        <v>27</v>
      </c>
      <c r="C23" s="15" t="s">
        <v>7</v>
      </c>
      <c r="D23" s="15" t="s">
        <v>20</v>
      </c>
      <c r="E23" s="16">
        <v>2464</v>
      </c>
      <c r="F23" s="16">
        <f>SUMIFS('Week 36 Aug 31 - Sept 6 2020'!F:F,'Week 36 Aug 31 - Sept 6 2020'!D:D,'Week 37 Sept 7 - Sept 13 2020'!D:D,'Week 36 Aug 31 - Sept 6 2020'!C:C,'Week 37 Sept 7 - Sept 13 2020'!C:C)+Table2[[#This Row],[Week Sales]]</f>
        <v>488399</v>
      </c>
      <c r="G23" s="15" t="s">
        <v>34</v>
      </c>
      <c r="H23" s="17">
        <v>43671</v>
      </c>
      <c r="I23" s="12">
        <f>_xlfn.IFNA(SUMIFS('Week 36 Aug 31 - Sept 6 2020'!E:E,'Week 36 Aug 31 - Sept 6 2020'!D:D,'Week 37 Sept 7 - Sept 13 2020'!D:D,'Week 36 Aug 31 - Sept 6 2020'!C:C,'Week 37 Sept 7 - Sept 13 2020'!C:C),"New")</f>
        <v>2477</v>
      </c>
      <c r="J23" s="6">
        <f t="shared" si="0"/>
        <v>-5.248284214775939E-3</v>
      </c>
    </row>
    <row r="24" spans="1:10" s="15" customFormat="1" x14ac:dyDescent="0.2">
      <c r="A24" s="15">
        <v>23</v>
      </c>
      <c r="B24" s="15">
        <v>17</v>
      </c>
      <c r="C24" s="15" t="s">
        <v>7</v>
      </c>
      <c r="D24" s="15" t="s">
        <v>21</v>
      </c>
      <c r="E24" s="16">
        <v>2456</v>
      </c>
      <c r="F24" s="16">
        <f>SUMIFS('Week 36 Aug 31 - Sept 6 2020'!F:F,'Week 36 Aug 31 - Sept 6 2020'!D:D,'Week 37 Sept 7 - Sept 13 2020'!D:D,'Week 36 Aug 31 - Sept 6 2020'!C:C,'Week 37 Sept 7 - Sept 13 2020'!C:C)+Table2[[#This Row],[Week Sales]]</f>
        <v>22390</v>
      </c>
      <c r="G24" s="15" t="s">
        <v>34</v>
      </c>
      <c r="H24" s="17">
        <v>44070</v>
      </c>
      <c r="I24" s="12">
        <f>_xlfn.IFNA(SUMIFS('Week 36 Aug 31 - Sept 6 2020'!E:E,'Week 36 Aug 31 - Sept 6 2020'!D:D,'Week 37 Sept 7 - Sept 13 2020'!D:D,'Week 36 Aug 31 - Sept 6 2020'!C:C,'Week 37 Sept 7 - Sept 13 2020'!C:C),"New")</f>
        <v>4346</v>
      </c>
      <c r="J24" s="6">
        <f t="shared" si="0"/>
        <v>-0.43488265071329957</v>
      </c>
    </row>
    <row r="25" spans="1:10" s="15" customFormat="1" x14ac:dyDescent="0.2">
      <c r="A25" s="9">
        <v>24</v>
      </c>
      <c r="B25" s="9" t="s">
        <v>36</v>
      </c>
      <c r="C25" s="9" t="s">
        <v>8</v>
      </c>
      <c r="D25" s="9" t="s">
        <v>22</v>
      </c>
      <c r="E25" s="10">
        <v>2404</v>
      </c>
      <c r="F25" s="10">
        <f>SUMIFS('Week 36 Aug 31 - Sept 6 2020'!F:F,'Week 36 Aug 31 - Sept 6 2020'!D:D,'Week 37 Sept 7 - Sept 13 2020'!D:D,'Week 36 Aug 31 - Sept 6 2020'!C:C,'Week 37 Sept 7 - Sept 13 2020'!C:C)+Table2[[#This Row],[Week Sales]]</f>
        <v>2404</v>
      </c>
      <c r="G25" s="9" t="s">
        <v>34</v>
      </c>
      <c r="H25" s="14">
        <v>44084</v>
      </c>
      <c r="I25" s="10" t="s">
        <v>36</v>
      </c>
      <c r="J25" s="92" t="s">
        <v>36</v>
      </c>
    </row>
    <row r="26" spans="1:10" s="15" customFormat="1" x14ac:dyDescent="0.2">
      <c r="A26" s="15">
        <v>25</v>
      </c>
      <c r="B26" s="15">
        <v>20</v>
      </c>
      <c r="C26" s="15" t="s">
        <v>8</v>
      </c>
      <c r="D26" s="15" t="s">
        <v>14</v>
      </c>
      <c r="E26" s="16">
        <v>2379</v>
      </c>
      <c r="F26" s="16">
        <f>SUMIFS('Week 36 Aug 31 - Sept 6 2020'!F:F,'Week 36 Aug 31 - Sept 6 2020'!D:D,'Week 37 Sept 7 - Sept 13 2020'!D:D,'Week 36 Aug 31 - Sept 6 2020'!C:C,'Week 37 Sept 7 - Sept 13 2020'!C:C)+Table2[[#This Row],[Week Sales]]</f>
        <v>180243</v>
      </c>
      <c r="G26" s="15" t="s">
        <v>32</v>
      </c>
      <c r="H26" s="17">
        <v>44021</v>
      </c>
      <c r="I26" s="12">
        <f>_xlfn.IFNA(SUMIFS('Week 36 Aug 31 - Sept 6 2020'!E:E,'Week 36 Aug 31 - Sept 6 2020'!D:D,'Week 37 Sept 7 - Sept 13 2020'!D:D,'Week 36 Aug 31 - Sept 6 2020'!C:C,'Week 37 Sept 7 - Sept 13 2020'!C:C),"New")</f>
        <v>3565</v>
      </c>
      <c r="J26" s="6">
        <f t="shared" si="0"/>
        <v>-0.33267882187938291</v>
      </c>
    </row>
    <row r="27" spans="1:10" s="15" customFormat="1" x14ac:dyDescent="0.2">
      <c r="A27" s="15">
        <v>26</v>
      </c>
      <c r="B27" s="15">
        <v>25</v>
      </c>
      <c r="C27" s="15" t="s">
        <v>7</v>
      </c>
      <c r="D27" s="18" t="s">
        <v>56</v>
      </c>
      <c r="E27" s="16">
        <v>2257</v>
      </c>
      <c r="F27" s="16">
        <f>SUMIFS('Week 36 Aug 31 - Sept 6 2020'!F:F,'Week 36 Aug 31 - Sept 6 2020'!D:D,'Week 37 Sept 7 - Sept 13 2020'!D:D,'Week 36 Aug 31 - Sept 6 2020'!C:C,'Week 37 Sept 7 - Sept 13 2020'!C:C)+Table2[[#This Row],[Week Sales]]</f>
        <v>31261</v>
      </c>
      <c r="G27" s="15" t="s">
        <v>38</v>
      </c>
      <c r="H27" s="17">
        <v>44007</v>
      </c>
      <c r="I27" s="12">
        <f>_xlfn.IFNA(SUMIFS('Week 36 Aug 31 - Sept 6 2020'!E:E,'Week 36 Aug 31 - Sept 6 2020'!D:D,'Week 37 Sept 7 - Sept 13 2020'!D:D,'Week 36 Aug 31 - Sept 6 2020'!C:C,'Week 37 Sept 7 - Sept 13 2020'!C:C),"New")</f>
        <v>2735</v>
      </c>
      <c r="J27" s="6">
        <f t="shared" si="0"/>
        <v>-0.17477148080438756</v>
      </c>
    </row>
    <row r="28" spans="1:10" s="15" customFormat="1" x14ac:dyDescent="0.2">
      <c r="A28" s="15">
        <v>27</v>
      </c>
      <c r="B28" s="15">
        <v>16</v>
      </c>
      <c r="C28" s="15" t="s">
        <v>7</v>
      </c>
      <c r="D28" s="15" t="s">
        <v>23</v>
      </c>
      <c r="E28" s="16">
        <v>2093</v>
      </c>
      <c r="F28" s="16">
        <f>SUMIFS('Week 36 Aug 31 - Sept 6 2020'!F:F,'Week 36 Aug 31 - Sept 6 2020'!D:D,'Week 37 Sept 7 - Sept 13 2020'!D:D,'Week 36 Aug 31 - Sept 6 2020'!C:C,'Week 37 Sept 7 - Sept 13 2020'!C:C)+Table2[[#This Row],[Week Sales]]</f>
        <v>56187</v>
      </c>
      <c r="G28" s="15" t="s">
        <v>27</v>
      </c>
      <c r="H28" s="17">
        <v>44070</v>
      </c>
      <c r="I28" s="12">
        <f>_xlfn.IFNA(SUMIFS('Week 36 Aug 31 - Sept 6 2020'!E:E,'Week 36 Aug 31 - Sept 6 2020'!D:D,'Week 37 Sept 7 - Sept 13 2020'!D:D,'Week 36 Aug 31 - Sept 6 2020'!C:C,'Week 37 Sept 7 - Sept 13 2020'!C:C),"New")</f>
        <v>5137</v>
      </c>
      <c r="J28" s="6">
        <f t="shared" si="0"/>
        <v>-0.59256375316332488</v>
      </c>
    </row>
    <row r="29" spans="1:10" s="15" customFormat="1" x14ac:dyDescent="0.2">
      <c r="A29" s="15">
        <v>28</v>
      </c>
      <c r="B29" s="15">
        <v>7</v>
      </c>
      <c r="C29" s="15" t="s">
        <v>8</v>
      </c>
      <c r="D29" s="15" t="s">
        <v>24</v>
      </c>
      <c r="E29" s="16">
        <v>2027</v>
      </c>
      <c r="F29" s="16">
        <f>SUMIFS('Week 36 Aug 31 - Sept 6 2020'!F:F,'Week 36 Aug 31 - Sept 6 2020'!D:D,'Week 37 Sept 7 - Sept 13 2020'!D:D,'Week 36 Aug 31 - Sept 6 2020'!C:C,'Week 37 Sept 7 - Sept 13 2020'!C:C)+Table2[[#This Row],[Week Sales]]</f>
        <v>10568</v>
      </c>
      <c r="G29" s="15" t="s">
        <v>33</v>
      </c>
      <c r="H29" s="17">
        <v>44078</v>
      </c>
      <c r="I29" s="12">
        <f>_xlfn.IFNA(SUMIFS('Week 36 Aug 31 - Sept 6 2020'!E:E,'Week 36 Aug 31 - Sept 6 2020'!D:D,'Week 37 Sept 7 - Sept 13 2020'!D:D,'Week 36 Aug 31 - Sept 6 2020'!C:C,'Week 37 Sept 7 - Sept 13 2020'!C:C),"New")</f>
        <v>8541</v>
      </c>
      <c r="J29" s="6">
        <f t="shared" si="0"/>
        <v>-0.76267415993443388</v>
      </c>
    </row>
    <row r="30" spans="1:10" s="15" customFormat="1" x14ac:dyDescent="0.2">
      <c r="A30" s="15">
        <v>29</v>
      </c>
      <c r="B30" s="15">
        <v>30</v>
      </c>
      <c r="C30" s="15" t="s">
        <v>7</v>
      </c>
      <c r="D30" s="15" t="s">
        <v>25</v>
      </c>
      <c r="E30" s="16">
        <v>2009</v>
      </c>
      <c r="F30" s="16">
        <f>SUMIFS('Week 36 Aug 31 - Sept 6 2020'!F:F,'Week 36 Aug 31 - Sept 6 2020'!D:D,'Week 37 Sept 7 - Sept 13 2020'!D:D,'Week 36 Aug 31 - Sept 6 2020'!C:C,'Week 37 Sept 7 - Sept 13 2020'!C:C)+Table2[[#This Row],[Week Sales]]</f>
        <v>512342</v>
      </c>
      <c r="G30" s="15" t="s">
        <v>34</v>
      </c>
      <c r="H30" s="17">
        <v>44031</v>
      </c>
      <c r="I30" s="12">
        <f>_xlfn.IFNA(SUMIFS('Week 36 Aug 31 - Sept 6 2020'!E:E,'Week 36 Aug 31 - Sept 6 2020'!D:D,'Week 37 Sept 7 - Sept 13 2020'!D:D,'Week 36 Aug 31 - Sept 6 2020'!C:C,'Week 37 Sept 7 - Sept 13 2020'!C:C),"New")</f>
        <v>2292</v>
      </c>
      <c r="J30" s="6">
        <f t="shared" si="0"/>
        <v>-0.12347294938917976</v>
      </c>
    </row>
    <row r="31" spans="1:10" s="15" customFormat="1" x14ac:dyDescent="0.2">
      <c r="A31" s="32">
        <v>30</v>
      </c>
      <c r="B31" s="30" t="s">
        <v>37</v>
      </c>
      <c r="C31" s="32" t="s">
        <v>7</v>
      </c>
      <c r="D31" s="32" t="s">
        <v>26</v>
      </c>
      <c r="E31" s="37">
        <v>1858</v>
      </c>
      <c r="F31" s="37">
        <v>2123864</v>
      </c>
      <c r="G31" s="32" t="s">
        <v>9</v>
      </c>
      <c r="H31" s="34">
        <v>43035</v>
      </c>
      <c r="I31" s="38"/>
      <c r="J31" s="119"/>
    </row>
    <row r="33" spans="4:5" x14ac:dyDescent="0.2">
      <c r="D33" s="2" t="s">
        <v>59</v>
      </c>
      <c r="E33" s="2">
        <f>SUM(E2:E31)</f>
        <v>214087</v>
      </c>
    </row>
    <row r="34" spans="4:5" x14ac:dyDescent="0.2">
      <c r="D34" s="100" t="s">
        <v>178</v>
      </c>
      <c r="E34" s="101">
        <f>SUM('Week 36 Aug 31 - Sept 6 2020'!E34,'Week 37 Sept 7 - Sept 13 2020'!E33)</f>
        <v>16981787</v>
      </c>
    </row>
    <row r="35" spans="4:5" x14ac:dyDescent="0.2">
      <c r="D35" s="2" t="s">
        <v>60</v>
      </c>
      <c r="E35" s="2">
        <f>AVERAGE(E2:E31)</f>
        <v>7136.2333333333336</v>
      </c>
    </row>
    <row r="36" spans="4:5" x14ac:dyDescent="0.2">
      <c r="D36" s="9" t="s">
        <v>78</v>
      </c>
      <c r="E36" s="10">
        <f>COUNTIF(B:B,"New")</f>
        <v>4</v>
      </c>
    </row>
    <row r="38" spans="4:5" x14ac:dyDescent="0.2">
      <c r="D38" t="s">
        <v>66</v>
      </c>
    </row>
    <row r="39" spans="4:5" x14ac:dyDescent="0.2">
      <c r="D39" s="21" t="s">
        <v>65</v>
      </c>
    </row>
    <row r="40" spans="4:5" x14ac:dyDescent="0.2">
      <c r="D40" s="21" t="s">
        <v>67</v>
      </c>
    </row>
    <row r="41" spans="4:5" x14ac:dyDescent="0.2">
      <c r="D41" s="21" t="s">
        <v>71</v>
      </c>
    </row>
  </sheetData>
  <hyperlinks>
    <hyperlink ref="D39" r:id="rId1" xr:uid="{03FC1E44-C6DB-5540-8008-CAA6BF1BF4E1}"/>
    <hyperlink ref="D40" r:id="rId2" xr:uid="{D886D344-0843-0540-A71E-A4243546DA5D}"/>
    <hyperlink ref="D41" r:id="rId3" xr:uid="{0C3ACE30-23D1-384B-9990-DC155E25EA37}"/>
  </hyperlinks>
  <pageMargins left="0.7" right="0.7" top="0.75" bottom="0.75" header="0.3" footer="0.3"/>
  <pageSetup paperSize="9" orientation="portrait" horizontalDpi="0" verticalDpi="0"/>
  <ignoredErrors>
    <ignoredError sqref="I2:I30 F31" calculatedColumn="1"/>
  </ignoredErrors>
  <tableParts count="1">
    <tablePart r:id="rId4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7B5A-A2FB-7E42-BF16-C6672AF0A663}">
  <dimension ref="A1:J41"/>
  <sheetViews>
    <sheetView workbookViewId="0">
      <selection activeCell="I31" sqref="I31"/>
    </sheetView>
  </sheetViews>
  <sheetFormatPr baseColWidth="10" defaultRowHeight="16" x14ac:dyDescent="0.2"/>
  <cols>
    <col min="1" max="1" width="7.6640625" style="3" bestFit="1" customWidth="1"/>
    <col min="2" max="2" width="9.83203125" style="3" bestFit="1" customWidth="1"/>
    <col min="3" max="3" width="7.33203125" bestFit="1" customWidth="1"/>
    <col min="4" max="4" width="44" bestFit="1" customWidth="1"/>
    <col min="5" max="5" width="10.83203125" style="2" bestFit="1" customWidth="1"/>
    <col min="6" max="6" width="10.1640625" style="2" bestFit="1" customWidth="1"/>
    <col min="7" max="7" width="20.33203125" bestFit="1" customWidth="1"/>
    <col min="8" max="8" width="12.1640625" bestFit="1" customWidth="1"/>
    <col min="9" max="9" width="16" style="2" bestFit="1" customWidth="1"/>
    <col min="10" max="10" width="16.83203125" style="19" bestFit="1" customWidth="1"/>
  </cols>
  <sheetData>
    <row r="1" spans="1:10" x14ac:dyDescent="0.2">
      <c r="A1" s="3" t="s">
        <v>0</v>
      </c>
      <c r="B1" s="3" t="s">
        <v>35</v>
      </c>
      <c r="C1" t="s">
        <v>1</v>
      </c>
      <c r="D1" t="s">
        <v>2</v>
      </c>
      <c r="E1" s="2" t="s">
        <v>3</v>
      </c>
      <c r="F1" s="2" t="s">
        <v>4</v>
      </c>
      <c r="G1" t="s">
        <v>5</v>
      </c>
      <c r="H1" t="s">
        <v>6</v>
      </c>
      <c r="I1" s="2" t="s">
        <v>64</v>
      </c>
      <c r="J1" s="19" t="s">
        <v>63</v>
      </c>
    </row>
    <row r="2" spans="1:10" s="5" customFormat="1" x14ac:dyDescent="0.2">
      <c r="A2" s="13">
        <v>1</v>
      </c>
      <c r="B2" s="9" t="s">
        <v>36</v>
      </c>
      <c r="C2" s="9" t="s">
        <v>7</v>
      </c>
      <c r="D2" s="9" t="s">
        <v>40</v>
      </c>
      <c r="E2" s="10">
        <v>210136</v>
      </c>
      <c r="F2" s="10">
        <v>210136</v>
      </c>
      <c r="G2" s="9" t="s">
        <v>9</v>
      </c>
      <c r="H2" s="14">
        <v>44092</v>
      </c>
      <c r="I2" s="10" t="s">
        <v>36</v>
      </c>
      <c r="J2" s="92" t="s">
        <v>36</v>
      </c>
    </row>
    <row r="3" spans="1:10" x14ac:dyDescent="0.2">
      <c r="A3" s="3">
        <v>2</v>
      </c>
      <c r="B3" s="3">
        <v>1</v>
      </c>
      <c r="C3" t="s">
        <v>7</v>
      </c>
      <c r="D3" s="4" t="s">
        <v>45</v>
      </c>
      <c r="E3" s="2">
        <v>48826</v>
      </c>
      <c r="F3" s="2">
        <v>1576270</v>
      </c>
      <c r="G3" t="s">
        <v>9</v>
      </c>
      <c r="H3" s="1">
        <v>43756</v>
      </c>
      <c r="I3" s="2">
        <f>_xlfn.IFNA(SUMIFS('Week 37 Sept 7 - Sept 13 2020'!E:E,'Week 37 Sept 7 - Sept 13 2020'!D:D,'Week 38 Sept 14 - Sept 20 2020'!D:D,'Week 37 Sept 7 - Sept 13 2020'!C:C,'Week 38 Sept 14 - Sept 20 2020'!C:C),"New")</f>
        <v>43459</v>
      </c>
      <c r="J3" s="19">
        <f>(E3-I3)/I3</f>
        <v>0.12349570859890932</v>
      </c>
    </row>
    <row r="4" spans="1:10" x14ac:dyDescent="0.2">
      <c r="A4" s="3">
        <v>3</v>
      </c>
      <c r="B4" s="3">
        <v>2</v>
      </c>
      <c r="C4" t="s">
        <v>7</v>
      </c>
      <c r="D4" s="4" t="s">
        <v>46</v>
      </c>
      <c r="E4" s="2">
        <v>32097</v>
      </c>
      <c r="F4" s="2">
        <v>5724253</v>
      </c>
      <c r="G4" t="s">
        <v>9</v>
      </c>
      <c r="H4" s="1">
        <v>43910</v>
      </c>
      <c r="I4" s="2">
        <f>_xlfn.IFNA(SUMIFS('Week 37 Sept 7 - Sept 13 2020'!E:E,'Week 37 Sept 7 - Sept 13 2020'!D:D,'Week 38 Sept 14 - Sept 20 2020'!D:D,'Week 37 Sept 7 - Sept 13 2020'!C:C,'Week 38 Sept 14 - Sept 20 2020'!C:C),"New")</f>
        <v>31558</v>
      </c>
      <c r="J4" s="19">
        <f>(E4-I4)/I4</f>
        <v>1.7079662843019202E-2</v>
      </c>
    </row>
    <row r="5" spans="1:10" s="5" customFormat="1" x14ac:dyDescent="0.2">
      <c r="A5" s="13">
        <v>4</v>
      </c>
      <c r="B5" s="9" t="s">
        <v>36</v>
      </c>
      <c r="C5" s="9" t="s">
        <v>8</v>
      </c>
      <c r="D5" s="9" t="s">
        <v>47</v>
      </c>
      <c r="E5" s="10">
        <v>26215</v>
      </c>
      <c r="F5" s="10">
        <v>26215</v>
      </c>
      <c r="G5" s="9" t="s">
        <v>32</v>
      </c>
      <c r="H5" s="14">
        <v>44091</v>
      </c>
      <c r="I5" s="10" t="s">
        <v>36</v>
      </c>
      <c r="J5" s="92" t="s">
        <v>36</v>
      </c>
    </row>
    <row r="6" spans="1:10" s="5" customFormat="1" x14ac:dyDescent="0.2">
      <c r="A6" s="13">
        <v>5</v>
      </c>
      <c r="B6" s="9" t="s">
        <v>36</v>
      </c>
      <c r="C6" s="9" t="s">
        <v>7</v>
      </c>
      <c r="D6" s="9" t="s">
        <v>48</v>
      </c>
      <c r="E6" s="10">
        <v>15129</v>
      </c>
      <c r="F6" s="10">
        <v>15129</v>
      </c>
      <c r="G6" s="9" t="s">
        <v>34</v>
      </c>
      <c r="H6" s="14">
        <v>44091</v>
      </c>
      <c r="I6" s="10" t="s">
        <v>36</v>
      </c>
      <c r="J6" s="92" t="s">
        <v>36</v>
      </c>
    </row>
    <row r="7" spans="1:10" x14ac:dyDescent="0.2">
      <c r="A7" s="3">
        <v>6</v>
      </c>
      <c r="B7" s="3">
        <v>3</v>
      </c>
      <c r="C7" t="s">
        <v>7</v>
      </c>
      <c r="D7" s="4" t="s">
        <v>49</v>
      </c>
      <c r="E7" s="2">
        <v>13094</v>
      </c>
      <c r="F7" s="2">
        <v>3170755</v>
      </c>
      <c r="G7" t="s">
        <v>9</v>
      </c>
      <c r="H7" s="1">
        <v>42853</v>
      </c>
      <c r="I7" s="2">
        <f>_xlfn.IFNA(SUMIFS('Week 37 Sept 7 - Sept 13 2020'!E:E,'Week 37 Sept 7 - Sept 13 2020'!D:D,'Week 38 Sept 14 - Sept 20 2020'!D:D,'Week 37 Sept 7 - Sept 13 2020'!C:C,'Week 38 Sept 14 - Sept 20 2020'!C:C),"New")</f>
        <v>12280</v>
      </c>
      <c r="J7" s="19">
        <f>(E7-I7)/I7</f>
        <v>6.6286644951140061E-2</v>
      </c>
    </row>
    <row r="8" spans="1:10" x14ac:dyDescent="0.2">
      <c r="A8" s="3">
        <v>7</v>
      </c>
      <c r="B8" s="3">
        <v>5</v>
      </c>
      <c r="C8" t="s">
        <v>7</v>
      </c>
      <c r="D8" s="4" t="s">
        <v>50</v>
      </c>
      <c r="E8" s="2">
        <v>9572</v>
      </c>
      <c r="F8" s="2">
        <v>381612</v>
      </c>
      <c r="G8" t="s">
        <v>9</v>
      </c>
      <c r="H8" s="1">
        <v>43987</v>
      </c>
      <c r="I8" s="2">
        <f>_xlfn.IFNA(SUMIFS('Week 37 Sept 7 - Sept 13 2020'!E:E,'Week 37 Sept 7 - Sept 13 2020'!D:D,'Week 38 Sept 14 - Sept 20 2020'!D:D,'Week 37 Sept 7 - Sept 13 2020'!C:C,'Week 38 Sept 14 - Sept 20 2020'!C:C),"New")</f>
        <v>9620</v>
      </c>
      <c r="J8" s="19">
        <f>(E8-I8)/I8</f>
        <v>-4.9896049896049899E-3</v>
      </c>
    </row>
    <row r="9" spans="1:10" s="5" customFormat="1" x14ac:dyDescent="0.2">
      <c r="A9" s="13">
        <v>8</v>
      </c>
      <c r="B9" s="9" t="s">
        <v>36</v>
      </c>
      <c r="C9" s="9" t="s">
        <v>7</v>
      </c>
      <c r="D9" s="9" t="s">
        <v>51</v>
      </c>
      <c r="E9" s="10">
        <v>7413</v>
      </c>
      <c r="F9" s="10">
        <v>7413</v>
      </c>
      <c r="G9" s="9" t="s">
        <v>41</v>
      </c>
      <c r="H9" s="14">
        <v>44091</v>
      </c>
      <c r="I9" s="10" t="s">
        <v>36</v>
      </c>
      <c r="J9" s="92" t="s">
        <v>36</v>
      </c>
    </row>
    <row r="10" spans="1:10" x14ac:dyDescent="0.2">
      <c r="A10" s="3">
        <v>9</v>
      </c>
      <c r="B10" s="3">
        <v>10</v>
      </c>
      <c r="C10" t="s">
        <v>7</v>
      </c>
      <c r="D10" t="s">
        <v>62</v>
      </c>
      <c r="E10" s="2">
        <v>5887</v>
      </c>
      <c r="F10" s="2">
        <v>3738336</v>
      </c>
      <c r="G10" t="s">
        <v>42</v>
      </c>
      <c r="H10" s="1">
        <v>43784</v>
      </c>
      <c r="I10" s="12">
        <f>_xlfn.IFNA(SUMIFS('Week 37 Sept 7 - Sept 13 2020'!E:E,'Week 37 Sept 7 - Sept 13 2020'!D:D,'Week 38 Sept 14 - Sept 20 2020'!D:D,'Week 37 Sept 7 - Sept 13 2020'!C:C,'Week 38 Sept 14 - Sept 20 2020'!C:C),"New")</f>
        <v>6492</v>
      </c>
      <c r="J10" s="19">
        <f t="shared" ref="J10" si="0">(E10-I10)/I10</f>
        <v>-9.3191620455945784E-2</v>
      </c>
    </row>
    <row r="11" spans="1:10" x14ac:dyDescent="0.2">
      <c r="A11" s="3">
        <v>10</v>
      </c>
      <c r="B11" s="3">
        <v>9</v>
      </c>
      <c r="C11" t="s">
        <v>7</v>
      </c>
      <c r="D11" s="4" t="s">
        <v>52</v>
      </c>
      <c r="E11" s="2">
        <v>6288</v>
      </c>
      <c r="F11" s="2">
        <v>3830717</v>
      </c>
      <c r="G11" t="s">
        <v>9</v>
      </c>
      <c r="H11" s="1">
        <v>43441</v>
      </c>
      <c r="I11" s="2">
        <f>_xlfn.IFNA(SUMIFS('Week 37 Sept 7 - Sept 13 2020'!E:E,'Week 37 Sept 7 - Sept 13 2020'!D:D,'Week 38 Sept 14 - Sept 20 2020'!D:D,'Week 37 Sept 7 - Sept 13 2020'!C:C,'Week 38 Sept 14 - Sept 20 2020'!C:C),"New")</f>
        <v>6761</v>
      </c>
      <c r="J11" s="19">
        <f t="shared" ref="J11:J22" si="1">(E11-I11)/I11</f>
        <v>-6.9960065079130301E-2</v>
      </c>
    </row>
    <row r="12" spans="1:10" x14ac:dyDescent="0.2">
      <c r="A12" s="3">
        <v>11</v>
      </c>
      <c r="B12" s="3">
        <v>11</v>
      </c>
      <c r="C12" t="s">
        <v>7</v>
      </c>
      <c r="D12" s="4" t="s">
        <v>10</v>
      </c>
      <c r="E12" s="2">
        <v>6075</v>
      </c>
      <c r="F12" s="2">
        <v>3563880</v>
      </c>
      <c r="G12" t="s">
        <v>9</v>
      </c>
      <c r="H12" s="1">
        <v>42937</v>
      </c>
      <c r="I12" s="2">
        <f>_xlfn.IFNA(SUMIFS('Week 37 Sept 7 - Sept 13 2020'!E:E,'Week 37 Sept 7 - Sept 13 2020'!D:D,'Week 38 Sept 14 - Sept 20 2020'!D:D,'Week 37 Sept 7 - Sept 13 2020'!C:C,'Week 38 Sept 14 - Sept 20 2020'!C:C),"New")</f>
        <v>6126</v>
      </c>
      <c r="J12" s="19">
        <f t="shared" si="1"/>
        <v>-8.3251714005876595E-3</v>
      </c>
    </row>
    <row r="13" spans="1:10" x14ac:dyDescent="0.2">
      <c r="A13" s="3">
        <v>12</v>
      </c>
      <c r="B13" s="3">
        <v>4</v>
      </c>
      <c r="C13" t="s">
        <v>7</v>
      </c>
      <c r="D13" s="4" t="s">
        <v>58</v>
      </c>
      <c r="E13" s="2">
        <v>5978</v>
      </c>
      <c r="F13" s="2">
        <v>17428</v>
      </c>
      <c r="G13" t="s">
        <v>28</v>
      </c>
      <c r="H13" s="1">
        <v>44082</v>
      </c>
      <c r="I13" s="2">
        <f>_xlfn.IFNA(SUMIFS('Week 37 Sept 7 - Sept 13 2020'!E:E,'Week 37 Sept 7 - Sept 13 2020'!D:D,'Week 38 Sept 14 - Sept 20 2020'!D:D,'Week 37 Sept 7 - Sept 13 2020'!C:C,'Week 38 Sept 14 - Sept 20 2020'!C:C),"New")</f>
        <v>11450</v>
      </c>
      <c r="J13" s="19">
        <f t="shared" si="1"/>
        <v>-0.47790393013100435</v>
      </c>
    </row>
    <row r="14" spans="1:10" x14ac:dyDescent="0.2">
      <c r="A14" s="3">
        <v>13</v>
      </c>
      <c r="B14" s="3">
        <v>14</v>
      </c>
      <c r="C14" t="s">
        <v>7</v>
      </c>
      <c r="D14" s="4" t="s">
        <v>13</v>
      </c>
      <c r="E14" s="2">
        <v>5683</v>
      </c>
      <c r="F14" s="2">
        <v>1554931</v>
      </c>
      <c r="G14" t="s">
        <v>9</v>
      </c>
      <c r="H14" s="1">
        <v>43378</v>
      </c>
      <c r="I14" s="2">
        <f>_xlfn.IFNA(SUMIFS('Week 37 Sept 7 - Sept 13 2020'!E:E,'Week 37 Sept 7 - Sept 13 2020'!D:D,'Week 38 Sept 14 - Sept 20 2020'!D:D,'Week 37 Sept 7 - Sept 13 2020'!C:C,'Week 38 Sept 14 - Sept 20 2020'!C:C),"New")</f>
        <v>5283</v>
      </c>
      <c r="J14" s="19">
        <f t="shared" si="1"/>
        <v>7.5714556123414725E-2</v>
      </c>
    </row>
    <row r="15" spans="1:10" x14ac:dyDescent="0.2">
      <c r="A15" s="3">
        <v>14</v>
      </c>
      <c r="B15" s="3">
        <v>13</v>
      </c>
      <c r="C15" t="s">
        <v>7</v>
      </c>
      <c r="D15" s="4" t="s">
        <v>12</v>
      </c>
      <c r="E15" s="2">
        <v>5674</v>
      </c>
      <c r="F15" s="2">
        <v>1505288</v>
      </c>
      <c r="G15" t="s">
        <v>28</v>
      </c>
      <c r="H15" s="1">
        <v>43272</v>
      </c>
      <c r="I15" s="2">
        <f>_xlfn.IFNA(SUMIFS('Week 37 Sept 7 - Sept 13 2020'!E:E,'Week 37 Sept 7 - Sept 13 2020'!D:D,'Week 38 Sept 14 - Sept 20 2020'!D:D,'Week 37 Sept 7 - Sept 13 2020'!C:C,'Week 38 Sept 14 - Sept 20 2020'!C:C),"New")</f>
        <v>5516</v>
      </c>
      <c r="J15" s="19">
        <f t="shared" si="1"/>
        <v>2.864394488759971E-2</v>
      </c>
    </row>
    <row r="16" spans="1:10" x14ac:dyDescent="0.2">
      <c r="A16" s="3">
        <v>15</v>
      </c>
      <c r="B16" s="3">
        <v>18</v>
      </c>
      <c r="C16" t="s">
        <v>7</v>
      </c>
      <c r="D16" s="4" t="s">
        <v>16</v>
      </c>
      <c r="E16" s="2">
        <v>4658</v>
      </c>
      <c r="F16" s="2">
        <v>297821</v>
      </c>
      <c r="G16" t="s">
        <v>9</v>
      </c>
      <c r="H16" s="1">
        <v>43826</v>
      </c>
      <c r="I16" s="2">
        <f>_xlfn.IFNA(SUMIFS('Week 37 Sept 7 - Sept 13 2020'!E:E,'Week 37 Sept 7 - Sept 13 2020'!D:D,'Week 38 Sept 14 - Sept 20 2020'!D:D,'Week 37 Sept 7 - Sept 13 2020'!C:C,'Week 38 Sept 14 - Sept 20 2020'!C:C),"New")</f>
        <v>3725</v>
      </c>
      <c r="J16" s="19">
        <f t="shared" si="1"/>
        <v>0.25046979865771812</v>
      </c>
    </row>
    <row r="17" spans="1:10" x14ac:dyDescent="0.2">
      <c r="A17" s="3">
        <v>16</v>
      </c>
      <c r="B17" s="3">
        <v>12</v>
      </c>
      <c r="C17" t="s">
        <v>8</v>
      </c>
      <c r="D17" s="4" t="s">
        <v>11</v>
      </c>
      <c r="E17" s="2">
        <v>4562</v>
      </c>
      <c r="F17" s="2">
        <v>395813</v>
      </c>
      <c r="G17" t="s">
        <v>30</v>
      </c>
      <c r="H17" s="1">
        <v>44029</v>
      </c>
      <c r="I17" s="2">
        <f>_xlfn.IFNA(SUMIFS('Week 37 Sept 7 - Sept 13 2020'!E:E,'Week 37 Sept 7 - Sept 13 2020'!D:D,'Week 38 Sept 14 - Sept 20 2020'!D:D,'Week 37 Sept 7 - Sept 13 2020'!C:C,'Week 38 Sept 14 - Sept 20 2020'!C:C),"New")</f>
        <v>6108</v>
      </c>
      <c r="J17" s="19">
        <f t="shared" si="1"/>
        <v>-0.25311067452521285</v>
      </c>
    </row>
    <row r="18" spans="1:10" x14ac:dyDescent="0.2">
      <c r="A18" s="3">
        <v>17</v>
      </c>
      <c r="B18" s="3">
        <v>17</v>
      </c>
      <c r="C18" t="s">
        <v>7</v>
      </c>
      <c r="D18" s="4" t="s">
        <v>39</v>
      </c>
      <c r="E18" s="2">
        <v>4297</v>
      </c>
      <c r="F18" s="2">
        <v>1649922</v>
      </c>
      <c r="G18" t="s">
        <v>9</v>
      </c>
      <c r="H18" s="1">
        <v>42797</v>
      </c>
      <c r="I18" s="2">
        <f>_xlfn.IFNA(SUMIFS('Week 37 Sept 7 - Sept 13 2020'!E:E,'Week 37 Sept 7 - Sept 13 2020'!D:D,'Week 38 Sept 14 - Sept 20 2020'!D:D,'Week 37 Sept 7 - Sept 13 2020'!C:C,'Week 38 Sept 14 - Sept 20 2020'!C:C),"New")</f>
        <v>4575</v>
      </c>
      <c r="J18" s="19">
        <f t="shared" si="1"/>
        <v>-6.0765027322404373E-2</v>
      </c>
    </row>
    <row r="19" spans="1:10" x14ac:dyDescent="0.2">
      <c r="A19" s="3">
        <v>18</v>
      </c>
      <c r="B19" s="3">
        <v>15</v>
      </c>
      <c r="C19" t="s">
        <v>7</v>
      </c>
      <c r="D19" s="4" t="s">
        <v>14</v>
      </c>
      <c r="E19" s="2">
        <v>4186</v>
      </c>
      <c r="F19" s="2">
        <v>224358</v>
      </c>
      <c r="G19" t="s">
        <v>32</v>
      </c>
      <c r="H19" s="1">
        <v>44021</v>
      </c>
      <c r="I19" s="2">
        <f>_xlfn.IFNA(SUMIFS('Week 37 Sept 7 - Sept 13 2020'!E:E,'Week 37 Sept 7 - Sept 13 2020'!D:D,'Week 38 Sept 14 - Sept 20 2020'!D:D,'Week 37 Sept 7 - Sept 13 2020'!C:C,'Week 38 Sept 14 - Sept 20 2020'!C:C),"New")</f>
        <v>5097</v>
      </c>
      <c r="J19" s="19">
        <f t="shared" si="1"/>
        <v>-0.17873258779674317</v>
      </c>
    </row>
    <row r="20" spans="1:10" x14ac:dyDescent="0.2">
      <c r="A20" s="3">
        <v>19</v>
      </c>
      <c r="B20" s="3">
        <v>16</v>
      </c>
      <c r="C20" t="s">
        <v>7</v>
      </c>
      <c r="D20" s="4" t="s">
        <v>15</v>
      </c>
      <c r="E20" s="2">
        <v>4116</v>
      </c>
      <c r="F20" s="2">
        <v>252875</v>
      </c>
      <c r="G20" t="s">
        <v>9</v>
      </c>
      <c r="H20" s="1">
        <v>44029</v>
      </c>
      <c r="I20" s="2">
        <f>_xlfn.IFNA(SUMIFS('Week 37 Sept 7 - Sept 13 2020'!E:E,'Week 37 Sept 7 - Sept 13 2020'!D:D,'Week 38 Sept 14 - Sept 20 2020'!D:D,'Week 37 Sept 7 - Sept 13 2020'!C:C,'Week 38 Sept 14 - Sept 20 2020'!C:C),"New")</f>
        <v>4649</v>
      </c>
      <c r="J20" s="19">
        <f t="shared" si="1"/>
        <v>-0.11464831146483115</v>
      </c>
    </row>
    <row r="21" spans="1:10" x14ac:dyDescent="0.2">
      <c r="A21" s="3">
        <v>20</v>
      </c>
      <c r="B21" s="3">
        <v>19</v>
      </c>
      <c r="C21" t="s">
        <v>7</v>
      </c>
      <c r="D21" s="4" t="s">
        <v>17</v>
      </c>
      <c r="E21" s="2">
        <v>3717</v>
      </c>
      <c r="F21" s="2">
        <v>899432</v>
      </c>
      <c r="G21" t="s">
        <v>9</v>
      </c>
      <c r="H21" s="1">
        <v>43476</v>
      </c>
      <c r="I21" s="2">
        <f>_xlfn.IFNA(SUMIFS('Week 37 Sept 7 - Sept 13 2020'!E:E,'Week 37 Sept 7 - Sept 13 2020'!D:D,'Week 38 Sept 14 - Sept 20 2020'!D:D,'Week 37 Sept 7 - Sept 13 2020'!C:C,'Week 38 Sept 14 - Sept 20 2020'!C:C),"New")</f>
        <v>3159</v>
      </c>
      <c r="J21" s="19">
        <f t="shared" si="1"/>
        <v>0.17663817663817663</v>
      </c>
    </row>
    <row r="22" spans="1:10" x14ac:dyDescent="0.2">
      <c r="A22" s="3">
        <v>21</v>
      </c>
      <c r="B22" s="3">
        <v>6</v>
      </c>
      <c r="C22" t="s">
        <v>8</v>
      </c>
      <c r="D22" s="4" t="s">
        <v>54</v>
      </c>
      <c r="E22" s="2">
        <v>3502</v>
      </c>
      <c r="F22" s="2">
        <v>54373</v>
      </c>
      <c r="G22" t="s">
        <v>27</v>
      </c>
      <c r="H22" s="1">
        <v>44078</v>
      </c>
      <c r="I22" s="2">
        <f>_xlfn.IFNA(SUMIFS('Week 37 Sept 7 - Sept 13 2020'!E:E,'Week 37 Sept 7 - Sept 13 2020'!D:D,'Week 38 Sept 14 - Sept 20 2020'!D:D,'Week 37 Sept 7 - Sept 13 2020'!C:C,'Week 38 Sept 14 - Sept 20 2020'!C:C),"New")</f>
        <v>7892</v>
      </c>
      <c r="J22" s="19">
        <f t="shared" si="1"/>
        <v>-0.55625950329447538</v>
      </c>
    </row>
    <row r="23" spans="1:10" s="5" customFormat="1" x14ac:dyDescent="0.2">
      <c r="A23" s="13">
        <v>22</v>
      </c>
      <c r="B23" s="9" t="s">
        <v>36</v>
      </c>
      <c r="C23" s="9" t="s">
        <v>7</v>
      </c>
      <c r="D23" s="9" t="s">
        <v>55</v>
      </c>
      <c r="E23" s="10">
        <v>3158</v>
      </c>
      <c r="F23" s="10">
        <v>3158</v>
      </c>
      <c r="G23" s="9" t="s">
        <v>43</v>
      </c>
      <c r="H23" s="14">
        <v>44091</v>
      </c>
      <c r="I23" s="10" t="s">
        <v>36</v>
      </c>
      <c r="J23" s="92" t="s">
        <v>36</v>
      </c>
    </row>
    <row r="24" spans="1:10" x14ac:dyDescent="0.2">
      <c r="A24" s="3">
        <v>23</v>
      </c>
      <c r="B24" s="3">
        <v>21</v>
      </c>
      <c r="C24" t="s">
        <v>7</v>
      </c>
      <c r="D24" s="4" t="s">
        <v>19</v>
      </c>
      <c r="E24" s="2">
        <v>2520</v>
      </c>
      <c r="F24" s="2">
        <v>965965</v>
      </c>
      <c r="G24" t="s">
        <v>9</v>
      </c>
      <c r="H24" s="1">
        <v>43644</v>
      </c>
      <c r="I24" s="2">
        <f>_xlfn.IFNA(SUMIFS('Week 37 Sept 7 - Sept 13 2020'!E:E,'Week 37 Sept 7 - Sept 13 2020'!D:D,'Week 38 Sept 14 - Sept 20 2020'!D:D,'Week 37 Sept 7 - Sept 13 2020'!C:C,'Week 38 Sept 14 - Sept 20 2020'!C:C),"New")</f>
        <v>2465</v>
      </c>
      <c r="J24" s="19">
        <f>(E24-I24)/I24</f>
        <v>2.231237322515213E-2</v>
      </c>
    </row>
    <row r="25" spans="1:10" x14ac:dyDescent="0.2">
      <c r="A25" s="3">
        <v>24</v>
      </c>
      <c r="B25" s="3">
        <v>26</v>
      </c>
      <c r="C25" t="s">
        <v>7</v>
      </c>
      <c r="D25" s="4" t="s">
        <v>56</v>
      </c>
      <c r="E25" s="2">
        <v>2216</v>
      </c>
      <c r="F25" s="2">
        <v>33477</v>
      </c>
      <c r="G25" t="s">
        <v>38</v>
      </c>
      <c r="H25" s="1">
        <v>44007</v>
      </c>
      <c r="I25" s="12">
        <f>_xlfn.IFNA(SUMIFS('Week 37 Sept 7 - Sept 13 2020'!E:E,'Week 37 Sept 7 - Sept 13 2020'!D:D,'Week 38 Sept 14 - Sept 20 2020'!D:D,'Week 37 Sept 7 - Sept 13 2020'!C:C,'Week 38 Sept 14 - Sept 20 2020'!C:C),"New")</f>
        <v>2257</v>
      </c>
      <c r="J25" s="19">
        <f t="shared" ref="J25:J26" si="2">(E25-I25)/I25</f>
        <v>-1.8165706690296855E-2</v>
      </c>
    </row>
    <row r="26" spans="1:10" x14ac:dyDescent="0.2">
      <c r="A26" s="3">
        <v>25</v>
      </c>
      <c r="B26" s="3">
        <v>22</v>
      </c>
      <c r="C26" t="s">
        <v>7</v>
      </c>
      <c r="D26" s="4" t="s">
        <v>20</v>
      </c>
      <c r="E26" s="2">
        <v>2199</v>
      </c>
      <c r="F26" s="2">
        <v>490598</v>
      </c>
      <c r="G26" t="s">
        <v>34</v>
      </c>
      <c r="H26" s="1">
        <v>43671</v>
      </c>
      <c r="I26" s="12">
        <f>_xlfn.IFNA(SUMIFS('Week 37 Sept 7 - Sept 13 2020'!E:E,'Week 37 Sept 7 - Sept 13 2020'!D:D,'Week 38 Sept 14 - Sept 20 2020'!D:D,'Week 37 Sept 7 - Sept 13 2020'!C:C,'Week 38 Sept 14 - Sept 20 2020'!C:C),"New")</f>
        <v>2464</v>
      </c>
      <c r="J26" s="19">
        <f t="shared" si="2"/>
        <v>-0.1075487012987013</v>
      </c>
    </row>
    <row r="27" spans="1:10" x14ac:dyDescent="0.2">
      <c r="A27" s="3">
        <v>26</v>
      </c>
      <c r="B27" s="3">
        <v>30</v>
      </c>
      <c r="C27" t="s">
        <v>7</v>
      </c>
      <c r="D27" s="4" t="s">
        <v>26</v>
      </c>
      <c r="E27" s="2">
        <v>2113</v>
      </c>
      <c r="F27" s="2">
        <v>2125977</v>
      </c>
      <c r="G27" t="s">
        <v>9</v>
      </c>
      <c r="H27" s="1">
        <v>43035</v>
      </c>
      <c r="I27" s="2">
        <f>_xlfn.IFNA(SUMIFS('Week 37 Sept 7 - Sept 13 2020'!E:E,'Week 37 Sept 7 - Sept 13 2020'!D:D,'Week 38 Sept 14 - Sept 20 2020'!D:D,'Week 37 Sept 7 - Sept 13 2020'!C:C,'Week 38 Sept 14 - Sept 20 2020'!C:C),"New")</f>
        <v>1858</v>
      </c>
      <c r="J27" s="19">
        <f>(E27-I27)/I27</f>
        <v>0.13724434876210981</v>
      </c>
    </row>
    <row r="28" spans="1:10" x14ac:dyDescent="0.2">
      <c r="A28" s="3">
        <v>27</v>
      </c>
      <c r="B28" s="3">
        <v>20</v>
      </c>
      <c r="C28" t="s">
        <v>8</v>
      </c>
      <c r="D28" s="4" t="s">
        <v>18</v>
      </c>
      <c r="E28" s="2">
        <v>1995</v>
      </c>
      <c r="F28" s="2">
        <v>96140</v>
      </c>
      <c r="G28" t="s">
        <v>44</v>
      </c>
      <c r="H28" s="1">
        <v>44070</v>
      </c>
      <c r="I28" s="2">
        <f>_xlfn.IFNA(SUMIFS('Week 37 Sept 7 - Sept 13 2020'!E:E,'Week 37 Sept 7 - Sept 13 2020'!D:D,'Week 38 Sept 14 - Sept 20 2020'!D:D,'Week 37 Sept 7 - Sept 13 2020'!C:C,'Week 38 Sept 14 - Sept 20 2020'!C:C),"New")</f>
        <v>2859</v>
      </c>
      <c r="J28" s="19">
        <f>(E28-I28)/I28</f>
        <v>-0.30220356768100737</v>
      </c>
    </row>
    <row r="29" spans="1:10" x14ac:dyDescent="0.2">
      <c r="A29" s="3">
        <v>28</v>
      </c>
      <c r="B29" s="3">
        <v>23</v>
      </c>
      <c r="C29" t="s">
        <v>7</v>
      </c>
      <c r="D29" s="4" t="s">
        <v>21</v>
      </c>
      <c r="E29" s="2">
        <v>1837</v>
      </c>
      <c r="F29" s="2">
        <v>24227</v>
      </c>
      <c r="G29" t="s">
        <v>34</v>
      </c>
      <c r="H29" s="1">
        <v>44070</v>
      </c>
      <c r="I29" s="2">
        <f>_xlfn.IFNA(SUMIFS('Week 37 Sept 7 - Sept 13 2020'!E:E,'Week 37 Sept 7 - Sept 13 2020'!D:D,'Week 38 Sept 14 - Sept 20 2020'!D:D,'Week 37 Sept 7 - Sept 13 2020'!C:C,'Week 38 Sept 14 - Sept 20 2020'!C:C),"New")</f>
        <v>2456</v>
      </c>
      <c r="J29" s="19">
        <f>(E29-I29)/I29</f>
        <v>-0.25203583061889251</v>
      </c>
    </row>
    <row r="30" spans="1:10" x14ac:dyDescent="0.2">
      <c r="A30" s="3">
        <v>29</v>
      </c>
      <c r="B30" s="3">
        <v>29</v>
      </c>
      <c r="C30" t="s">
        <v>7</v>
      </c>
      <c r="D30" s="4" t="s">
        <v>25</v>
      </c>
      <c r="E30" s="2">
        <v>1768</v>
      </c>
      <c r="F30" s="2">
        <v>514110</v>
      </c>
      <c r="G30" t="s">
        <v>34</v>
      </c>
      <c r="H30" s="1">
        <v>43300</v>
      </c>
      <c r="I30" s="2">
        <f>_xlfn.IFNA(SUMIFS('Week 37 Sept 7 - Sept 13 2020'!E:E,'Week 37 Sept 7 - Sept 13 2020'!D:D,'Week 38 Sept 14 - Sept 20 2020'!D:D,'Week 37 Sept 7 - Sept 13 2020'!C:C,'Week 38 Sept 14 - Sept 20 2020'!C:C),"New")</f>
        <v>2009</v>
      </c>
      <c r="J30" s="19">
        <f>(E30-I30)/I30</f>
        <v>-0.11996017919362867</v>
      </c>
    </row>
    <row r="31" spans="1:10" s="15" customFormat="1" x14ac:dyDescent="0.2">
      <c r="A31" s="36">
        <v>30</v>
      </c>
      <c r="B31" s="35" t="s">
        <v>53</v>
      </c>
      <c r="C31" s="32" t="s">
        <v>7</v>
      </c>
      <c r="D31" s="31" t="s">
        <v>57</v>
      </c>
      <c r="E31" s="37">
        <v>1750</v>
      </c>
      <c r="F31" s="37">
        <v>685436</v>
      </c>
      <c r="G31" s="32" t="s">
        <v>9</v>
      </c>
      <c r="H31" s="34">
        <v>43769</v>
      </c>
      <c r="I31" s="38"/>
      <c r="J31" s="119"/>
    </row>
    <row r="33" spans="4:5" x14ac:dyDescent="0.2">
      <c r="D33" s="2" t="s">
        <v>59</v>
      </c>
      <c r="E33" s="2">
        <f>SUM(E2:E31)</f>
        <v>446661</v>
      </c>
    </row>
    <row r="34" spans="4:5" x14ac:dyDescent="0.2">
      <c r="D34" s="100" t="s">
        <v>178</v>
      </c>
      <c r="E34" s="101">
        <f>SUM('Week 37 Sept 7 - Sept 13 2020'!E34,'Week 38 Sept 14 - Sept 20 2020'!E33)</f>
        <v>17428448</v>
      </c>
    </row>
    <row r="35" spans="4:5" x14ac:dyDescent="0.2">
      <c r="D35" s="2" t="s">
        <v>60</v>
      </c>
      <c r="E35" s="2">
        <f>AVERAGE(E2:E31)</f>
        <v>14888.7</v>
      </c>
    </row>
    <row r="36" spans="4:5" x14ac:dyDescent="0.2">
      <c r="D36" s="9" t="s">
        <v>78</v>
      </c>
      <c r="E36" s="10">
        <f>COUNTIF(B:B,"New")</f>
        <v>5</v>
      </c>
    </row>
    <row r="38" spans="4:5" x14ac:dyDescent="0.2">
      <c r="D38" t="s">
        <v>66</v>
      </c>
    </row>
    <row r="39" spans="4:5" x14ac:dyDescent="0.2">
      <c r="D39" s="8" t="s">
        <v>67</v>
      </c>
    </row>
    <row r="40" spans="4:5" x14ac:dyDescent="0.2">
      <c r="D40" s="8" t="s">
        <v>65</v>
      </c>
    </row>
    <row r="41" spans="4:5" x14ac:dyDescent="0.2">
      <c r="D41" s="8" t="s">
        <v>71</v>
      </c>
    </row>
  </sheetData>
  <hyperlinks>
    <hyperlink ref="D40" r:id="rId1" display="Sources: Gematsu" xr:uid="{3DA59681-B157-0D4A-8A54-978797325739}"/>
    <hyperlink ref="D39" r:id="rId2" xr:uid="{746631C5-9672-224F-B262-5D0CD633CBF0}"/>
    <hyperlink ref="D41" r:id="rId3" xr:uid="{AB9BE879-6B46-DD4C-A775-A755C21C5841}"/>
  </hyperlinks>
  <pageMargins left="0.7" right="0.7" top="0.75" bottom="0.75" header="0.3" footer="0.3"/>
  <pageSetup paperSize="9" orientation="portrait" horizontalDpi="0" verticalDpi="0"/>
  <ignoredErrors>
    <ignoredError sqref="I2:I3 I4:I30" calculatedColumn="1"/>
  </ignoredErrors>
  <tableParts count="1">
    <tablePart r:id="rId4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3BBBB-E319-3D46-B98E-021BF6FB9789}">
  <dimension ref="A1:N42"/>
  <sheetViews>
    <sheetView workbookViewId="0">
      <selection activeCell="D11" sqref="D11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70.33203125" bestFit="1" customWidth="1"/>
    <col min="5" max="5" width="10.83203125" style="2" bestFit="1" customWidth="1"/>
    <col min="6" max="6" width="10.1640625" style="2" bestFit="1" customWidth="1"/>
    <col min="7" max="7" width="24.83203125" bestFit="1" customWidth="1"/>
    <col min="8" max="8" width="12.1640625" style="22" bestFit="1" customWidth="1"/>
    <col min="9" max="9" width="16" style="2" bestFit="1" customWidth="1"/>
    <col min="10" max="10" width="16.83203125" style="6" bestFit="1" customWidth="1"/>
  </cols>
  <sheetData>
    <row r="1" spans="1:14" x14ac:dyDescent="0.2">
      <c r="A1" s="41" t="s">
        <v>0</v>
      </c>
      <c r="B1" s="41" t="s">
        <v>35</v>
      </c>
      <c r="C1" s="42" t="s">
        <v>1</v>
      </c>
      <c r="D1" s="42" t="s">
        <v>2</v>
      </c>
      <c r="E1" s="43" t="s">
        <v>3</v>
      </c>
      <c r="F1" s="43" t="s">
        <v>4</v>
      </c>
      <c r="G1" s="42" t="s">
        <v>5</v>
      </c>
      <c r="H1" s="45" t="s">
        <v>6</v>
      </c>
      <c r="I1" s="43" t="s">
        <v>64</v>
      </c>
      <c r="J1" s="44" t="s">
        <v>63</v>
      </c>
    </row>
    <row r="2" spans="1:14" x14ac:dyDescent="0.2">
      <c r="A2">
        <v>1</v>
      </c>
      <c r="B2">
        <v>1</v>
      </c>
      <c r="C2" t="s">
        <v>7</v>
      </c>
      <c r="D2" t="s">
        <v>40</v>
      </c>
      <c r="E2" s="2">
        <v>63803</v>
      </c>
      <c r="F2" s="2">
        <v>273939</v>
      </c>
      <c r="G2" t="s">
        <v>9</v>
      </c>
      <c r="H2" s="22">
        <v>44092</v>
      </c>
      <c r="I2" s="2">
        <f>_xlfn.IFNA(SUMIFS('Week 38 Sept 14 - Sept 20 2020'!E:E,'Week 38 Sept 14 - Sept 20 2020'!D:D,'Week 39 Sept 21 - Sept 27 2020'!D:D,'Week 38 Sept 14 - Sept 20 2020'!C:C,'Week 39 Sept 21 - Sept 27 2020'!C:C),"New")</f>
        <v>210136</v>
      </c>
      <c r="J2" s="6">
        <f t="shared" ref="J2:J31" si="0">(E2-I2)/I2</f>
        <v>-0.69637282521795407</v>
      </c>
    </row>
    <row r="3" spans="1:14" x14ac:dyDescent="0.2">
      <c r="A3">
        <v>2</v>
      </c>
      <c r="B3">
        <v>3</v>
      </c>
      <c r="C3" t="s">
        <v>7</v>
      </c>
      <c r="D3" t="s">
        <v>46</v>
      </c>
      <c r="E3" s="2">
        <v>29829</v>
      </c>
      <c r="F3" s="2">
        <v>5754082</v>
      </c>
      <c r="G3" t="s">
        <v>9</v>
      </c>
      <c r="H3" s="22">
        <v>43910</v>
      </c>
      <c r="I3" s="2">
        <f>_xlfn.IFNA(SUMIFS('Week 38 Sept 14 - Sept 20 2020'!E:E,'Week 38 Sept 14 - Sept 20 2020'!D:D,'Week 39 Sept 21 - Sept 27 2020'!D:D,'Week 38 Sept 14 - Sept 20 2020'!C:C,'Week 39 Sept 21 - Sept 27 2020'!C:C),"New")</f>
        <v>32097</v>
      </c>
      <c r="J3" s="6">
        <f t="shared" si="0"/>
        <v>-7.0660809421441262E-2</v>
      </c>
    </row>
    <row r="4" spans="1:14" x14ac:dyDescent="0.2">
      <c r="A4">
        <v>3</v>
      </c>
      <c r="B4">
        <v>2</v>
      </c>
      <c r="C4" t="s">
        <v>7</v>
      </c>
      <c r="D4" t="s">
        <v>45</v>
      </c>
      <c r="E4" s="2">
        <v>25915</v>
      </c>
      <c r="F4" s="2">
        <v>1602185</v>
      </c>
      <c r="G4" t="s">
        <v>9</v>
      </c>
      <c r="H4" s="22">
        <v>43756</v>
      </c>
      <c r="I4" s="2">
        <f>_xlfn.IFNA(SUMIFS('Week 38 Sept 14 - Sept 20 2020'!E:E,'Week 38 Sept 14 - Sept 20 2020'!D:D,'Week 39 Sept 21 - Sept 27 2020'!D:D,'Week 38 Sept 14 - Sept 20 2020'!C:C,'Week 39 Sept 21 - Sept 27 2020'!C:C),"New")</f>
        <v>48826</v>
      </c>
      <c r="J4" s="6">
        <f t="shared" si="0"/>
        <v>-0.46923770122475728</v>
      </c>
      <c r="L4" s="2"/>
      <c r="M4" s="2"/>
      <c r="N4" s="130"/>
    </row>
    <row r="5" spans="1:14" x14ac:dyDescent="0.2">
      <c r="A5">
        <v>4</v>
      </c>
      <c r="B5">
        <v>6</v>
      </c>
      <c r="C5" t="s">
        <v>7</v>
      </c>
      <c r="D5" t="s">
        <v>49</v>
      </c>
      <c r="E5" s="2">
        <v>13470</v>
      </c>
      <c r="F5" s="2">
        <v>3184225</v>
      </c>
      <c r="G5" t="s">
        <v>9</v>
      </c>
      <c r="H5" s="22">
        <v>42853</v>
      </c>
      <c r="I5" s="2">
        <f>_xlfn.IFNA(SUMIFS('Week 38 Sept 14 - Sept 20 2020'!E:E,'Week 38 Sept 14 - Sept 20 2020'!D:D,'Week 39 Sept 21 - Sept 27 2020'!D:D,'Week 38 Sept 14 - Sept 20 2020'!C:C,'Week 39 Sept 21 - Sept 27 2020'!C:C),"New")</f>
        <v>13094</v>
      </c>
      <c r="J5" s="6">
        <f t="shared" si="0"/>
        <v>2.8715442187261343E-2</v>
      </c>
    </row>
    <row r="6" spans="1:14" x14ac:dyDescent="0.2">
      <c r="A6">
        <v>5</v>
      </c>
      <c r="B6">
        <v>4</v>
      </c>
      <c r="C6" t="s">
        <v>8</v>
      </c>
      <c r="D6" t="s">
        <v>47</v>
      </c>
      <c r="E6" s="2">
        <v>9781</v>
      </c>
      <c r="F6" s="2">
        <v>35996</v>
      </c>
      <c r="G6" t="s">
        <v>32</v>
      </c>
      <c r="H6" s="22">
        <v>44091</v>
      </c>
      <c r="I6" s="2">
        <f>_xlfn.IFNA(SUMIFS('Week 38 Sept 14 - Sept 20 2020'!E:E,'Week 38 Sept 14 - Sept 20 2020'!D:D,'Week 39 Sept 21 - Sept 27 2020'!D:D,'Week 38 Sept 14 - Sept 20 2020'!C:C,'Week 39 Sept 21 - Sept 27 2020'!C:C),"New")</f>
        <v>26215</v>
      </c>
      <c r="J6" s="6">
        <f t="shared" si="0"/>
        <v>-0.62689300019073046</v>
      </c>
    </row>
    <row r="7" spans="1:14" x14ac:dyDescent="0.2">
      <c r="A7">
        <v>6</v>
      </c>
      <c r="B7">
        <v>7</v>
      </c>
      <c r="C7" t="s">
        <v>7</v>
      </c>
      <c r="D7" t="s">
        <v>50</v>
      </c>
      <c r="E7" s="2">
        <v>9583</v>
      </c>
      <c r="F7" s="2">
        <v>391195</v>
      </c>
      <c r="G7" t="s">
        <v>9</v>
      </c>
      <c r="H7" s="22">
        <v>43987</v>
      </c>
      <c r="I7" s="2">
        <f>_xlfn.IFNA(SUMIFS('Week 38 Sept 14 - Sept 20 2020'!E:E,'Week 38 Sept 14 - Sept 20 2020'!D:D,'Week 39 Sept 21 - Sept 27 2020'!D:D,'Week 38 Sept 14 - Sept 20 2020'!C:C,'Week 39 Sept 21 - Sept 27 2020'!C:C),"New")</f>
        <v>9572</v>
      </c>
      <c r="J7" s="6">
        <f t="shared" si="0"/>
        <v>1.1491851232762224E-3</v>
      </c>
    </row>
    <row r="8" spans="1:14" x14ac:dyDescent="0.2">
      <c r="A8">
        <v>7</v>
      </c>
      <c r="B8">
        <v>9</v>
      </c>
      <c r="C8" t="s">
        <v>7</v>
      </c>
      <c r="D8" s="40" t="s">
        <v>62</v>
      </c>
      <c r="E8" s="2">
        <v>7019</v>
      </c>
      <c r="F8" s="2">
        <v>3745355</v>
      </c>
      <c r="G8" t="s">
        <v>42</v>
      </c>
      <c r="H8" s="22">
        <v>43784</v>
      </c>
      <c r="I8" s="2">
        <f>_xlfn.IFNA(SUMIFS('Week 38 Sept 14 - Sept 20 2020'!E:E,'Week 38 Sept 14 - Sept 20 2020'!D:D,'Week 39 Sept 21 - Sept 27 2020'!D:D,'Week 38 Sept 14 - Sept 20 2020'!C:C,'Week 39 Sept 21 - Sept 27 2020'!C:C),"New")</f>
        <v>5887</v>
      </c>
      <c r="J8" s="6">
        <f t="shared" si="0"/>
        <v>0.19228809240699848</v>
      </c>
    </row>
    <row r="9" spans="1:14" x14ac:dyDescent="0.2">
      <c r="A9">
        <v>8</v>
      </c>
      <c r="B9">
        <v>14</v>
      </c>
      <c r="C9" t="s">
        <v>7</v>
      </c>
      <c r="D9" t="s">
        <v>12</v>
      </c>
      <c r="E9" s="2">
        <v>6979</v>
      </c>
      <c r="F9" s="2">
        <v>1512267</v>
      </c>
      <c r="G9" t="s">
        <v>28</v>
      </c>
      <c r="H9" s="22">
        <v>43272</v>
      </c>
      <c r="I9" s="2">
        <f>_xlfn.IFNA(SUMIFS('Week 38 Sept 14 - Sept 20 2020'!E:E,'Week 38 Sept 14 - Sept 20 2020'!D:D,'Week 39 Sept 21 - Sept 27 2020'!D:D,'Week 38 Sept 14 - Sept 20 2020'!C:C,'Week 39 Sept 21 - Sept 27 2020'!C:C),"New")</f>
        <v>5674</v>
      </c>
      <c r="J9" s="6">
        <f t="shared" si="0"/>
        <v>0.22999647514980615</v>
      </c>
    </row>
    <row r="10" spans="1:14" x14ac:dyDescent="0.2">
      <c r="A10">
        <v>9</v>
      </c>
      <c r="B10">
        <v>11</v>
      </c>
      <c r="C10" t="s">
        <v>7</v>
      </c>
      <c r="D10" t="s">
        <v>10</v>
      </c>
      <c r="E10" s="2">
        <v>6329</v>
      </c>
      <c r="F10" s="2">
        <v>3570209</v>
      </c>
      <c r="G10" t="s">
        <v>9</v>
      </c>
      <c r="H10" s="22">
        <v>42937</v>
      </c>
      <c r="I10" s="2">
        <f>_xlfn.IFNA(SUMIFS('Week 38 Sept 14 - Sept 20 2020'!E:E,'Week 38 Sept 14 - Sept 20 2020'!D:D,'Week 39 Sept 21 - Sept 27 2020'!D:D,'Week 38 Sept 14 - Sept 20 2020'!C:C,'Week 39 Sept 21 - Sept 27 2020'!C:C),"New")</f>
        <v>6075</v>
      </c>
      <c r="J10" s="6">
        <f t="shared" si="0"/>
        <v>4.1810699588477364E-2</v>
      </c>
    </row>
    <row r="11" spans="1:14" x14ac:dyDescent="0.2">
      <c r="A11">
        <v>10</v>
      </c>
      <c r="B11">
        <v>10</v>
      </c>
      <c r="C11" t="s">
        <v>7</v>
      </c>
      <c r="D11" s="4" t="s">
        <v>52</v>
      </c>
      <c r="E11" s="2">
        <v>6151</v>
      </c>
      <c r="F11" s="2">
        <v>3836868</v>
      </c>
      <c r="G11" t="s">
        <v>9</v>
      </c>
      <c r="H11" s="22">
        <v>43441</v>
      </c>
      <c r="I11" s="2">
        <f>_xlfn.IFNA(SUMIFS('Week 38 Sept 14 - Sept 20 2020'!E:E,'Week 38 Sept 14 - Sept 20 2020'!D:D,'Week 39 Sept 21 - Sept 27 2020'!D:D,'Week 38 Sept 14 - Sept 20 2020'!C:C,'Week 39 Sept 21 - Sept 27 2020'!C:C),"New")</f>
        <v>6288</v>
      </c>
      <c r="J11" s="6">
        <f t="shared" si="0"/>
        <v>-2.1787531806615777E-2</v>
      </c>
    </row>
    <row r="12" spans="1:14" x14ac:dyDescent="0.2">
      <c r="A12">
        <v>11</v>
      </c>
      <c r="B12">
        <v>13</v>
      </c>
      <c r="C12" t="s">
        <v>7</v>
      </c>
      <c r="D12" t="s">
        <v>13</v>
      </c>
      <c r="E12" s="2">
        <v>5938</v>
      </c>
      <c r="F12" s="2">
        <v>1560869</v>
      </c>
      <c r="G12" t="s">
        <v>9</v>
      </c>
      <c r="H12" s="22">
        <v>43378</v>
      </c>
      <c r="I12" s="2">
        <f>_xlfn.IFNA(SUMIFS('Week 38 Sept 14 - Sept 20 2020'!E:E,'Week 38 Sept 14 - Sept 20 2020'!D:D,'Week 39 Sept 21 - Sept 27 2020'!D:D,'Week 38 Sept 14 - Sept 20 2020'!C:C,'Week 39 Sept 21 - Sept 27 2020'!C:C),"New")</f>
        <v>5683</v>
      </c>
      <c r="J12" s="6">
        <f t="shared" si="0"/>
        <v>4.487066690128453E-2</v>
      </c>
    </row>
    <row r="13" spans="1:14" x14ac:dyDescent="0.2">
      <c r="A13">
        <v>12</v>
      </c>
      <c r="B13">
        <v>12</v>
      </c>
      <c r="C13" t="s">
        <v>7</v>
      </c>
      <c r="D13" s="39" t="s">
        <v>58</v>
      </c>
      <c r="E13" s="2">
        <v>5832</v>
      </c>
      <c r="F13" s="2">
        <v>23260</v>
      </c>
      <c r="G13" t="s">
        <v>28</v>
      </c>
      <c r="H13" s="22">
        <v>44082</v>
      </c>
      <c r="I13" s="2">
        <f>_xlfn.IFNA(SUMIFS('Week 38 Sept 14 - Sept 20 2020'!E:E,'Week 38 Sept 14 - Sept 20 2020'!D:D,'Week 39 Sept 21 - Sept 27 2020'!D:D,'Week 38 Sept 14 - Sept 20 2020'!C:C,'Week 39 Sept 21 - Sept 27 2020'!C:C),"New")</f>
        <v>5978</v>
      </c>
      <c r="J13" s="6">
        <f t="shared" si="0"/>
        <v>-2.4422883907661425E-2</v>
      </c>
    </row>
    <row r="14" spans="1:14" x14ac:dyDescent="0.2">
      <c r="A14" s="9">
        <v>13</v>
      </c>
      <c r="B14" s="9" t="s">
        <v>36</v>
      </c>
      <c r="C14" s="9" t="s">
        <v>8</v>
      </c>
      <c r="D14" s="9" t="s">
        <v>103</v>
      </c>
      <c r="E14" s="10">
        <v>5775</v>
      </c>
      <c r="F14" s="10">
        <v>5775</v>
      </c>
      <c r="G14" s="9" t="s">
        <v>41</v>
      </c>
      <c r="H14" s="23">
        <v>44098</v>
      </c>
      <c r="I14" s="10" t="s">
        <v>36</v>
      </c>
      <c r="J14" s="92" t="s">
        <v>36</v>
      </c>
    </row>
    <row r="15" spans="1:14" x14ac:dyDescent="0.2">
      <c r="A15" s="9">
        <v>14</v>
      </c>
      <c r="B15" s="9" t="s">
        <v>36</v>
      </c>
      <c r="C15" s="9" t="s">
        <v>8</v>
      </c>
      <c r="D15" s="9" t="s">
        <v>104</v>
      </c>
      <c r="E15" s="10">
        <v>5762</v>
      </c>
      <c r="F15" s="10">
        <v>5762</v>
      </c>
      <c r="G15" s="9" t="s">
        <v>100</v>
      </c>
      <c r="H15" s="23">
        <v>44098</v>
      </c>
      <c r="I15" s="10" t="s">
        <v>36</v>
      </c>
      <c r="J15" s="92" t="s">
        <v>36</v>
      </c>
    </row>
    <row r="16" spans="1:14" x14ac:dyDescent="0.2">
      <c r="A16">
        <v>15</v>
      </c>
      <c r="B16">
        <v>5</v>
      </c>
      <c r="C16" t="s">
        <v>7</v>
      </c>
      <c r="D16" t="s">
        <v>48</v>
      </c>
      <c r="E16" s="2">
        <v>4815</v>
      </c>
      <c r="F16" s="2">
        <v>19944</v>
      </c>
      <c r="G16" t="s">
        <v>34</v>
      </c>
      <c r="H16" s="22">
        <v>44091</v>
      </c>
      <c r="I16" s="2">
        <f>_xlfn.IFNA(SUMIFS('Week 38 Sept 14 - Sept 20 2020'!E:E,'Week 38 Sept 14 - Sept 20 2020'!D:D,'Week 39 Sept 21 - Sept 27 2020'!D:D,'Week 38 Sept 14 - Sept 20 2020'!C:C,'Week 39 Sept 21 - Sept 27 2020'!C:C),"New")</f>
        <v>15129</v>
      </c>
      <c r="J16" s="6">
        <f t="shared" si="0"/>
        <v>-0.68173706127305178</v>
      </c>
    </row>
    <row r="17" spans="1:10" x14ac:dyDescent="0.2">
      <c r="A17">
        <v>16</v>
      </c>
      <c r="B17">
        <v>17</v>
      </c>
      <c r="C17" t="s">
        <v>7</v>
      </c>
      <c r="D17" t="s">
        <v>39</v>
      </c>
      <c r="E17" s="2">
        <v>4369</v>
      </c>
      <c r="F17" s="2">
        <v>1654291</v>
      </c>
      <c r="G17" t="s">
        <v>9</v>
      </c>
      <c r="H17" s="22">
        <v>42797</v>
      </c>
      <c r="I17" s="2">
        <f>_xlfn.IFNA(SUMIFS('Week 38 Sept 14 - Sept 20 2020'!E:E,'Week 38 Sept 14 - Sept 20 2020'!D:D,'Week 39 Sept 21 - Sept 27 2020'!D:D,'Week 38 Sept 14 - Sept 20 2020'!C:C,'Week 39 Sept 21 - Sept 27 2020'!C:C),"New")</f>
        <v>4297</v>
      </c>
      <c r="J17" s="6">
        <f t="shared" si="0"/>
        <v>1.6755876192692577E-2</v>
      </c>
    </row>
    <row r="18" spans="1:10" x14ac:dyDescent="0.2">
      <c r="A18">
        <v>17</v>
      </c>
      <c r="B18">
        <v>15</v>
      </c>
      <c r="C18" t="s">
        <v>7</v>
      </c>
      <c r="D18" s="40" t="s">
        <v>16</v>
      </c>
      <c r="E18" s="2">
        <v>4342</v>
      </c>
      <c r="F18" s="2">
        <v>302163</v>
      </c>
      <c r="G18" t="s">
        <v>9</v>
      </c>
      <c r="H18" s="22">
        <v>43826</v>
      </c>
      <c r="I18" s="2">
        <f>_xlfn.IFNA(SUMIFS('Week 38 Sept 14 - Sept 20 2020'!E:E,'Week 38 Sept 14 - Sept 20 2020'!D:D,'Week 39 Sept 21 - Sept 27 2020'!D:D,'Week 38 Sept 14 - Sept 20 2020'!C:C,'Week 39 Sept 21 - Sept 27 2020'!C:C),"New")</f>
        <v>4658</v>
      </c>
      <c r="J18" s="6">
        <f t="shared" si="0"/>
        <v>-6.7840274796049801E-2</v>
      </c>
    </row>
    <row r="19" spans="1:10" x14ac:dyDescent="0.2">
      <c r="A19" s="9">
        <v>18</v>
      </c>
      <c r="B19" s="9" t="s">
        <v>36</v>
      </c>
      <c r="C19" s="9" t="s">
        <v>7</v>
      </c>
      <c r="D19" s="9" t="s">
        <v>105</v>
      </c>
      <c r="E19" s="10">
        <v>4171</v>
      </c>
      <c r="F19" s="10">
        <v>4171</v>
      </c>
      <c r="G19" s="9" t="s">
        <v>101</v>
      </c>
      <c r="H19" s="23">
        <v>44098</v>
      </c>
      <c r="I19" s="10" t="s">
        <v>36</v>
      </c>
      <c r="J19" s="92" t="s">
        <v>36</v>
      </c>
    </row>
    <row r="20" spans="1:10" x14ac:dyDescent="0.2">
      <c r="A20">
        <v>19</v>
      </c>
      <c r="B20">
        <v>19</v>
      </c>
      <c r="C20" t="s">
        <v>7</v>
      </c>
      <c r="D20" t="s">
        <v>15</v>
      </c>
      <c r="E20" s="2">
        <v>4024</v>
      </c>
      <c r="F20" s="2">
        <v>256899</v>
      </c>
      <c r="G20" t="s">
        <v>9</v>
      </c>
      <c r="H20" s="22">
        <v>44029</v>
      </c>
      <c r="I20" s="2">
        <f>_xlfn.IFNA(SUMIFS('Week 38 Sept 14 - Sept 20 2020'!E:E,'Week 38 Sept 14 - Sept 20 2020'!D:D,'Week 39 Sept 21 - Sept 27 2020'!D:D,'Week 38 Sept 14 - Sept 20 2020'!C:C,'Week 39 Sept 21 - Sept 27 2020'!C:C),"New")</f>
        <v>4116</v>
      </c>
      <c r="J20" s="6">
        <f t="shared" si="0"/>
        <v>-2.2351797862001945E-2</v>
      </c>
    </row>
    <row r="21" spans="1:10" x14ac:dyDescent="0.2">
      <c r="A21">
        <v>20</v>
      </c>
      <c r="B21">
        <v>20</v>
      </c>
      <c r="C21" t="s">
        <v>7</v>
      </c>
      <c r="D21" t="s">
        <v>17</v>
      </c>
      <c r="E21" s="2">
        <v>3991</v>
      </c>
      <c r="F21" s="2">
        <v>903423</v>
      </c>
      <c r="G21" t="s">
        <v>9</v>
      </c>
      <c r="H21" s="22">
        <v>43476</v>
      </c>
      <c r="I21" s="2">
        <f>_xlfn.IFNA(SUMIFS('Week 38 Sept 14 - Sept 20 2020'!E:E,'Week 38 Sept 14 - Sept 20 2020'!D:D,'Week 39 Sept 21 - Sept 27 2020'!D:D,'Week 38 Sept 14 - Sept 20 2020'!C:C,'Week 39 Sept 21 - Sept 27 2020'!C:C),"New")</f>
        <v>3717</v>
      </c>
      <c r="J21" s="6">
        <f t="shared" si="0"/>
        <v>7.3715361850955077E-2</v>
      </c>
    </row>
    <row r="22" spans="1:10" x14ac:dyDescent="0.2">
      <c r="A22" s="9">
        <v>21</v>
      </c>
      <c r="B22" s="9" t="s">
        <v>36</v>
      </c>
      <c r="C22" s="9" t="s">
        <v>7</v>
      </c>
      <c r="D22" s="9" t="s">
        <v>106</v>
      </c>
      <c r="E22" s="10">
        <v>3948</v>
      </c>
      <c r="F22" s="10">
        <v>3948</v>
      </c>
      <c r="G22" s="9" t="s">
        <v>43</v>
      </c>
      <c r="H22" s="23">
        <v>44098</v>
      </c>
      <c r="I22" s="10" t="s">
        <v>36</v>
      </c>
      <c r="J22" s="92" t="s">
        <v>36</v>
      </c>
    </row>
    <row r="23" spans="1:10" x14ac:dyDescent="0.2">
      <c r="A23">
        <v>22</v>
      </c>
      <c r="B23">
        <v>18</v>
      </c>
      <c r="C23" t="s">
        <v>7</v>
      </c>
      <c r="D23" t="s">
        <v>14</v>
      </c>
      <c r="E23" s="2">
        <v>3718</v>
      </c>
      <c r="F23" s="2">
        <v>228076</v>
      </c>
      <c r="G23" t="s">
        <v>32</v>
      </c>
      <c r="H23" s="22">
        <v>44021</v>
      </c>
      <c r="I23" s="2">
        <f>_xlfn.IFNA(SUMIFS('Week 38 Sept 14 - Sept 20 2020'!E:E,'Week 38 Sept 14 - Sept 20 2020'!D:D,'Week 39 Sept 21 - Sept 27 2020'!D:D,'Week 38 Sept 14 - Sept 20 2020'!C:C,'Week 39 Sept 21 - Sept 27 2020'!C:C),"New")</f>
        <v>4186</v>
      </c>
      <c r="J23" s="6">
        <f t="shared" si="0"/>
        <v>-0.11180124223602485</v>
      </c>
    </row>
    <row r="24" spans="1:10" x14ac:dyDescent="0.2">
      <c r="A24">
        <v>23</v>
      </c>
      <c r="B24">
        <v>16</v>
      </c>
      <c r="C24" t="s">
        <v>8</v>
      </c>
      <c r="D24" t="s">
        <v>11</v>
      </c>
      <c r="E24" s="2">
        <v>3557</v>
      </c>
      <c r="F24" s="2">
        <v>399370</v>
      </c>
      <c r="G24" t="s">
        <v>30</v>
      </c>
      <c r="H24" s="22">
        <v>44029</v>
      </c>
      <c r="I24" s="2">
        <f>_xlfn.IFNA(SUMIFS('Week 38 Sept 14 - Sept 20 2020'!E:E,'Week 38 Sept 14 - Sept 20 2020'!D:D,'Week 39 Sept 21 - Sept 27 2020'!D:D,'Week 38 Sept 14 - Sept 20 2020'!C:C,'Week 39 Sept 21 - Sept 27 2020'!C:C),"New")</f>
        <v>4562</v>
      </c>
      <c r="J24" s="6">
        <f t="shared" si="0"/>
        <v>-0.22029811486190268</v>
      </c>
    </row>
    <row r="25" spans="1:10" x14ac:dyDescent="0.2">
      <c r="A25" s="9">
        <v>24</v>
      </c>
      <c r="B25" s="9" t="s">
        <v>36</v>
      </c>
      <c r="C25" s="9" t="s">
        <v>8</v>
      </c>
      <c r="D25" s="9" t="s">
        <v>107</v>
      </c>
      <c r="E25" s="10">
        <v>3404</v>
      </c>
      <c r="F25" s="10">
        <v>3404</v>
      </c>
      <c r="G25" s="9" t="s">
        <v>70</v>
      </c>
      <c r="H25" s="23">
        <v>44099</v>
      </c>
      <c r="I25" s="10" t="s">
        <v>36</v>
      </c>
      <c r="J25" s="92" t="s">
        <v>36</v>
      </c>
    </row>
    <row r="26" spans="1:10" x14ac:dyDescent="0.2">
      <c r="A26" s="9">
        <v>25</v>
      </c>
      <c r="B26" s="9" t="s">
        <v>36</v>
      </c>
      <c r="C26" s="9" t="s">
        <v>8</v>
      </c>
      <c r="D26" s="9" t="s">
        <v>105</v>
      </c>
      <c r="E26" s="10">
        <v>3368</v>
      </c>
      <c r="F26" s="10">
        <v>3368</v>
      </c>
      <c r="G26" s="9" t="s">
        <v>101</v>
      </c>
      <c r="H26" s="23">
        <v>44098</v>
      </c>
      <c r="I26" s="10" t="s">
        <v>36</v>
      </c>
      <c r="J26" s="92" t="s">
        <v>36</v>
      </c>
    </row>
    <row r="27" spans="1:10" x14ac:dyDescent="0.2">
      <c r="A27">
        <v>26</v>
      </c>
      <c r="B27">
        <v>23</v>
      </c>
      <c r="C27" t="s">
        <v>7</v>
      </c>
      <c r="D27" t="s">
        <v>19</v>
      </c>
      <c r="E27" s="2">
        <v>2884</v>
      </c>
      <c r="F27" s="2">
        <v>968849</v>
      </c>
      <c r="G27" t="s">
        <v>9</v>
      </c>
      <c r="H27" s="22">
        <v>43644</v>
      </c>
      <c r="I27" s="2">
        <f>_xlfn.IFNA(SUMIFS('Week 38 Sept 14 - Sept 20 2020'!E:E,'Week 38 Sept 14 - Sept 20 2020'!D:D,'Week 39 Sept 21 - Sept 27 2020'!D:D,'Week 38 Sept 14 - Sept 20 2020'!C:C,'Week 39 Sept 21 - Sept 27 2020'!C:C),"New")</f>
        <v>2520</v>
      </c>
      <c r="J27" s="6">
        <f t="shared" si="0"/>
        <v>0.14444444444444443</v>
      </c>
    </row>
    <row r="28" spans="1:10" x14ac:dyDescent="0.2">
      <c r="A28" s="9">
        <v>27</v>
      </c>
      <c r="B28" s="9" t="s">
        <v>36</v>
      </c>
      <c r="C28" s="9" t="s">
        <v>7</v>
      </c>
      <c r="D28" s="9" t="s">
        <v>108</v>
      </c>
      <c r="E28" s="10">
        <v>2751</v>
      </c>
      <c r="F28" s="10">
        <v>2751</v>
      </c>
      <c r="G28" s="9" t="s">
        <v>102</v>
      </c>
      <c r="H28" s="23">
        <v>44098</v>
      </c>
      <c r="I28" s="10" t="s">
        <v>36</v>
      </c>
      <c r="J28" s="92" t="s">
        <v>36</v>
      </c>
    </row>
    <row r="29" spans="1:10" x14ac:dyDescent="0.2">
      <c r="A29">
        <v>28</v>
      </c>
      <c r="B29">
        <v>26</v>
      </c>
      <c r="C29" t="s">
        <v>7</v>
      </c>
      <c r="D29" t="s">
        <v>26</v>
      </c>
      <c r="E29" s="2">
        <v>2619</v>
      </c>
      <c r="F29" s="2">
        <v>2128596</v>
      </c>
      <c r="G29" t="s">
        <v>9</v>
      </c>
      <c r="H29" s="22">
        <v>43035</v>
      </c>
      <c r="I29" s="2">
        <f>_xlfn.IFNA(SUMIFS('Week 38 Sept 14 - Sept 20 2020'!E:E,'Week 38 Sept 14 - Sept 20 2020'!D:D,'Week 39 Sept 21 - Sept 27 2020'!D:D,'Week 38 Sept 14 - Sept 20 2020'!C:C,'Week 39 Sept 21 - Sept 27 2020'!C:C),"New")</f>
        <v>2113</v>
      </c>
      <c r="J29" s="6">
        <f t="shared" si="0"/>
        <v>0.23946994794131565</v>
      </c>
    </row>
    <row r="30" spans="1:10" x14ac:dyDescent="0.2">
      <c r="A30">
        <v>29</v>
      </c>
      <c r="B30">
        <v>25</v>
      </c>
      <c r="C30" t="s">
        <v>7</v>
      </c>
      <c r="D30" s="40" t="s">
        <v>20</v>
      </c>
      <c r="E30" s="2">
        <v>2537</v>
      </c>
      <c r="F30" s="2">
        <v>493135</v>
      </c>
      <c r="G30" t="s">
        <v>34</v>
      </c>
      <c r="H30" s="22">
        <v>43671</v>
      </c>
      <c r="I30" s="2">
        <f>_xlfn.IFNA(SUMIFS('Week 38 Sept 14 - Sept 20 2020'!E:E,'Week 38 Sept 14 - Sept 20 2020'!D:D,'Week 39 Sept 21 - Sept 27 2020'!D:D,'Week 38 Sept 14 - Sept 20 2020'!C:C,'Week 39 Sept 21 - Sept 27 2020'!C:C),"New")</f>
        <v>2199</v>
      </c>
      <c r="J30" s="6">
        <f t="shared" si="0"/>
        <v>0.153706230104593</v>
      </c>
    </row>
    <row r="31" spans="1:10" x14ac:dyDescent="0.2">
      <c r="A31">
        <v>30</v>
      </c>
      <c r="B31">
        <v>24</v>
      </c>
      <c r="C31" t="s">
        <v>7</v>
      </c>
      <c r="D31" s="39" t="s">
        <v>56</v>
      </c>
      <c r="E31" s="2">
        <v>2509</v>
      </c>
      <c r="F31" s="2">
        <v>35986</v>
      </c>
      <c r="G31" t="s">
        <v>38</v>
      </c>
      <c r="H31" s="22">
        <v>44007</v>
      </c>
      <c r="I31" s="2">
        <f>_xlfn.IFNA(SUMIFS('Week 38 Sept 14 - Sept 20 2020'!E:E,'Week 38 Sept 14 - Sept 20 2020'!D:D,'Week 39 Sept 21 - Sept 27 2020'!D:D,'Week 38 Sept 14 - Sept 20 2020'!C:C,'Week 39 Sept 21 - Sept 27 2020'!C:C),"New")</f>
        <v>2216</v>
      </c>
      <c r="J31" s="6">
        <f t="shared" si="0"/>
        <v>0.13222021660649819</v>
      </c>
    </row>
    <row r="33" spans="4:5" x14ac:dyDescent="0.2">
      <c r="D33" s="2" t="s">
        <v>59</v>
      </c>
      <c r="E33" s="2">
        <f>SUM(E2:E31)</f>
        <v>259173</v>
      </c>
    </row>
    <row r="34" spans="4:5" x14ac:dyDescent="0.2">
      <c r="D34" s="100" t="s">
        <v>178</v>
      </c>
      <c r="E34" s="101">
        <f>SUM('Week 38 Sept 14 - Sept 20 2020'!E34,'Week 39 Sept 21 - Sept 27 2020'!E33)</f>
        <v>17687621</v>
      </c>
    </row>
    <row r="35" spans="4:5" x14ac:dyDescent="0.2">
      <c r="D35" s="98" t="s">
        <v>299</v>
      </c>
      <c r="E35" s="99">
        <f>E33+'Week 38 Sept 14 - Sept 20 2020'!E33+'Week 37 Sept 7 - Sept 13 2020'!E33+'Week 36 Aug 31 - Sept 6 2020'!E33</f>
        <v>1206221</v>
      </c>
    </row>
    <row r="36" spans="4:5" x14ac:dyDescent="0.2">
      <c r="D36" s="2" t="s">
        <v>60</v>
      </c>
      <c r="E36" s="2">
        <f>AVERAGE(E2:E31)</f>
        <v>8639.1</v>
      </c>
    </row>
    <row r="37" spans="4:5" x14ac:dyDescent="0.2">
      <c r="D37" s="9" t="s">
        <v>78</v>
      </c>
      <c r="E37" s="10">
        <f>COUNTIF(B:B,"New")</f>
        <v>7</v>
      </c>
    </row>
    <row r="39" spans="4:5" x14ac:dyDescent="0.2">
      <c r="D39" t="s">
        <v>66</v>
      </c>
    </row>
    <row r="40" spans="4:5" x14ac:dyDescent="0.2">
      <c r="D40" s="8" t="s">
        <v>67</v>
      </c>
    </row>
    <row r="41" spans="4:5" x14ac:dyDescent="0.2">
      <c r="D41" s="8" t="s">
        <v>65</v>
      </c>
    </row>
    <row r="42" spans="4:5" x14ac:dyDescent="0.2">
      <c r="D42" s="8" t="s">
        <v>71</v>
      </c>
    </row>
  </sheetData>
  <hyperlinks>
    <hyperlink ref="D41" r:id="rId1" xr:uid="{B7AFC2C6-56D6-684A-8559-6651502E1FBA}"/>
    <hyperlink ref="D40" r:id="rId2" xr:uid="{F91E7737-F24C-BB42-B51A-5EF4595A65CC}"/>
    <hyperlink ref="D42" r:id="rId3" xr:uid="{01730248-F1F6-434A-B924-6B4013BA5CEE}"/>
  </hyperlinks>
  <pageMargins left="0.7" right="0.7" top="0.75" bottom="0.75" header="0.3" footer="0.3"/>
  <pageSetup paperSize="9" orientation="portrait" horizontalDpi="0" verticalDpi="0"/>
  <ignoredErrors>
    <ignoredError sqref="J14:J31 I14:I28" calculatedColumn="1"/>
  </ignoredErrors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4218D-D57D-9B4D-ABC8-EB06FE1A6383}">
  <dimension ref="A1:L41"/>
  <sheetViews>
    <sheetView workbookViewId="0">
      <selection activeCell="D12" sqref="D12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9.8320312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  <col min="11" max="12" width="10.5" customWidth="1"/>
  </cols>
  <sheetData>
    <row r="1" spans="1:12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2" x14ac:dyDescent="0.2">
      <c r="A2" s="27">
        <v>1</v>
      </c>
      <c r="B2" s="18">
        <v>1</v>
      </c>
      <c r="C2" s="18" t="s">
        <v>8</v>
      </c>
      <c r="D2" s="47" t="s">
        <v>181</v>
      </c>
      <c r="E2" s="12">
        <v>39719</v>
      </c>
      <c r="F2" s="12">
        <f>SUMIFS(Table36749[Total Sales],Table36749[Title],Table367498[Title],Table36749[System],Table367498[System])+Table367498[[#This Row],[Week Sales]]</f>
        <v>196712</v>
      </c>
      <c r="G2" s="18" t="str">
        <f>(VLOOKUP(D:D,'Week 3 Jan 13 - Jan 19 2020'!D:G,4,FALSE))</f>
        <v>Sega</v>
      </c>
      <c r="H2" s="67">
        <f>(VLOOKUP(D:D,'Week 3 Jan 13 - Jan 19 2020'!D:H,5,FALSE))</f>
        <v>43847</v>
      </c>
      <c r="I2" s="12">
        <f>_xlfn.IFNA(VLOOKUP('Week 4 Jan 20 - Jan 26 2020'!D:D,'Week 3 Jan 13 - Jan 19 2020'!D:E, 2, FALSE),"New")</f>
        <v>156993</v>
      </c>
      <c r="J2" s="28">
        <f>IFERROR((E2-I2)/I2,"New")</f>
        <v>-0.74700145866376211</v>
      </c>
      <c r="L2" s="96"/>
    </row>
    <row r="3" spans="1:12" x14ac:dyDescent="0.2">
      <c r="A3" s="27">
        <v>2</v>
      </c>
      <c r="B3" s="27">
        <v>4</v>
      </c>
      <c r="C3" s="18" t="s">
        <v>7</v>
      </c>
      <c r="D3" s="86" t="s">
        <v>45</v>
      </c>
      <c r="E3" s="12">
        <v>39217</v>
      </c>
      <c r="F3" s="12">
        <f>SUMIFS(Table36749[Total Sales],Table36749[Title],Table367498[Title],Table36749[System],Table367498[System])+Table367498[[#This Row],[Week Sales]]</f>
        <v>622646</v>
      </c>
      <c r="G3" s="18" t="str">
        <f>(VLOOKUP(D:D,'Week 3 Jan 13 - Jan 19 2020'!D:G,4,FALSE))</f>
        <v>Nintendo</v>
      </c>
      <c r="H3" s="67">
        <f>(VLOOKUP(D:D,'Week 3 Jan 13 - Jan 19 2020'!D:H,5,FALSE))</f>
        <v>43756</v>
      </c>
      <c r="I3" s="12">
        <f>_xlfn.IFNA(VLOOKUP('Week 4 Jan 20 - Jan 26 2020'!D:D,'Week 3 Jan 13 - Jan 19 2020'!D:E, 2, FALSE),"New")</f>
        <v>35860</v>
      </c>
      <c r="J3" s="28">
        <f t="shared" ref="J3:J24" si="0">IFERROR((E3-I3)/I3,"New")</f>
        <v>9.3614054656999443E-2</v>
      </c>
      <c r="L3" s="96"/>
    </row>
    <row r="4" spans="1:12" x14ac:dyDescent="0.2">
      <c r="A4" s="27">
        <v>3</v>
      </c>
      <c r="B4" s="27">
        <v>3</v>
      </c>
      <c r="C4" s="18" t="s">
        <v>7</v>
      </c>
      <c r="D4" s="86" t="s">
        <v>62</v>
      </c>
      <c r="E4" s="71">
        <v>37950</v>
      </c>
      <c r="F4" s="12">
        <f>SUMIFS(Table36749[Total Sales],Table36749[Title],Table367498[Title],Table36749[System],Table367498[System])+Table367498[[#This Row],[Week Sales]]</f>
        <v>3350308</v>
      </c>
      <c r="G4" s="18" t="str">
        <f>(VLOOKUP(D:D,'Week 3 Jan 13 - Jan 19 2020'!D:G,4,FALSE))</f>
        <v>The Pokemon Company</v>
      </c>
      <c r="H4" s="67">
        <f>(VLOOKUP(D:D,'Week 3 Jan 13 - Jan 19 2020'!D:H,5,FALSE))</f>
        <v>43784</v>
      </c>
      <c r="I4" s="12">
        <f>_xlfn.IFNA(VLOOKUP('Week 4 Jan 20 - Jan 26 2020'!D:D,'Week 3 Jan 13 - Jan 19 2020'!D:E, 2, FALSE),"New")</f>
        <v>55604</v>
      </c>
      <c r="J4" s="28">
        <f t="shared" si="0"/>
        <v>-0.31749514423422776</v>
      </c>
      <c r="L4" s="86"/>
    </row>
    <row r="5" spans="1:12" x14ac:dyDescent="0.2">
      <c r="A5" s="27">
        <v>4</v>
      </c>
      <c r="B5" s="27">
        <v>2</v>
      </c>
      <c r="C5" s="18" t="s">
        <v>8</v>
      </c>
      <c r="D5" s="47" t="s">
        <v>182</v>
      </c>
      <c r="E5" s="12">
        <v>25669</v>
      </c>
      <c r="F5" s="12">
        <f>SUMIFS(Table36749[Total Sales],Table36749[Title],Table367498[Title],Table36749[System],Table367498[System])+Table367498[[#This Row],[Week Sales]]</f>
        <v>115206</v>
      </c>
      <c r="G5" s="18" t="str">
        <f>(VLOOKUP(D:D,'Week 3 Jan 13 - Jan 19 2020'!D:G,4,FALSE))</f>
        <v>Bandai Namco</v>
      </c>
      <c r="H5" s="67">
        <f>(VLOOKUP(D:D,'Week 3 Jan 13 - Jan 19 2020'!D:H,5,FALSE))</f>
        <v>43847</v>
      </c>
      <c r="I5" s="12">
        <f>_xlfn.IFNA(VLOOKUP('Week 4 Jan 20 - Jan 26 2020'!D:D,'Week 3 Jan 13 - Jan 19 2020'!D:E, 2, FALSE),"New")</f>
        <v>89537</v>
      </c>
      <c r="J5" s="28">
        <f t="shared" si="0"/>
        <v>-0.71331404894066142</v>
      </c>
      <c r="L5" s="86"/>
    </row>
    <row r="6" spans="1:12" x14ac:dyDescent="0.2">
      <c r="A6" s="27">
        <v>5</v>
      </c>
      <c r="B6" s="18">
        <v>7</v>
      </c>
      <c r="C6" s="18" t="s">
        <v>7</v>
      </c>
      <c r="D6" s="86" t="s">
        <v>16</v>
      </c>
      <c r="E6" s="12">
        <v>12875</v>
      </c>
      <c r="F6" s="12">
        <f>SUMIFS(Table36749[Total Sales],Table36749[Title],Table367498[Title],Table36749[System],Table367498[System])+Table367498[[#This Row],[Week Sales]]</f>
        <v>120573</v>
      </c>
      <c r="G6" s="18" t="str">
        <f>(VLOOKUP(D:D,'Week 3 Jan 13 - Jan 19 2020'!D:G,4,FALSE))</f>
        <v>Nintendo</v>
      </c>
      <c r="H6" s="67">
        <f>(VLOOKUP(D:D,'Week 3 Jan 13 - Jan 19 2020'!D:H,5,FALSE))</f>
        <v>43826</v>
      </c>
      <c r="I6" s="12">
        <f>_xlfn.IFNA(VLOOKUP('Week 4 Jan 20 - Jan 26 2020'!D:D,'Week 3 Jan 13 - Jan 19 2020'!D:E, 2, FALSE),"New")</f>
        <v>15790</v>
      </c>
      <c r="J6" s="28">
        <f t="shared" si="0"/>
        <v>-0.18461051298290057</v>
      </c>
      <c r="L6" s="96"/>
    </row>
    <row r="7" spans="1:12" x14ac:dyDescent="0.2">
      <c r="A7" s="27">
        <v>6</v>
      </c>
      <c r="B7" s="27">
        <v>8</v>
      </c>
      <c r="C7" s="18" t="s">
        <v>7</v>
      </c>
      <c r="D7" s="86" t="s">
        <v>12</v>
      </c>
      <c r="E7" s="12">
        <v>10827</v>
      </c>
      <c r="F7" s="12">
        <f>SUMIFS(Table36749[Total Sales],Table36749[Title],Table367498[Title],Table36749[System],Table367498[System])+Table367498[[#This Row],[Week Sales]]</f>
        <v>1233493</v>
      </c>
      <c r="G7" s="18" t="str">
        <f>(VLOOKUP(D:D,'Week 3 Jan 13 - Jan 19 2020'!D:G,4,FALSE))</f>
        <v>Microsoft</v>
      </c>
      <c r="H7" s="67">
        <f>(VLOOKUP(D:D,'Week 3 Jan 13 - Jan 19 2020'!D:H,5,FALSE))</f>
        <v>43272</v>
      </c>
      <c r="I7" s="12">
        <f>_xlfn.IFNA(VLOOKUP('Week 4 Jan 20 - Jan 26 2020'!D:D,'Week 3 Jan 13 - Jan 19 2020'!D:E, 2, FALSE),"New")</f>
        <v>13919</v>
      </c>
      <c r="J7" s="28">
        <f t="shared" si="0"/>
        <v>-0.22214239528701774</v>
      </c>
      <c r="L7" s="96"/>
    </row>
    <row r="8" spans="1:12" x14ac:dyDescent="0.2">
      <c r="A8" s="27">
        <v>7</v>
      </c>
      <c r="B8" s="27">
        <v>10</v>
      </c>
      <c r="C8" s="18" t="s">
        <v>7</v>
      </c>
      <c r="D8" s="86" t="s">
        <v>52</v>
      </c>
      <c r="E8" s="12">
        <v>9927</v>
      </c>
      <c r="F8" s="12">
        <f>SUMIFS(Table36749[Total Sales],Table36749[Title],Table367498[Title],Table36749[System],Table367498[System])+Table367498[[#This Row],[Week Sales]]</f>
        <v>3532729</v>
      </c>
      <c r="G8" s="18" t="str">
        <f>(VLOOKUP(D:D,'Week 3 Jan 13 - Jan 19 2020'!D:G,4,FALSE))</f>
        <v>Nintendo</v>
      </c>
      <c r="H8" s="67">
        <f>(VLOOKUP(D:D,'Week 3 Jan 13 - Jan 19 2020'!D:H,5,FALSE))</f>
        <v>43441</v>
      </c>
      <c r="I8" s="12">
        <f>_xlfn.IFNA(VLOOKUP('Week 4 Jan 20 - Jan 26 2020'!D:D,'Week 3 Jan 13 - Jan 19 2020'!D:E, 2, FALSE),"New")</f>
        <v>12347</v>
      </c>
      <c r="J8" s="28">
        <f t="shared" si="0"/>
        <v>-0.19599902810399286</v>
      </c>
      <c r="L8" s="86"/>
    </row>
    <row r="9" spans="1:12" x14ac:dyDescent="0.2">
      <c r="A9" s="27">
        <v>8</v>
      </c>
      <c r="B9" s="27">
        <v>9</v>
      </c>
      <c r="C9" s="18" t="s">
        <v>7</v>
      </c>
      <c r="D9" s="86" t="s">
        <v>49</v>
      </c>
      <c r="E9" s="12">
        <v>9008</v>
      </c>
      <c r="F9" s="12">
        <f>SUMIFS(Table36749[Total Sales],Table36749[Title],Table367498[Title],Table36749[System],Table367498[System])+Table367498[[#This Row],[Week Sales]]</f>
        <v>2746682</v>
      </c>
      <c r="G9" s="18" t="str">
        <f>(VLOOKUP(D:D,'Week 3 Jan 13 - Jan 19 2020'!D:G,4,FALSE))</f>
        <v>Nintendo</v>
      </c>
      <c r="H9" s="67">
        <f>(VLOOKUP(D:D,'Week 3 Jan 13 - Jan 19 2020'!D:H,5,FALSE))</f>
        <v>42853</v>
      </c>
      <c r="I9" s="12">
        <f>_xlfn.IFNA(VLOOKUP('Week 4 Jan 20 - Jan 26 2020'!D:D,'Week 3 Jan 13 - Jan 19 2020'!D:E, 2, FALSE),"New")</f>
        <v>12370</v>
      </c>
      <c r="J9" s="28">
        <f t="shared" si="0"/>
        <v>-0.27178658043654003</v>
      </c>
      <c r="L9" s="86"/>
    </row>
    <row r="10" spans="1:12" x14ac:dyDescent="0.2">
      <c r="A10" s="27">
        <v>9</v>
      </c>
      <c r="B10" s="27">
        <v>11</v>
      </c>
      <c r="C10" s="18" t="s">
        <v>7</v>
      </c>
      <c r="D10" s="86" t="s">
        <v>79</v>
      </c>
      <c r="E10" s="12">
        <v>6065</v>
      </c>
      <c r="F10" s="12">
        <f>SUMIFS(Table36749[Total Sales],Table36749[Title],Table367498[Title],Table36749[System],Table367498[System])+Table367498[[#This Row],[Week Sales]]</f>
        <v>584812</v>
      </c>
      <c r="G10" s="18" t="str">
        <f>(VLOOKUP(D:D,'Week 3 Jan 13 - Jan 19 2020'!D:G,4,FALSE))</f>
        <v>Nintendo</v>
      </c>
      <c r="H10" s="67">
        <f>(VLOOKUP(D:D,'Week 3 Jan 13 - Jan 19 2020'!D:H,5,FALSE))</f>
        <v>43769</v>
      </c>
      <c r="I10" s="12">
        <f>_xlfn.IFNA(VLOOKUP('Week 4 Jan 20 - Jan 26 2020'!D:D,'Week 3 Jan 13 - Jan 19 2020'!D:E, 2, FALSE),"New")</f>
        <v>8676</v>
      </c>
      <c r="J10" s="28">
        <f t="shared" si="0"/>
        <v>-0.30094513600737666</v>
      </c>
      <c r="L10" s="86"/>
    </row>
    <row r="11" spans="1:12" x14ac:dyDescent="0.2">
      <c r="A11" s="27">
        <v>10</v>
      </c>
      <c r="B11" s="27">
        <v>15</v>
      </c>
      <c r="C11" s="18" t="s">
        <v>7</v>
      </c>
      <c r="D11" s="86" t="s">
        <v>10</v>
      </c>
      <c r="E11" s="12">
        <v>5915</v>
      </c>
      <c r="F11" s="12">
        <f>SUMIFS(Table36749[Total Sales],Table36749[Title],Table367498[Title],Table36749[System],Table367498[System])+Table367498[[#This Row],[Week Sales]]</f>
        <v>3301208</v>
      </c>
      <c r="G11" s="18" t="str">
        <f>(VLOOKUP(D:D,'Week 3 Jan 13 - Jan 19 2020'!D:G,4,FALSE))</f>
        <v>Nintendo</v>
      </c>
      <c r="H11" s="67">
        <f>(VLOOKUP(D:D,'Week 3 Jan 13 - Jan 19 2020'!D:H,5,FALSE))</f>
        <v>42937</v>
      </c>
      <c r="I11" s="12">
        <f>_xlfn.IFNA(VLOOKUP('Week 4 Jan 20 - Jan 26 2020'!D:D,'Week 3 Jan 13 - Jan 19 2020'!D:E, 2, FALSE),"New")</f>
        <v>7023</v>
      </c>
      <c r="J11" s="28">
        <f t="shared" si="0"/>
        <v>-0.15776733589634059</v>
      </c>
      <c r="L11" s="86"/>
    </row>
    <row r="12" spans="1:12" x14ac:dyDescent="0.2">
      <c r="A12" s="27">
        <v>11</v>
      </c>
      <c r="B12" s="27">
        <v>5</v>
      </c>
      <c r="C12" s="18" t="s">
        <v>8</v>
      </c>
      <c r="D12" s="47" t="s">
        <v>180</v>
      </c>
      <c r="E12" s="12">
        <v>5740</v>
      </c>
      <c r="F12" s="12">
        <f>SUMIFS(Table36749[Total Sales],Table36749[Title],Table367498[Title],Table36749[System],Table367498[System])+Table367498[[#This Row],[Week Sales]]</f>
        <v>25835</v>
      </c>
      <c r="G12" s="18" t="str">
        <f>(VLOOKUP(D:D,'Week 3 Jan 13 - Jan 19 2020'!D:G,4,FALSE))</f>
        <v>Koei Tecmo</v>
      </c>
      <c r="H12" s="67">
        <f>(VLOOKUP(D:D,'Week 3 Jan 13 - Jan 19 2020'!D:H,5,FALSE))</f>
        <v>43847</v>
      </c>
      <c r="I12" s="12">
        <f>_xlfn.IFNA(VLOOKUP('Week 4 Jan 20 - Jan 26 2020'!D:D,'Week 3 Jan 13 - Jan 19 2020'!D:E, 2, FALSE),"New")</f>
        <v>20095</v>
      </c>
      <c r="J12" s="28">
        <f t="shared" si="0"/>
        <v>-0.71435680517541678</v>
      </c>
      <c r="L12" s="86"/>
    </row>
    <row r="13" spans="1:12" x14ac:dyDescent="0.2">
      <c r="A13" s="27">
        <v>12</v>
      </c>
      <c r="B13" s="27">
        <v>13</v>
      </c>
      <c r="C13" s="18" t="s">
        <v>7</v>
      </c>
      <c r="D13" s="86" t="s">
        <v>13</v>
      </c>
      <c r="E13" s="12">
        <v>5501</v>
      </c>
      <c r="F13" s="12">
        <f>SUMIFS(Table36749[Total Sales],Table36749[Title],Table367498[Title],Table36749[System],Table367498[System])+Table367498[[#This Row],[Week Sales]]</f>
        <v>1324364</v>
      </c>
      <c r="G13" s="18" t="str">
        <f>(VLOOKUP(D:D,'Week 3 Jan 13 - Jan 19 2020'!D:G,4,FALSE))</f>
        <v>Nintendo</v>
      </c>
      <c r="H13" s="67">
        <f>(VLOOKUP(D:D,'Week 3 Jan 13 - Jan 19 2020'!D:H,5,FALSE))</f>
        <v>43378</v>
      </c>
      <c r="I13" s="12">
        <f>_xlfn.IFNA(VLOOKUP('Week 4 Jan 20 - Jan 26 2020'!D:D,'Week 3 Jan 13 - Jan 19 2020'!D:E, 2, FALSE),"New")</f>
        <v>7690</v>
      </c>
      <c r="J13" s="28">
        <f t="shared" si="0"/>
        <v>-0.2846553966189857</v>
      </c>
      <c r="L13" s="96"/>
    </row>
    <row r="14" spans="1:12" x14ac:dyDescent="0.2">
      <c r="A14" s="27">
        <v>13</v>
      </c>
      <c r="B14" s="27">
        <v>14</v>
      </c>
      <c r="C14" s="18" t="s">
        <v>7</v>
      </c>
      <c r="D14" s="86" t="s">
        <v>80</v>
      </c>
      <c r="E14" s="12">
        <v>4882</v>
      </c>
      <c r="F14" s="12">
        <f>SUMIFS(Table36749[Total Sales],Table36749[Title],Table367498[Title],Table36749[System],Table367498[System])+Table367498[[#This Row],[Week Sales]]</f>
        <v>260582</v>
      </c>
      <c r="G14" s="18" t="str">
        <f>(VLOOKUP(D:D,'Week 3 Jan 13 - Jan 19 2020'!D:G,4,FALSE))</f>
        <v>Sega</v>
      </c>
      <c r="H14" s="67">
        <f>(VLOOKUP(D:D,'Week 3 Jan 13 - Jan 19 2020'!D:H,5,FALSE))</f>
        <v>43770</v>
      </c>
      <c r="I14" s="12">
        <f>_xlfn.IFNA(VLOOKUP('Week 4 Jan 20 - Jan 26 2020'!D:D,'Week 3 Jan 13 - Jan 19 2020'!D:E, 2, FALSE),"New")</f>
        <v>7193</v>
      </c>
      <c r="J14" s="28">
        <f t="shared" si="0"/>
        <v>-0.32128458223272627</v>
      </c>
      <c r="L14" s="86"/>
    </row>
    <row r="15" spans="1:12" x14ac:dyDescent="0.2">
      <c r="A15" s="13">
        <v>14</v>
      </c>
      <c r="B15" s="13" t="s">
        <v>36</v>
      </c>
      <c r="C15" s="9" t="s">
        <v>7</v>
      </c>
      <c r="D15" s="95" t="s">
        <v>188</v>
      </c>
      <c r="E15" s="10">
        <v>4759</v>
      </c>
      <c r="F15" s="10">
        <f>SUMIFS(Table36749[Total Sales],Table36749[Title],Table367498[Title],Table36749[System],Table367498[System])+Table367498[[#This Row],[Week Sales]]</f>
        <v>4759</v>
      </c>
      <c r="G15" s="9" t="s">
        <v>189</v>
      </c>
      <c r="H15" s="14">
        <v>43853</v>
      </c>
      <c r="I15" s="10" t="str">
        <f>_xlfn.IFNA(VLOOKUP('Week 4 Jan 20 - Jan 26 2020'!D:D,'Week 3 Jan 13 - Jan 19 2020'!D:E, 2, FALSE),"New")</f>
        <v>New</v>
      </c>
      <c r="J15" s="92" t="str">
        <f t="shared" si="0"/>
        <v>New</v>
      </c>
      <c r="L15" s="86"/>
    </row>
    <row r="16" spans="1:12" x14ac:dyDescent="0.2">
      <c r="A16" s="27">
        <v>15</v>
      </c>
      <c r="B16" s="27">
        <v>18</v>
      </c>
      <c r="C16" s="18" t="s">
        <v>7</v>
      </c>
      <c r="D16" s="86" t="s">
        <v>39</v>
      </c>
      <c r="E16" s="12">
        <v>4322</v>
      </c>
      <c r="F16" s="12">
        <f>SUMIFS(Table36749[Total Sales],Table36749[Title],Table367498[Title],Table36749[System],Table367498[System])+Table367498[[#This Row],[Week Sales]]</f>
        <v>1506848</v>
      </c>
      <c r="G16" s="18" t="str">
        <f>(VLOOKUP(D:D,'Week 3 Jan 13 - Jan 19 2020'!D:G,4,FALSE))</f>
        <v>Nintendo</v>
      </c>
      <c r="H16" s="67">
        <f>(VLOOKUP(D:D,'Week 3 Jan 13 - Jan 19 2020'!D:H,5,FALSE))</f>
        <v>42797</v>
      </c>
      <c r="I16" s="12">
        <f>_xlfn.IFNA(VLOOKUP('Week 4 Jan 20 - Jan 26 2020'!D:D,'Week 3 Jan 13 - Jan 19 2020'!D:E, 2, FALSE),"New")</f>
        <v>4488</v>
      </c>
      <c r="J16" s="28">
        <f t="shared" si="0"/>
        <v>-3.6987522281639929E-2</v>
      </c>
      <c r="L16" s="86"/>
    </row>
    <row r="17" spans="1:12" x14ac:dyDescent="0.2">
      <c r="A17" s="27">
        <v>16</v>
      </c>
      <c r="B17" s="27">
        <v>6</v>
      </c>
      <c r="C17" s="18" t="s">
        <v>7</v>
      </c>
      <c r="D17" s="47" t="s">
        <v>183</v>
      </c>
      <c r="E17" s="12">
        <v>4297</v>
      </c>
      <c r="F17" s="12">
        <f>SUMIFS(Table36749[Total Sales],Table36749[Title],Table367498[Title],Table36749[System],Table367498[System])+Table367498[[#This Row],[Week Sales]]</f>
        <v>23094</v>
      </c>
      <c r="G17" s="18" t="str">
        <f>(VLOOKUP(D:D,'Week 3 Jan 13 - Jan 19 2020'!D:G,4,FALSE))</f>
        <v>Nintendo</v>
      </c>
      <c r="H17" s="67">
        <f>(VLOOKUP(D:D,'Week 3 Jan 13 - Jan 19 2020'!D:H,5,FALSE))</f>
        <v>43847</v>
      </c>
      <c r="I17" s="12">
        <f>_xlfn.IFNA(VLOOKUP('Week 4 Jan 20 - Jan 26 2020'!D:D,'Week 3 Jan 13 - Jan 19 2020'!D:E, 2, FALSE),"New")</f>
        <v>18797</v>
      </c>
      <c r="J17" s="28">
        <f t="shared" si="0"/>
        <v>-0.77139969144012344</v>
      </c>
      <c r="L17" s="86"/>
    </row>
    <row r="18" spans="1:12" x14ac:dyDescent="0.2">
      <c r="A18" s="27">
        <v>17</v>
      </c>
      <c r="B18" s="27">
        <v>16</v>
      </c>
      <c r="C18" s="18" t="s">
        <v>7</v>
      </c>
      <c r="D18" s="86" t="s">
        <v>19</v>
      </c>
      <c r="E18" s="12">
        <v>4222</v>
      </c>
      <c r="F18" s="12">
        <f>SUMIFS(Table36749[Total Sales],Table36749[Title],Table367498[Title],Table36749[System],Table367498[System])+Table367498[[#This Row],[Week Sales]]</f>
        <v>843536</v>
      </c>
      <c r="G18" s="18" t="str">
        <f>(VLOOKUP(D:D,'Week 3 Jan 13 - Jan 19 2020'!D:G,4,FALSE))</f>
        <v>Nintendo</v>
      </c>
      <c r="H18" s="67">
        <f>(VLOOKUP(D:D,'Week 3 Jan 13 - Jan 19 2020'!D:H,5,FALSE))</f>
        <v>43644</v>
      </c>
      <c r="I18" s="12">
        <f>_xlfn.IFNA(VLOOKUP('Week 4 Jan 20 - Jan 26 2020'!D:D,'Week 3 Jan 13 - Jan 19 2020'!D:E, 2, FALSE),"New")</f>
        <v>5096</v>
      </c>
      <c r="J18" s="28">
        <f t="shared" si="0"/>
        <v>-0.17150706436420723</v>
      </c>
      <c r="L18" s="86"/>
    </row>
    <row r="19" spans="1:12" x14ac:dyDescent="0.2">
      <c r="A19" s="27">
        <v>18</v>
      </c>
      <c r="B19" s="27">
        <v>17</v>
      </c>
      <c r="C19" s="18" t="s">
        <v>7</v>
      </c>
      <c r="D19" s="86" t="s">
        <v>20</v>
      </c>
      <c r="E19" s="12">
        <v>4153</v>
      </c>
      <c r="F19" s="12">
        <f>SUMIFS(Table36749[Total Sales],Table36749[Title],Table367498[Title],Table36749[System],Table367498[System])+Table367498[[#This Row],[Week Sales]]</f>
        <v>381824</v>
      </c>
      <c r="G19" s="18" t="str">
        <f>(VLOOKUP(D:D,'Week 3 Jan 13 - Jan 19 2020'!D:G,4,FALSE))</f>
        <v>Bandai Namco</v>
      </c>
      <c r="H19" s="67">
        <f>(VLOOKUP(D:D,'Week 3 Jan 13 - Jan 19 2020'!D:H,5,FALSE))</f>
        <v>43671</v>
      </c>
      <c r="I19" s="12">
        <f>_xlfn.IFNA(VLOOKUP('Week 4 Jan 20 - Jan 26 2020'!D:D,'Week 3 Jan 13 - Jan 19 2020'!D:E, 2, FALSE),"New")</f>
        <v>4738</v>
      </c>
      <c r="J19" s="28">
        <f t="shared" si="0"/>
        <v>-0.12346981848881385</v>
      </c>
      <c r="L19" s="86"/>
    </row>
    <row r="20" spans="1:12" x14ac:dyDescent="0.2">
      <c r="A20" s="13">
        <v>19</v>
      </c>
      <c r="B20" s="13" t="s">
        <v>36</v>
      </c>
      <c r="C20" s="9" t="s">
        <v>8</v>
      </c>
      <c r="D20" s="95" t="s">
        <v>188</v>
      </c>
      <c r="E20" s="10">
        <v>3459</v>
      </c>
      <c r="F20" s="10">
        <f>SUMIFS(Table36749[Total Sales],Table36749[Title],Table367498[Title],Table36749[System],Table367498[System])+Table367498[[#This Row],[Week Sales]]</f>
        <v>3459</v>
      </c>
      <c r="G20" s="9" t="s">
        <v>189</v>
      </c>
      <c r="H20" s="14">
        <v>43853</v>
      </c>
      <c r="I20" s="10" t="str">
        <f>_xlfn.IFNA(VLOOKUP('Week 4 Jan 20 - Jan 26 2020'!D:D,'Week 3 Jan 13 - Jan 19 2020'!D:E, 2, FALSE),"New")</f>
        <v>New</v>
      </c>
      <c r="J20" s="92" t="str">
        <f t="shared" si="0"/>
        <v>New</v>
      </c>
      <c r="L20" s="86"/>
    </row>
    <row r="21" spans="1:12" x14ac:dyDescent="0.2">
      <c r="A21" s="27">
        <v>20</v>
      </c>
      <c r="B21" s="27">
        <v>20</v>
      </c>
      <c r="C21" s="18" t="s">
        <v>7</v>
      </c>
      <c r="D21" s="86" t="s">
        <v>17</v>
      </c>
      <c r="E21" s="12">
        <v>2798</v>
      </c>
      <c r="F21" s="12">
        <f>SUMIFS(Table36749[Total Sales],Table36749[Title],Table367498[Title],Table36749[System],Table367498[System])+Table367498[[#This Row],[Week Sales]]</f>
        <v>771470</v>
      </c>
      <c r="G21" s="18" t="str">
        <f>(VLOOKUP(D:D,'Week 3 Jan 13 - Jan 19 2020'!D:G,4,FALSE))</f>
        <v>Nintendo</v>
      </c>
      <c r="H21" s="67">
        <f>(VLOOKUP(D:D,'Week 3 Jan 13 - Jan 19 2020'!D:H,5,FALSE))</f>
        <v>43476</v>
      </c>
      <c r="I21" s="12">
        <f>_xlfn.IFNA(VLOOKUP('Week 4 Jan 20 - Jan 26 2020'!D:D,'Week 3 Jan 13 - Jan 19 2020'!D:E, 2, FALSE),"New")</f>
        <v>3202</v>
      </c>
      <c r="J21" s="28">
        <f t="shared" si="0"/>
        <v>-0.12617114303560276</v>
      </c>
      <c r="L21" s="86"/>
    </row>
    <row r="22" spans="1:12" x14ac:dyDescent="0.2">
      <c r="A22" s="27">
        <v>21</v>
      </c>
      <c r="B22" s="27">
        <v>21</v>
      </c>
      <c r="C22" s="18" t="s">
        <v>7</v>
      </c>
      <c r="D22" s="86" t="s">
        <v>83</v>
      </c>
      <c r="E22" s="12">
        <v>2489</v>
      </c>
      <c r="F22" s="12">
        <f>SUMIFS(Table36749[Total Sales],Table36749[Title],Table367498[Title],Table36749[System],Table367498[System])+Table367498[[#This Row],[Week Sales]]</f>
        <v>480271</v>
      </c>
      <c r="G22" s="18" t="str">
        <f>(VLOOKUP(D:D,'Week 3 Jan 13 - Jan 19 2020'!D:G,4,FALSE))</f>
        <v>Square Enix</v>
      </c>
      <c r="H22" s="67">
        <f>(VLOOKUP(D:D,'Week 3 Jan 13 - Jan 19 2020'!D:H,5,FALSE))</f>
        <v>43735</v>
      </c>
      <c r="I22" s="12">
        <f>_xlfn.IFNA(VLOOKUP('Week 4 Jan 20 - Jan 26 2020'!D:D,'Week 3 Jan 13 - Jan 19 2020'!D:E, 2, FALSE),"New")</f>
        <v>2927</v>
      </c>
      <c r="J22" s="28">
        <f t="shared" si="0"/>
        <v>-0.14964127092586266</v>
      </c>
      <c r="L22" s="86"/>
    </row>
    <row r="23" spans="1:12" x14ac:dyDescent="0.2">
      <c r="A23" s="27">
        <v>22</v>
      </c>
      <c r="B23" s="18">
        <v>26</v>
      </c>
      <c r="C23" s="18" t="s">
        <v>7</v>
      </c>
      <c r="D23" s="86" t="s">
        <v>26</v>
      </c>
      <c r="E23" s="12">
        <v>2099</v>
      </c>
      <c r="F23" s="12">
        <f>SUMIFS(Table36749[Total Sales],Table36749[Title],Table367498[Title],Table36749[System],Table367498[System])+Table367498[[#This Row],[Week Sales]]</f>
        <v>2064954</v>
      </c>
      <c r="G23" s="18" t="str">
        <f>(VLOOKUP(D:D,'Week 3 Jan 13 - Jan 19 2020'!D:G,4,FALSE))</f>
        <v>Nintendo</v>
      </c>
      <c r="H23" s="67">
        <f>(VLOOKUP(D:D,'Week 3 Jan 13 - Jan 19 2020'!D:H,5,FALSE))</f>
        <v>43035</v>
      </c>
      <c r="I23" s="12">
        <f>_xlfn.IFNA(VLOOKUP('Week 4 Jan 20 - Jan 26 2020'!D:D,'Week 3 Jan 13 - Jan 19 2020'!D:E, 2, FALSE),"New")</f>
        <v>2244</v>
      </c>
      <c r="J23" s="28">
        <f t="shared" si="0"/>
        <v>-6.4616755793226385E-2</v>
      </c>
      <c r="L23" s="86"/>
    </row>
    <row r="24" spans="1:12" x14ac:dyDescent="0.2">
      <c r="A24" s="27">
        <v>23</v>
      </c>
      <c r="B24" s="27">
        <v>22</v>
      </c>
      <c r="C24" s="18" t="s">
        <v>7</v>
      </c>
      <c r="D24" s="86" t="s">
        <v>25</v>
      </c>
      <c r="E24" s="12">
        <v>2050</v>
      </c>
      <c r="F24" s="12">
        <f>SUMIFS(Table36749[Total Sales],Table36749[Title],Table367498[Title],Table36749[System],Table367498[System])+Table367498[[#This Row],[Week Sales]]</f>
        <v>439328</v>
      </c>
      <c r="G24" s="18" t="str">
        <f>(VLOOKUP(D:D,'Week 3 Jan 13 - Jan 19 2020'!D:G,4,FALSE))</f>
        <v>Bandai Namco</v>
      </c>
      <c r="H24" s="67">
        <f>(VLOOKUP(D:D,'Week 3 Jan 13 - Jan 19 2020'!D:H,5,FALSE))</f>
        <v>43300</v>
      </c>
      <c r="I24" s="12">
        <f>_xlfn.IFNA(VLOOKUP('Week 4 Jan 20 - Jan 26 2020'!D:D,'Week 3 Jan 13 - Jan 19 2020'!D:E, 2, FALSE),"New")</f>
        <v>2599</v>
      </c>
      <c r="J24" s="28">
        <f t="shared" si="0"/>
        <v>-0.21123509041939206</v>
      </c>
      <c r="L24" s="86"/>
    </row>
    <row r="25" spans="1:12" x14ac:dyDescent="0.2">
      <c r="A25" s="27">
        <v>24</v>
      </c>
      <c r="B25" s="27">
        <v>23</v>
      </c>
      <c r="C25" s="18" t="s">
        <v>7</v>
      </c>
      <c r="D25" s="47" t="s">
        <v>185</v>
      </c>
      <c r="E25" s="12">
        <v>2044</v>
      </c>
      <c r="F25" s="12">
        <f>SUMIFS(Table36749[Total Sales],Table36749[Title],Table367498[Title],Table36749[System],Table367498[System])+Table367498[[#This Row],[Week Sales]]</f>
        <v>283076</v>
      </c>
      <c r="G25" s="18" t="str">
        <f>(VLOOKUP(D:D,'Week 3 Jan 13 - Jan 19 2020'!D:G,4,FALSE))</f>
        <v>Nintendo</v>
      </c>
      <c r="H25" s="67">
        <f>(VLOOKUP(D:D,'Week 3 Jan 13 - Jan 19 2020'!D:H,5,FALSE))</f>
        <v>43672</v>
      </c>
      <c r="I25" s="12">
        <f>_xlfn.IFNA(VLOOKUP('Week 4 Jan 20 - Jan 26 2020'!D:D,'Week 3 Jan 13 - Jan 19 2020'!D:E, 2, FALSE),"New")</f>
        <v>2371</v>
      </c>
      <c r="J25" s="28">
        <f>IFERROR((E25-I25)/I25,"New")</f>
        <v>-0.13791649093209615</v>
      </c>
      <c r="L25" s="86"/>
    </row>
    <row r="26" spans="1:12" x14ac:dyDescent="0.2">
      <c r="A26" s="27">
        <v>25</v>
      </c>
      <c r="B26" s="27">
        <v>25</v>
      </c>
      <c r="C26" s="18" t="s">
        <v>8</v>
      </c>
      <c r="D26" s="86" t="s">
        <v>99</v>
      </c>
      <c r="E26" s="12">
        <v>1988</v>
      </c>
      <c r="F26" s="12">
        <f>SUMIFS(Table36749[Total Sales],Table36749[Title],Table367498[Title],Table36749[System],Table367498[System])+Table367498[[#This Row],[Week Sales]]</f>
        <v>428933</v>
      </c>
      <c r="G26" s="18" t="str">
        <f>(VLOOKUP(D:D,'Week 3 Jan 13 - Jan 19 2020'!D:G,4,FALSE))</f>
        <v>Capcom</v>
      </c>
      <c r="H26" s="67">
        <f>(VLOOKUP(D:D,'Week 3 Jan 13 - Jan 19 2020'!D:H,5,FALSE))</f>
        <v>43714</v>
      </c>
      <c r="I26" s="12">
        <f>_xlfn.IFNA(VLOOKUP('Week 4 Jan 20 - Jan 26 2020'!D:D,'Week 3 Jan 13 - Jan 19 2020'!D:E, 2, FALSE),"New")</f>
        <v>2247</v>
      </c>
      <c r="J26" s="28">
        <f t="shared" ref="J26:J31" si="1">IFERROR((E26-I26)/I26,"New")</f>
        <v>-0.11526479750778816</v>
      </c>
      <c r="L26" s="86"/>
    </row>
    <row r="27" spans="1:12" x14ac:dyDescent="0.2">
      <c r="A27" s="27">
        <v>26</v>
      </c>
      <c r="B27" s="27">
        <v>19</v>
      </c>
      <c r="C27" s="18" t="s">
        <v>8</v>
      </c>
      <c r="D27" s="86" t="s">
        <v>117</v>
      </c>
      <c r="E27" s="12">
        <v>1804</v>
      </c>
      <c r="F27" s="12">
        <f>SUMIFS(Table36749[Total Sales],Table36749[Title],Table367498[Title],Table36749[System],Table367498[System])+Table367498[[#This Row],[Week Sales]]</f>
        <v>59485</v>
      </c>
      <c r="G27" s="18" t="str">
        <f>(VLOOKUP(D:D,'Week 3 Jan 13 - Jan 19 2020'!D:G,4,FALSE))</f>
        <v>Atlus</v>
      </c>
      <c r="H27" s="67">
        <f>(VLOOKUP(D:D,'Week 3 Jan 13 - Jan 19 2020'!D:H,5,FALSE))</f>
        <v>43797</v>
      </c>
      <c r="I27" s="12">
        <f>_xlfn.IFNA(VLOOKUP('Week 4 Jan 20 - Jan 26 2020'!D:D,'Week 3 Jan 13 - Jan 19 2020'!D:E, 2, FALSE),"New")</f>
        <v>4329</v>
      </c>
      <c r="J27" s="28">
        <f t="shared" si="1"/>
        <v>-0.58327558327558326</v>
      </c>
      <c r="L27" s="86"/>
    </row>
    <row r="28" spans="1:12" x14ac:dyDescent="0.2">
      <c r="A28" s="27">
        <v>27</v>
      </c>
      <c r="B28" s="27">
        <v>27</v>
      </c>
      <c r="C28" s="18" t="s">
        <v>7</v>
      </c>
      <c r="D28" s="86" t="s">
        <v>89</v>
      </c>
      <c r="E28" s="12">
        <v>1757</v>
      </c>
      <c r="F28" s="12">
        <f>SUMIFS(Table36749[Total Sales],Table36749[Title],Table367498[Title],Table36749[System],Table367498[System])+Table367498[[#This Row],[Week Sales]]</f>
        <v>130319</v>
      </c>
      <c r="G28" s="18" t="str">
        <f>(VLOOKUP(D:D,'Week 3 Jan 13 - Jan 19 2020'!D:G,4,FALSE))</f>
        <v>Marvelous</v>
      </c>
      <c r="H28" s="67">
        <f>(VLOOKUP(D:D,'Week 3 Jan 13 - Jan 19 2020'!D:H,5,FALSE))</f>
        <v>43755</v>
      </c>
      <c r="I28" s="12">
        <f>_xlfn.IFNA(VLOOKUP('Week 4 Jan 20 - Jan 26 2020'!D:D,'Week 3 Jan 13 - Jan 19 2020'!D:E, 2, FALSE),"New")</f>
        <v>2040</v>
      </c>
      <c r="J28" s="28">
        <f t="shared" si="1"/>
        <v>-0.13872549019607844</v>
      </c>
      <c r="L28" s="86"/>
    </row>
    <row r="29" spans="1:12" x14ac:dyDescent="0.2">
      <c r="A29" s="27">
        <v>28</v>
      </c>
      <c r="B29" s="27">
        <v>30</v>
      </c>
      <c r="C29" s="18" t="s">
        <v>8</v>
      </c>
      <c r="D29" s="86" t="s">
        <v>187</v>
      </c>
      <c r="E29" s="12">
        <v>1741</v>
      </c>
      <c r="F29" s="12">
        <f>SUMIFS(Table36749[Total Sales],Table36749[Title],Table367498[Title],Table36749[System],Table367498[System])+Table367498[[#This Row],[Week Sales]]</f>
        <v>15172</v>
      </c>
      <c r="G29" s="18" t="str">
        <f>(VLOOKUP(D:D,'Week 3 Jan 13 - Jan 19 2020'!D:G,4,FALSE))</f>
        <v>Rockstar Games</v>
      </c>
      <c r="H29" s="67">
        <f>(VLOOKUP(D:D,'Week 3 Jan 13 - Jan 19 2020'!D:H,5,FALSE))</f>
        <v>43440</v>
      </c>
      <c r="I29" s="12">
        <f>_xlfn.IFNA(VLOOKUP('Week 4 Jan 20 - Jan 26 2020'!D:D,'Week 3 Jan 13 - Jan 19 2020'!D:E, 2, FALSE),"New")</f>
        <v>1946</v>
      </c>
      <c r="J29" s="28">
        <f t="shared" si="1"/>
        <v>-0.10534429599177801</v>
      </c>
      <c r="L29" s="86"/>
    </row>
    <row r="30" spans="1:12" x14ac:dyDescent="0.2">
      <c r="A30" s="27">
        <v>29</v>
      </c>
      <c r="B30" s="27">
        <v>28</v>
      </c>
      <c r="C30" s="18" t="s">
        <v>8</v>
      </c>
      <c r="D30" s="47" t="s">
        <v>88</v>
      </c>
      <c r="E30" s="12">
        <v>1582</v>
      </c>
      <c r="F30" s="12">
        <f>SUMIFS(Table36749[Total Sales],Table36749[Title],Table367498[Title],Table36749[System],Table367498[System])+Table367498[[#This Row],[Week Sales]]</f>
        <v>221315</v>
      </c>
      <c r="G30" s="18" t="str">
        <f>(VLOOKUP(D:D,'Week 3 Jan 13 - Jan 19 2020'!D:G,4,FALSE))</f>
        <v>Sony</v>
      </c>
      <c r="H30" s="67">
        <f>(VLOOKUP(D:D,'Week 3 Jan 13 - Jan 19 2020'!D:H,5,FALSE))</f>
        <v>43763</v>
      </c>
      <c r="I30" s="12">
        <f>_xlfn.IFNA(VLOOKUP('Week 4 Jan 20 - Jan 26 2020'!D:D,'Week 3 Jan 13 - Jan 19 2020'!D:E, 2, FALSE),"New")</f>
        <v>1984</v>
      </c>
      <c r="J30" s="28">
        <f t="shared" si="1"/>
        <v>-0.20262096774193547</v>
      </c>
      <c r="L30" s="86"/>
    </row>
    <row r="31" spans="1:12" x14ac:dyDescent="0.2">
      <c r="A31" s="27">
        <v>30</v>
      </c>
      <c r="B31" s="27">
        <v>24</v>
      </c>
      <c r="C31" s="18" t="s">
        <v>7</v>
      </c>
      <c r="D31" s="86" t="s">
        <v>81</v>
      </c>
      <c r="E31" s="12">
        <v>1549</v>
      </c>
      <c r="F31" s="12">
        <f>SUMIFS(Table36749[Total Sales],Table36749[Title],Table367498[Title],Table36749[System],Table367498[System])+Table367498[[#This Row],[Week Sales]]</f>
        <v>149562</v>
      </c>
      <c r="G31" s="18" t="str">
        <f>(VLOOKUP(D:D,'Week 3 Jan 13 - Jan 19 2020'!D:G,4,FALSE))</f>
        <v>Bandai Namco</v>
      </c>
      <c r="H31" s="67">
        <f>(VLOOKUP(D:D,'Week 3 Jan 13 - Jan 19 2020'!D:H,5,FALSE))</f>
        <v>43748</v>
      </c>
      <c r="I31" s="12">
        <f>_xlfn.IFNA(VLOOKUP('Week 4 Jan 20 - Jan 26 2020'!D:D,'Week 3 Jan 13 - Jan 19 2020'!D:E, 2, FALSE),"New")</f>
        <v>2354</v>
      </c>
      <c r="J31" s="28">
        <f t="shared" si="1"/>
        <v>-0.3419711129991504</v>
      </c>
      <c r="L31" s="86"/>
    </row>
    <row r="32" spans="1:12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260408</v>
      </c>
      <c r="F33" s="2"/>
      <c r="I33" s="2"/>
      <c r="J33" s="19"/>
    </row>
    <row r="34" spans="1:10" x14ac:dyDescent="0.2">
      <c r="A34" s="3"/>
      <c r="B34" s="3"/>
      <c r="D34" s="100" t="s">
        <v>178</v>
      </c>
      <c r="E34" s="101">
        <f>SUM('Week 3 Jan 13 - Jan 19 2020'!E34,'Week 4 Jan 20 - Jan 26 2020'!E33)</f>
        <v>1808270</v>
      </c>
      <c r="F34" s="2"/>
      <c r="I34" s="2"/>
      <c r="J34" s="19"/>
    </row>
    <row r="35" spans="1:10" x14ac:dyDescent="0.2">
      <c r="A35" s="3"/>
      <c r="B35" s="3"/>
      <c r="D35" s="2" t="s">
        <v>60</v>
      </c>
      <c r="E35" s="2">
        <f>AVERAGE(E2:E31)</f>
        <v>8680.2666666666664</v>
      </c>
      <c r="F35" s="2"/>
      <c r="I35" s="2"/>
      <c r="J35" s="19"/>
    </row>
    <row r="36" spans="1:10" x14ac:dyDescent="0.2">
      <c r="A36" s="3"/>
      <c r="B36" s="3"/>
      <c r="D36" s="9" t="s">
        <v>78</v>
      </c>
      <c r="E36" s="10">
        <f>COUNTIF(B:B,"New")</f>
        <v>2</v>
      </c>
      <c r="F36" s="2"/>
      <c r="I36" s="2"/>
      <c r="J36" s="19"/>
    </row>
    <row r="37" spans="1:10" x14ac:dyDescent="0.2">
      <c r="A37" s="3"/>
      <c r="B37" s="3"/>
      <c r="E37" s="2"/>
      <c r="F37" s="2"/>
      <c r="I37" s="2"/>
      <c r="J37" s="19"/>
    </row>
    <row r="38" spans="1:10" x14ac:dyDescent="0.2">
      <c r="A38" s="3"/>
      <c r="B38" s="3"/>
      <c r="D38" t="s">
        <v>66</v>
      </c>
      <c r="E38" s="2"/>
      <c r="F38" s="2"/>
      <c r="I38" s="2"/>
      <c r="J38" s="19"/>
    </row>
    <row r="39" spans="1:10" x14ac:dyDescent="0.2">
      <c r="A39" s="3"/>
      <c r="B39" s="3"/>
      <c r="D39" s="8" t="s">
        <v>67</v>
      </c>
      <c r="E39" s="2"/>
      <c r="F39" s="2"/>
      <c r="I39" s="2"/>
      <c r="J39" s="19"/>
    </row>
    <row r="40" spans="1:10" x14ac:dyDescent="0.2">
      <c r="A40" s="3"/>
      <c r="B40" s="3"/>
      <c r="D40" s="8" t="s">
        <v>65</v>
      </c>
      <c r="E40" s="2"/>
      <c r="F40" s="2"/>
      <c r="I40" s="2"/>
      <c r="J40" s="19"/>
    </row>
    <row r="41" spans="1:10" x14ac:dyDescent="0.2">
      <c r="D41" s="8" t="s">
        <v>71</v>
      </c>
      <c r="E41" s="2"/>
      <c r="F41" s="2"/>
    </row>
  </sheetData>
  <hyperlinks>
    <hyperlink ref="D40" r:id="rId1" xr:uid="{D7769AB2-CE65-B947-A3F2-6A1A380BD6D2}"/>
    <hyperlink ref="D41" r:id="rId2" xr:uid="{43344DEC-99B3-5E40-994A-4CEC2D206E41}"/>
    <hyperlink ref="D39" r:id="rId3" xr:uid="{78A7F692-4764-F243-9B3A-475F75F21D17}"/>
  </hyperlinks>
  <pageMargins left="0.7" right="0.7" top="0.75" bottom="0.75" header="0.3" footer="0.3"/>
  <pageSetup paperSize="9" orientation="portrait" horizontalDpi="0" verticalDpi="0"/>
  <ignoredErrors>
    <ignoredError sqref="G15:H20" calculatedColumn="1"/>
  </ignoredErrors>
  <tableParts count="1">
    <tablePart r:id="rId4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C5AD0-E04D-D24B-9FF7-65CC270B004F}">
  <dimension ref="A1:J41"/>
  <sheetViews>
    <sheetView workbookViewId="0">
      <selection activeCell="D11" sqref="D2:E11"/>
    </sheetView>
  </sheetViews>
  <sheetFormatPr baseColWidth="10" defaultRowHeight="16" x14ac:dyDescent="0.2"/>
  <cols>
    <col min="1" max="1" width="10" customWidth="1"/>
    <col min="2" max="2" width="9.83203125" bestFit="1" customWidth="1"/>
    <col min="3" max="3" width="7.33203125" bestFit="1" customWidth="1"/>
    <col min="4" max="4" width="44" bestFit="1" customWidth="1"/>
    <col min="5" max="5" width="10.83203125" style="2" bestFit="1" customWidth="1"/>
    <col min="6" max="6" width="10.1640625" style="2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41" t="s">
        <v>0</v>
      </c>
      <c r="B1" s="41" t="s">
        <v>35</v>
      </c>
      <c r="C1" s="42" t="s">
        <v>1</v>
      </c>
      <c r="D1" s="42" t="s">
        <v>2</v>
      </c>
      <c r="E1" s="43" t="s">
        <v>3</v>
      </c>
      <c r="F1" s="43" t="s">
        <v>4</v>
      </c>
      <c r="G1" s="42" t="s">
        <v>5</v>
      </c>
      <c r="H1" s="45" t="s">
        <v>6</v>
      </c>
      <c r="I1" s="43" t="s">
        <v>64</v>
      </c>
      <c r="J1" s="44" t="s">
        <v>63</v>
      </c>
    </row>
    <row r="2" spans="1:10" x14ac:dyDescent="0.2">
      <c r="A2" s="47">
        <v>1</v>
      </c>
      <c r="B2">
        <v>2</v>
      </c>
      <c r="C2" t="s">
        <v>7</v>
      </c>
      <c r="D2" s="39" t="s">
        <v>46</v>
      </c>
      <c r="E2" s="2">
        <v>36495</v>
      </c>
      <c r="F2" s="2">
        <v>5790577</v>
      </c>
      <c r="G2" t="s">
        <v>9</v>
      </c>
      <c r="H2" s="49">
        <v>43910</v>
      </c>
      <c r="I2" s="50">
        <f>_xlfn.IFNA(SUMIFS('Week 39 Sept 21 - Sept 27 2020'!E:E,'Week 39 Sept 21 - Sept 27 2020'!D:D,'Week 40 Sept 28 - Oct 4 2020'!D:D,'Week 39 Sept 21 - Sept 27 2020'!C:C,'Week 40 Sept 28 - Oct 4 2020'!C:C),"New")</f>
        <v>29829</v>
      </c>
      <c r="J2" s="51">
        <f t="shared" ref="J2:J31" si="0">(E2-I2)/I2</f>
        <v>0.22347380066378356</v>
      </c>
    </row>
    <row r="3" spans="1:10" x14ac:dyDescent="0.2">
      <c r="A3" s="47">
        <v>2</v>
      </c>
      <c r="B3">
        <v>1</v>
      </c>
      <c r="C3" t="s">
        <v>7</v>
      </c>
      <c r="D3" s="47" t="s">
        <v>40</v>
      </c>
      <c r="E3" s="16">
        <v>34282</v>
      </c>
      <c r="F3" s="16">
        <v>308221</v>
      </c>
      <c r="G3" s="15" t="s">
        <v>9</v>
      </c>
      <c r="H3" s="60">
        <v>44092</v>
      </c>
      <c r="I3" s="55">
        <f>_xlfn.IFNA(SUMIFS('Week 39 Sept 21 - Sept 27 2020'!E:E,'Week 39 Sept 21 - Sept 27 2020'!D:D,'Week 40 Sept 28 - Oct 4 2020'!D:D,'Week 39 Sept 21 - Sept 27 2020'!C:C,'Week 40 Sept 28 - Oct 4 2020'!C:C),"New")</f>
        <v>63803</v>
      </c>
      <c r="J3" s="56">
        <f t="shared" si="0"/>
        <v>-0.46268984217043085</v>
      </c>
    </row>
    <row r="4" spans="1:10" x14ac:dyDescent="0.2">
      <c r="A4" s="47">
        <v>3</v>
      </c>
      <c r="B4">
        <v>3</v>
      </c>
      <c r="C4" t="s">
        <v>7</v>
      </c>
      <c r="D4" s="40" t="s">
        <v>45</v>
      </c>
      <c r="E4" s="2">
        <v>33156</v>
      </c>
      <c r="F4" s="2">
        <v>1635341</v>
      </c>
      <c r="G4" t="s">
        <v>9</v>
      </c>
      <c r="H4" s="48">
        <v>43756</v>
      </c>
      <c r="I4" s="50">
        <f>_xlfn.IFNA(SUMIFS('Week 39 Sept 21 - Sept 27 2020'!E:E,'Week 39 Sept 21 - Sept 27 2020'!D:D,'Week 40 Sept 28 - Oct 4 2020'!D:D,'Week 39 Sept 21 - Sept 27 2020'!C:C,'Week 40 Sept 28 - Oct 4 2020'!C:C),"New")</f>
        <v>25915</v>
      </c>
      <c r="J4" s="51">
        <f t="shared" si="0"/>
        <v>0.27941346710399384</v>
      </c>
    </row>
    <row r="5" spans="1:10" x14ac:dyDescent="0.2">
      <c r="A5" s="47">
        <v>4</v>
      </c>
      <c r="B5">
        <v>4</v>
      </c>
      <c r="C5" t="s">
        <v>7</v>
      </c>
      <c r="D5" s="39" t="s">
        <v>49</v>
      </c>
      <c r="E5" s="2">
        <v>12270</v>
      </c>
      <c r="F5" s="2">
        <v>3196495</v>
      </c>
      <c r="G5" t="s">
        <v>9</v>
      </c>
      <c r="H5" s="49">
        <v>42853</v>
      </c>
      <c r="I5" s="55">
        <f>_xlfn.IFNA(SUMIFS('Week 39 Sept 21 - Sept 27 2020'!E:E,'Week 39 Sept 21 - Sept 27 2020'!D:D,'Week 40 Sept 28 - Oct 4 2020'!D:D,'Week 39 Sept 21 - Sept 27 2020'!C:C,'Week 40 Sept 28 - Oct 4 2020'!C:C),"New")</f>
        <v>13470</v>
      </c>
      <c r="J5" s="56">
        <f t="shared" si="0"/>
        <v>-8.9086859688195991E-2</v>
      </c>
    </row>
    <row r="6" spans="1:10" x14ac:dyDescent="0.2">
      <c r="A6" s="46">
        <v>5</v>
      </c>
      <c r="B6" s="9" t="s">
        <v>36</v>
      </c>
      <c r="C6" s="9" t="s">
        <v>8</v>
      </c>
      <c r="D6" s="9" t="s">
        <v>109</v>
      </c>
      <c r="E6" s="10">
        <v>10437</v>
      </c>
      <c r="F6" s="10">
        <v>10437</v>
      </c>
      <c r="G6" s="9" t="s">
        <v>110</v>
      </c>
      <c r="H6" s="14">
        <v>44106</v>
      </c>
      <c r="I6" s="59" t="s">
        <v>36</v>
      </c>
      <c r="J6" s="104" t="s">
        <v>36</v>
      </c>
    </row>
    <row r="7" spans="1:10" x14ac:dyDescent="0.2">
      <c r="A7" s="47">
        <v>6</v>
      </c>
      <c r="B7">
        <v>7</v>
      </c>
      <c r="C7" t="s">
        <v>7</v>
      </c>
      <c r="D7" s="47" t="s">
        <v>62</v>
      </c>
      <c r="E7" s="16">
        <v>7416</v>
      </c>
      <c r="F7" s="16">
        <v>3752771</v>
      </c>
      <c r="G7" s="47" t="s">
        <v>42</v>
      </c>
      <c r="H7" s="17">
        <v>43784</v>
      </c>
      <c r="I7" s="55">
        <f>_xlfn.IFNA(SUMIFS('Week 39 Sept 21 - Sept 27 2020'!E:E,'Week 39 Sept 21 - Sept 27 2020'!D:D,'Week 40 Sept 28 - Oct 4 2020'!D:D,'Week 39 Sept 21 - Sept 27 2020'!C:C,'Week 40 Sept 28 - Oct 4 2020'!C:C),"New")</f>
        <v>7019</v>
      </c>
      <c r="J7" s="56">
        <f t="shared" si="0"/>
        <v>5.656076364154438E-2</v>
      </c>
    </row>
    <row r="8" spans="1:10" x14ac:dyDescent="0.2">
      <c r="A8" s="47">
        <v>7</v>
      </c>
      <c r="B8">
        <v>10</v>
      </c>
      <c r="C8" t="s">
        <v>7</v>
      </c>
      <c r="D8" s="39" t="s">
        <v>52</v>
      </c>
      <c r="E8" s="2">
        <v>6168</v>
      </c>
      <c r="F8" s="2">
        <v>3843036</v>
      </c>
      <c r="G8" t="s">
        <v>9</v>
      </c>
      <c r="H8" s="49">
        <v>43441</v>
      </c>
      <c r="I8" s="50">
        <f>_xlfn.IFNA(SUMIFS('Week 39 Sept 21 - Sept 27 2020'!E:E,'Week 39 Sept 21 - Sept 27 2020'!D:D,'Week 40 Sept 28 - Oct 4 2020'!D:D,'Week 39 Sept 21 - Sept 27 2020'!C:C,'Week 40 Sept 28 - Oct 4 2020'!C:C),"New")</f>
        <v>6151</v>
      </c>
      <c r="J8" s="51">
        <f t="shared" si="0"/>
        <v>2.7637782474394406E-3</v>
      </c>
    </row>
    <row r="9" spans="1:10" x14ac:dyDescent="0.2">
      <c r="A9" s="47">
        <v>8</v>
      </c>
      <c r="B9">
        <v>6</v>
      </c>
      <c r="C9" t="s">
        <v>7</v>
      </c>
      <c r="D9" s="47" t="s">
        <v>50</v>
      </c>
      <c r="E9" s="16">
        <v>6143</v>
      </c>
      <c r="F9" s="16">
        <v>397338</v>
      </c>
      <c r="G9" t="s">
        <v>9</v>
      </c>
      <c r="H9" s="17">
        <v>43987</v>
      </c>
      <c r="I9" s="55">
        <f>_xlfn.IFNA(SUMIFS('Week 39 Sept 21 - Sept 27 2020'!E:E,'Week 39 Sept 21 - Sept 27 2020'!D:D,'Week 40 Sept 28 - Oct 4 2020'!D:D,'Week 39 Sept 21 - Sept 27 2020'!C:C,'Week 40 Sept 28 - Oct 4 2020'!C:C),"New")</f>
        <v>9583</v>
      </c>
      <c r="J9" s="56">
        <f t="shared" si="0"/>
        <v>-0.35896900761765627</v>
      </c>
    </row>
    <row r="10" spans="1:10" x14ac:dyDescent="0.2">
      <c r="A10" s="47">
        <v>9</v>
      </c>
      <c r="B10">
        <v>8</v>
      </c>
      <c r="C10" t="s">
        <v>7</v>
      </c>
      <c r="D10" s="4" t="s">
        <v>12</v>
      </c>
      <c r="E10" s="2">
        <v>5901</v>
      </c>
      <c r="F10" s="2">
        <v>1518168</v>
      </c>
      <c r="G10" t="s">
        <v>28</v>
      </c>
      <c r="H10" s="1">
        <v>43272</v>
      </c>
      <c r="I10" s="50">
        <f>_xlfn.IFNA(SUMIFS('Week 39 Sept 21 - Sept 27 2020'!E:E,'Week 39 Sept 21 - Sept 27 2020'!D:D,'Week 40 Sept 28 - Oct 4 2020'!D:D,'Week 39 Sept 21 - Sept 27 2020'!C:C,'Week 40 Sept 28 - Oct 4 2020'!C:C),"New")</f>
        <v>6979</v>
      </c>
      <c r="J10" s="51">
        <f t="shared" si="0"/>
        <v>-0.15446339017051153</v>
      </c>
    </row>
    <row r="11" spans="1:10" x14ac:dyDescent="0.2">
      <c r="A11" s="47">
        <v>10</v>
      </c>
      <c r="B11">
        <v>5</v>
      </c>
      <c r="C11" t="s">
        <v>8</v>
      </c>
      <c r="D11" s="47" t="s">
        <v>47</v>
      </c>
      <c r="E11" s="16">
        <v>5492</v>
      </c>
      <c r="F11" s="16">
        <v>41488</v>
      </c>
      <c r="G11" s="64" t="s">
        <v>32</v>
      </c>
      <c r="H11" s="17">
        <v>44091</v>
      </c>
      <c r="I11" s="55">
        <f>_xlfn.IFNA(SUMIFS('Week 39 Sept 21 - Sept 27 2020'!E:E,'Week 39 Sept 21 - Sept 27 2020'!D:D,'Week 40 Sept 28 - Oct 4 2020'!D:D,'Week 39 Sept 21 - Sept 27 2020'!C:C,'Week 40 Sept 28 - Oct 4 2020'!C:C),"New")</f>
        <v>9781</v>
      </c>
      <c r="J11" s="56">
        <f t="shared" si="0"/>
        <v>-0.43850322052959823</v>
      </c>
    </row>
    <row r="12" spans="1:10" x14ac:dyDescent="0.2">
      <c r="A12" s="47">
        <v>11</v>
      </c>
      <c r="B12">
        <v>11</v>
      </c>
      <c r="C12" t="s">
        <v>7</v>
      </c>
      <c r="D12" s="4" t="s">
        <v>13</v>
      </c>
      <c r="E12" s="2">
        <v>5228</v>
      </c>
      <c r="F12" s="2">
        <v>1566097</v>
      </c>
      <c r="G12" t="s">
        <v>9</v>
      </c>
      <c r="H12" s="1">
        <v>43378</v>
      </c>
      <c r="I12" s="50">
        <f>_xlfn.IFNA(SUMIFS('Week 39 Sept 21 - Sept 27 2020'!E:E,'Week 39 Sept 21 - Sept 27 2020'!D:D,'Week 40 Sept 28 - Oct 4 2020'!D:D,'Week 39 Sept 21 - Sept 27 2020'!C:C,'Week 40 Sept 28 - Oct 4 2020'!C:C),"New")</f>
        <v>5938</v>
      </c>
      <c r="J12" s="51">
        <f t="shared" si="0"/>
        <v>-0.11956887841023914</v>
      </c>
    </row>
    <row r="13" spans="1:10" x14ac:dyDescent="0.2">
      <c r="A13" s="46">
        <v>12</v>
      </c>
      <c r="B13" s="9" t="s">
        <v>36</v>
      </c>
      <c r="C13" s="9" t="s">
        <v>8</v>
      </c>
      <c r="D13" s="9" t="s">
        <v>112</v>
      </c>
      <c r="E13" s="10">
        <v>5114</v>
      </c>
      <c r="F13" s="10">
        <v>5114</v>
      </c>
      <c r="G13" s="63" t="s">
        <v>96</v>
      </c>
      <c r="H13" s="14">
        <v>44106</v>
      </c>
      <c r="I13" s="59" t="s">
        <v>36</v>
      </c>
      <c r="J13" s="90" t="s">
        <v>36</v>
      </c>
    </row>
    <row r="14" spans="1:10" x14ac:dyDescent="0.2">
      <c r="A14" s="47">
        <v>13</v>
      </c>
      <c r="B14">
        <v>9</v>
      </c>
      <c r="C14" t="s">
        <v>7</v>
      </c>
      <c r="D14" s="4" t="s">
        <v>10</v>
      </c>
      <c r="E14" s="2">
        <v>4965</v>
      </c>
      <c r="F14" s="2">
        <v>3575174</v>
      </c>
      <c r="G14" t="s">
        <v>9</v>
      </c>
      <c r="H14" s="1">
        <v>42937</v>
      </c>
      <c r="I14" s="50">
        <f>_xlfn.IFNA(SUMIFS('Week 39 Sept 21 - Sept 27 2020'!E:E,'Week 39 Sept 21 - Sept 27 2020'!D:D,'Week 40 Sept 28 - Oct 4 2020'!D:D,'Week 39 Sept 21 - Sept 27 2020'!C:C,'Week 40 Sept 28 - Oct 4 2020'!C:C),"New")</f>
        <v>6329</v>
      </c>
      <c r="J14" s="51">
        <f t="shared" si="0"/>
        <v>-0.21551587928582713</v>
      </c>
    </row>
    <row r="15" spans="1:10" x14ac:dyDescent="0.2">
      <c r="A15" s="47">
        <v>14</v>
      </c>
      <c r="B15">
        <v>16</v>
      </c>
      <c r="C15" t="s">
        <v>7</v>
      </c>
      <c r="D15" s="4" t="s">
        <v>39</v>
      </c>
      <c r="E15" s="2">
        <v>4509</v>
      </c>
      <c r="F15" s="2">
        <v>1658800</v>
      </c>
      <c r="G15" t="s">
        <v>9</v>
      </c>
      <c r="H15" s="1">
        <v>42797</v>
      </c>
      <c r="I15" s="55">
        <f>_xlfn.IFNA(SUMIFS('Week 39 Sept 21 - Sept 27 2020'!E:E,'Week 39 Sept 21 - Sept 27 2020'!D:D,'Week 40 Sept 28 - Oct 4 2020'!D:D,'Week 39 Sept 21 - Sept 27 2020'!C:C,'Week 40 Sept 28 - Oct 4 2020'!C:C),"New")</f>
        <v>4369</v>
      </c>
      <c r="J15" s="56">
        <f t="shared" si="0"/>
        <v>3.2043945983062483E-2</v>
      </c>
    </row>
    <row r="16" spans="1:10" x14ac:dyDescent="0.2">
      <c r="A16" s="47">
        <v>15</v>
      </c>
      <c r="B16">
        <v>12</v>
      </c>
      <c r="C16" t="s">
        <v>7</v>
      </c>
      <c r="D16" s="4" t="s">
        <v>58</v>
      </c>
      <c r="E16" s="2">
        <v>4074</v>
      </c>
      <c r="F16" s="2">
        <v>27334</v>
      </c>
      <c r="G16" t="s">
        <v>28</v>
      </c>
      <c r="H16" s="1">
        <v>44082</v>
      </c>
      <c r="I16" s="50">
        <f>_xlfn.IFNA(SUMIFS('Week 39 Sept 21 - Sept 27 2020'!E:E,'Week 39 Sept 21 - Sept 27 2020'!D:D,'Week 40 Sept 28 - Oct 4 2020'!D:D,'Week 39 Sept 21 - Sept 27 2020'!C:C,'Week 40 Sept 28 - Oct 4 2020'!C:C),"New")</f>
        <v>5832</v>
      </c>
      <c r="J16" s="51">
        <f t="shared" si="0"/>
        <v>-0.30144032921810698</v>
      </c>
    </row>
    <row r="17" spans="1:10" x14ac:dyDescent="0.2">
      <c r="A17" s="46">
        <v>16</v>
      </c>
      <c r="B17" s="9" t="s">
        <v>36</v>
      </c>
      <c r="C17" s="9" t="s">
        <v>8</v>
      </c>
      <c r="D17" s="9" t="s">
        <v>113</v>
      </c>
      <c r="E17" s="10">
        <v>3674</v>
      </c>
      <c r="F17" s="10">
        <v>3674</v>
      </c>
      <c r="G17" s="63" t="s">
        <v>111</v>
      </c>
      <c r="H17" s="14">
        <v>44105</v>
      </c>
      <c r="I17" s="59" t="s">
        <v>36</v>
      </c>
      <c r="J17" s="90" t="s">
        <v>36</v>
      </c>
    </row>
    <row r="18" spans="1:10" x14ac:dyDescent="0.2">
      <c r="A18" s="46">
        <v>17</v>
      </c>
      <c r="B18" s="9" t="s">
        <v>36</v>
      </c>
      <c r="C18" s="9" t="s">
        <v>7</v>
      </c>
      <c r="D18" s="9" t="s">
        <v>113</v>
      </c>
      <c r="E18" s="10">
        <v>3610</v>
      </c>
      <c r="F18" s="10">
        <v>3610</v>
      </c>
      <c r="G18" s="63" t="s">
        <v>111</v>
      </c>
      <c r="H18" s="14">
        <v>44105</v>
      </c>
      <c r="I18" s="59" t="s">
        <v>36</v>
      </c>
      <c r="J18" s="104" t="s">
        <v>36</v>
      </c>
    </row>
    <row r="19" spans="1:10" x14ac:dyDescent="0.2">
      <c r="A19" s="47">
        <v>18</v>
      </c>
      <c r="B19">
        <v>20</v>
      </c>
      <c r="C19" t="s">
        <v>7</v>
      </c>
      <c r="D19" s="4" t="s">
        <v>17</v>
      </c>
      <c r="E19" s="2">
        <v>3312</v>
      </c>
      <c r="F19" s="2">
        <v>906735</v>
      </c>
      <c r="G19" s="65" t="s">
        <v>9</v>
      </c>
      <c r="H19" s="1">
        <v>43476</v>
      </c>
      <c r="I19" s="55">
        <f>_xlfn.IFNA(SUMIFS('Week 39 Sept 21 - Sept 27 2020'!E:E,'Week 39 Sept 21 - Sept 27 2020'!D:D,'Week 40 Sept 28 - Oct 4 2020'!D:D,'Week 39 Sept 21 - Sept 27 2020'!C:C,'Week 40 Sept 28 - Oct 4 2020'!C:C),"New")</f>
        <v>3991</v>
      </c>
      <c r="J19" s="56">
        <f t="shared" si="0"/>
        <v>-0.1701327987972939</v>
      </c>
    </row>
    <row r="20" spans="1:10" x14ac:dyDescent="0.2">
      <c r="A20" s="47">
        <v>19</v>
      </c>
      <c r="B20">
        <v>22</v>
      </c>
      <c r="C20" t="s">
        <v>7</v>
      </c>
      <c r="D20" s="4" t="s">
        <v>14</v>
      </c>
      <c r="E20" s="2">
        <v>3235</v>
      </c>
      <c r="F20" s="2">
        <v>231311</v>
      </c>
      <c r="G20" s="65" t="s">
        <v>32</v>
      </c>
      <c r="H20" s="1">
        <v>44021</v>
      </c>
      <c r="I20" s="50">
        <f>_xlfn.IFNA(SUMIFS('Week 39 Sept 21 - Sept 27 2020'!E:E,'Week 39 Sept 21 - Sept 27 2020'!D:D,'Week 40 Sept 28 - Oct 4 2020'!D:D,'Week 39 Sept 21 - Sept 27 2020'!C:C,'Week 40 Sept 28 - Oct 4 2020'!C:C),"New")</f>
        <v>3718</v>
      </c>
      <c r="J20" s="51">
        <f t="shared" si="0"/>
        <v>-0.12990855298547607</v>
      </c>
    </row>
    <row r="21" spans="1:10" s="15" customFormat="1" x14ac:dyDescent="0.2">
      <c r="A21" s="52">
        <v>20</v>
      </c>
      <c r="B21" s="30" t="s">
        <v>53</v>
      </c>
      <c r="C21" s="32" t="s">
        <v>8</v>
      </c>
      <c r="D21" s="31" t="s">
        <v>54</v>
      </c>
      <c r="E21" s="37">
        <v>3096</v>
      </c>
      <c r="F21" s="37">
        <v>58913</v>
      </c>
      <c r="G21" s="66" t="s">
        <v>27</v>
      </c>
      <c r="H21" s="34">
        <v>44078</v>
      </c>
      <c r="I21" s="75">
        <v>1444</v>
      </c>
      <c r="J21" s="76">
        <f t="shared" si="0"/>
        <v>1.1440443213296398</v>
      </c>
    </row>
    <row r="22" spans="1:10" x14ac:dyDescent="0.2">
      <c r="A22" s="47">
        <v>21</v>
      </c>
      <c r="B22">
        <v>19</v>
      </c>
      <c r="C22" t="s">
        <v>7</v>
      </c>
      <c r="D22" s="4" t="s">
        <v>15</v>
      </c>
      <c r="E22" s="2">
        <v>2846</v>
      </c>
      <c r="F22" s="2">
        <v>259745</v>
      </c>
      <c r="G22" t="s">
        <v>9</v>
      </c>
      <c r="H22" s="1">
        <v>44029</v>
      </c>
      <c r="I22" s="50">
        <f>_xlfn.IFNA(SUMIFS('Week 39 Sept 21 - Sept 27 2020'!E:E,'Week 39 Sept 21 - Sept 27 2020'!D:D,'Week 40 Sept 28 - Oct 4 2020'!D:D,'Week 39 Sept 21 - Sept 27 2020'!C:C,'Week 40 Sept 28 - Oct 4 2020'!C:C),"New")</f>
        <v>4024</v>
      </c>
      <c r="J22" s="51">
        <f t="shared" si="0"/>
        <v>-0.29274353876739562</v>
      </c>
    </row>
    <row r="23" spans="1:10" x14ac:dyDescent="0.2">
      <c r="A23" s="47">
        <v>22</v>
      </c>
      <c r="B23">
        <v>15</v>
      </c>
      <c r="C23" t="s">
        <v>7</v>
      </c>
      <c r="D23" s="4" t="s">
        <v>48</v>
      </c>
      <c r="E23" s="2">
        <v>2816</v>
      </c>
      <c r="F23" s="2">
        <v>22760</v>
      </c>
      <c r="G23" s="65" t="s">
        <v>34</v>
      </c>
      <c r="H23" s="1">
        <v>44091</v>
      </c>
      <c r="I23" s="55">
        <f>_xlfn.IFNA(SUMIFS('Week 39 Sept 21 - Sept 27 2020'!E:E,'Week 39 Sept 21 - Sept 27 2020'!D:D,'Week 40 Sept 28 - Oct 4 2020'!D:D,'Week 39 Sept 21 - Sept 27 2020'!C:C,'Week 40 Sept 28 - Oct 4 2020'!C:C),"New")</f>
        <v>4815</v>
      </c>
      <c r="J23" s="56">
        <f t="shared" si="0"/>
        <v>-0.41516095534787123</v>
      </c>
    </row>
    <row r="24" spans="1:10" x14ac:dyDescent="0.2">
      <c r="A24" s="47">
        <v>23</v>
      </c>
      <c r="B24">
        <v>17</v>
      </c>
      <c r="C24" t="s">
        <v>7</v>
      </c>
      <c r="D24" s="40" t="s">
        <v>16</v>
      </c>
      <c r="E24" s="2">
        <v>2654</v>
      </c>
      <c r="F24" s="2">
        <v>304817</v>
      </c>
      <c r="G24" t="s">
        <v>9</v>
      </c>
      <c r="H24" s="1">
        <v>43826</v>
      </c>
      <c r="I24" s="50">
        <f>_xlfn.IFNA(SUMIFS('Week 39 Sept 21 - Sept 27 2020'!E:E,'Week 39 Sept 21 - Sept 27 2020'!D:D,'Week 40 Sept 28 - Oct 4 2020'!D:D,'Week 39 Sept 21 - Sept 27 2020'!C:C,'Week 40 Sept 28 - Oct 4 2020'!C:C),"New")</f>
        <v>4342</v>
      </c>
      <c r="J24" s="51">
        <f t="shared" si="0"/>
        <v>-0.38876093965914327</v>
      </c>
    </row>
    <row r="25" spans="1:10" x14ac:dyDescent="0.2">
      <c r="A25" s="47">
        <v>24</v>
      </c>
      <c r="B25">
        <v>26</v>
      </c>
      <c r="C25" t="s">
        <v>7</v>
      </c>
      <c r="D25" s="4" t="s">
        <v>19</v>
      </c>
      <c r="E25" s="2">
        <v>2573</v>
      </c>
      <c r="F25" s="2">
        <v>971422</v>
      </c>
      <c r="G25" t="s">
        <v>9</v>
      </c>
      <c r="H25" s="1">
        <v>43644</v>
      </c>
      <c r="I25" s="55">
        <f>_xlfn.IFNA(SUMIFS('Week 39 Sept 21 - Sept 27 2020'!E:E,'Week 39 Sept 21 - Sept 27 2020'!D:D,'Week 40 Sept 28 - Oct 4 2020'!D:D,'Week 39 Sept 21 - Sept 27 2020'!C:C,'Week 40 Sept 28 - Oct 4 2020'!C:C),"New")</f>
        <v>2884</v>
      </c>
      <c r="J25" s="56">
        <f t="shared" si="0"/>
        <v>-0.10783633841886268</v>
      </c>
    </row>
    <row r="26" spans="1:10" x14ac:dyDescent="0.2">
      <c r="A26" s="47">
        <v>25</v>
      </c>
      <c r="B26">
        <v>23</v>
      </c>
      <c r="C26" t="s">
        <v>8</v>
      </c>
      <c r="D26" s="4" t="s">
        <v>11</v>
      </c>
      <c r="E26" s="2">
        <v>2111</v>
      </c>
      <c r="F26" s="2">
        <v>401481</v>
      </c>
      <c r="G26" t="s">
        <v>30</v>
      </c>
      <c r="H26" s="1">
        <v>44029</v>
      </c>
      <c r="I26" s="50">
        <f>_xlfn.IFNA(SUMIFS('Week 39 Sept 21 - Sept 27 2020'!E:E,'Week 39 Sept 21 - Sept 27 2020'!D:D,'Week 40 Sept 28 - Oct 4 2020'!D:D,'Week 39 Sept 21 - Sept 27 2020'!C:C,'Week 40 Sept 28 - Oct 4 2020'!C:C),"New")</f>
        <v>3557</v>
      </c>
      <c r="J26" s="51">
        <f t="shared" si="0"/>
        <v>-0.40652235029519257</v>
      </c>
    </row>
    <row r="27" spans="1:10" x14ac:dyDescent="0.2">
      <c r="A27" s="47">
        <v>26</v>
      </c>
      <c r="B27">
        <v>28</v>
      </c>
      <c r="C27" t="s">
        <v>7</v>
      </c>
      <c r="D27" s="4" t="s">
        <v>26</v>
      </c>
      <c r="E27" s="2">
        <v>2019</v>
      </c>
      <c r="F27" s="2">
        <v>2130615</v>
      </c>
      <c r="G27" s="61" t="s">
        <v>9</v>
      </c>
      <c r="H27" s="1">
        <v>43035</v>
      </c>
      <c r="I27" s="55">
        <f>_xlfn.IFNA(SUMIFS('Week 39 Sept 21 - Sept 27 2020'!E:E,'Week 39 Sept 21 - Sept 27 2020'!D:D,'Week 40 Sept 28 - Oct 4 2020'!D:D,'Week 39 Sept 21 - Sept 27 2020'!C:C,'Week 40 Sept 28 - Oct 4 2020'!C:C),"New")</f>
        <v>2619</v>
      </c>
      <c r="J27" s="56">
        <f t="shared" si="0"/>
        <v>-0.22909507445589919</v>
      </c>
    </row>
    <row r="28" spans="1:10" x14ac:dyDescent="0.2">
      <c r="A28" s="47">
        <v>27</v>
      </c>
      <c r="B28">
        <v>29</v>
      </c>
      <c r="C28" t="s">
        <v>7</v>
      </c>
      <c r="D28" s="40" t="s">
        <v>20</v>
      </c>
      <c r="E28" s="2">
        <v>1876</v>
      </c>
      <c r="F28" s="2">
        <v>495011</v>
      </c>
      <c r="G28" s="65" t="s">
        <v>34</v>
      </c>
      <c r="H28" s="1">
        <v>43671</v>
      </c>
      <c r="I28" s="50">
        <f>_xlfn.IFNA(SUMIFS('Week 39 Sept 21 - Sept 27 2020'!E:E,'Week 39 Sept 21 - Sept 27 2020'!D:D,'Week 40 Sept 28 - Oct 4 2020'!D:D,'Week 39 Sept 21 - Sept 27 2020'!C:C,'Week 40 Sept 28 - Oct 4 2020'!C:C),"New")</f>
        <v>2537</v>
      </c>
      <c r="J28" s="51">
        <f t="shared" si="0"/>
        <v>-0.26054394954670873</v>
      </c>
    </row>
    <row r="29" spans="1:10" x14ac:dyDescent="0.2">
      <c r="A29" s="47">
        <v>28</v>
      </c>
      <c r="B29">
        <v>30</v>
      </c>
      <c r="C29" t="s">
        <v>7</v>
      </c>
      <c r="D29" s="4" t="s">
        <v>56</v>
      </c>
      <c r="E29" s="2">
        <v>1687</v>
      </c>
      <c r="F29" s="2">
        <v>37673</v>
      </c>
      <c r="G29" s="65" t="s">
        <v>38</v>
      </c>
      <c r="H29" s="1">
        <v>44007</v>
      </c>
      <c r="I29" s="55">
        <f>_xlfn.IFNA(SUMIFS('Week 39 Sept 21 - Sept 27 2020'!E:E,'Week 39 Sept 21 - Sept 27 2020'!D:D,'Week 40 Sept 28 - Oct 4 2020'!D:D,'Week 39 Sept 21 - Sept 27 2020'!C:C,'Week 40 Sept 28 - Oct 4 2020'!C:C),"New")</f>
        <v>2509</v>
      </c>
      <c r="J29" s="56">
        <f t="shared" si="0"/>
        <v>-0.32762056596253486</v>
      </c>
    </row>
    <row r="30" spans="1:10" x14ac:dyDescent="0.2">
      <c r="A30" s="52">
        <v>29</v>
      </c>
      <c r="B30" s="30" t="s">
        <v>53</v>
      </c>
      <c r="C30" s="32" t="s">
        <v>7</v>
      </c>
      <c r="D30" s="57" t="s">
        <v>25</v>
      </c>
      <c r="E30" s="37">
        <v>1660</v>
      </c>
      <c r="F30" s="37">
        <v>517632</v>
      </c>
      <c r="G30" s="66" t="s">
        <v>34</v>
      </c>
      <c r="H30" s="34">
        <v>43300</v>
      </c>
      <c r="I30" s="53">
        <v>1862</v>
      </c>
      <c r="J30" s="54">
        <f t="shared" si="0"/>
        <v>-0.10848549946294307</v>
      </c>
    </row>
    <row r="31" spans="1:10" x14ac:dyDescent="0.2">
      <c r="A31" s="58">
        <v>30</v>
      </c>
      <c r="B31" s="30" t="s">
        <v>53</v>
      </c>
      <c r="C31" s="32" t="s">
        <v>7</v>
      </c>
      <c r="D31" s="31" t="s">
        <v>57</v>
      </c>
      <c r="E31" s="37">
        <v>1464</v>
      </c>
      <c r="F31" s="37">
        <v>688924</v>
      </c>
      <c r="G31" s="62" t="s">
        <v>9</v>
      </c>
      <c r="H31" s="34">
        <v>43769</v>
      </c>
      <c r="I31" s="53">
        <v>2024</v>
      </c>
      <c r="J31" s="54">
        <f t="shared" si="0"/>
        <v>-0.27667984189723321</v>
      </c>
    </row>
    <row r="33" spans="4:5" x14ac:dyDescent="0.2">
      <c r="D33" s="2" t="s">
        <v>59</v>
      </c>
      <c r="E33" s="2">
        <f>SUM(E2:E31)</f>
        <v>220283</v>
      </c>
    </row>
    <row r="34" spans="4:5" x14ac:dyDescent="0.2">
      <c r="D34" s="100" t="s">
        <v>178</v>
      </c>
      <c r="E34" s="101">
        <f>SUM('Week 39 Sept 21 - Sept 27 2020'!E34,'Week 40 Sept 28 - Oct 4 2020'!E33)</f>
        <v>17907904</v>
      </c>
    </row>
    <row r="35" spans="4:5" x14ac:dyDescent="0.2">
      <c r="D35" s="2" t="s">
        <v>60</v>
      </c>
      <c r="E35" s="2">
        <f>AVERAGE(E2:E31)</f>
        <v>7342.7666666666664</v>
      </c>
    </row>
    <row r="36" spans="4:5" x14ac:dyDescent="0.2">
      <c r="D36" s="9" t="s">
        <v>78</v>
      </c>
      <c r="E36" s="10">
        <f>COUNTIF(B:B,"New")</f>
        <v>4</v>
      </c>
    </row>
    <row r="38" spans="4:5" x14ac:dyDescent="0.2">
      <c r="D38" t="s">
        <v>66</v>
      </c>
    </row>
    <row r="39" spans="4:5" x14ac:dyDescent="0.2">
      <c r="D39" s="8" t="s">
        <v>67</v>
      </c>
    </row>
    <row r="40" spans="4:5" x14ac:dyDescent="0.2">
      <c r="D40" s="8" t="s">
        <v>65</v>
      </c>
    </row>
    <row r="41" spans="4:5" x14ac:dyDescent="0.2">
      <c r="D41" s="8" t="s">
        <v>71</v>
      </c>
    </row>
  </sheetData>
  <hyperlinks>
    <hyperlink ref="D40" r:id="rId1" xr:uid="{EA5CC457-74CB-D649-9E0A-4F045EC585A5}"/>
    <hyperlink ref="D39" r:id="rId2" xr:uid="{ECB49736-CEDC-434D-A5FB-A79D6D500920}"/>
    <hyperlink ref="D41" r:id="rId3" xr:uid="{7B061D99-6AD9-3142-9DBA-E4D9BAFFA78C}"/>
  </hyperlinks>
  <pageMargins left="0.7" right="0.7" top="0.75" bottom="0.75" header="0.3" footer="0.3"/>
  <pageSetup paperSize="9" orientation="portrait" horizontalDpi="0" verticalDpi="0"/>
  <ignoredErrors>
    <ignoredError sqref="J1:J18 I21:I31 I3:I18" calculatedColumn="1"/>
  </ignoredErrors>
  <tableParts count="1">
    <tablePart r:id="rId4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1281F-8713-5648-9CA8-B0CBAEBD0D06}">
  <dimension ref="A1:N41"/>
  <sheetViews>
    <sheetView workbookViewId="0">
      <selection activeCell="D11" sqref="D2:E11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44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41" t="s">
        <v>0</v>
      </c>
      <c r="B1" s="41" t="s">
        <v>35</v>
      </c>
      <c r="C1" s="42" t="s">
        <v>1</v>
      </c>
      <c r="D1" s="42" t="s">
        <v>2</v>
      </c>
      <c r="E1" s="43" t="s">
        <v>3</v>
      </c>
      <c r="F1" s="43" t="s">
        <v>4</v>
      </c>
      <c r="G1" s="42" t="s">
        <v>5</v>
      </c>
      <c r="H1" s="45" t="s">
        <v>6</v>
      </c>
      <c r="I1" s="43" t="s">
        <v>64</v>
      </c>
      <c r="J1" s="44" t="s">
        <v>63</v>
      </c>
    </row>
    <row r="2" spans="1:10" x14ac:dyDescent="0.2">
      <c r="A2" s="46">
        <v>1</v>
      </c>
      <c r="B2" s="9" t="s">
        <v>36</v>
      </c>
      <c r="C2" s="9" t="s">
        <v>8</v>
      </c>
      <c r="D2" s="9" t="s">
        <v>115</v>
      </c>
      <c r="E2" s="10">
        <v>39152</v>
      </c>
      <c r="F2" s="10">
        <v>39152</v>
      </c>
      <c r="G2" s="9" t="s">
        <v>96</v>
      </c>
      <c r="H2" s="72">
        <v>44113</v>
      </c>
      <c r="I2" s="73" t="str">
        <f>_xlfn.IFNA(VLOOKUP(D2,'Week 40 Sept 28 - Oct 4 2020'!D:E,2,FALSE),"New")</f>
        <v>New</v>
      </c>
      <c r="J2" s="90" t="s">
        <v>36</v>
      </c>
    </row>
    <row r="3" spans="1:10" x14ac:dyDescent="0.2">
      <c r="A3" s="47">
        <v>2</v>
      </c>
      <c r="B3" s="18">
        <v>1</v>
      </c>
      <c r="C3" s="18" t="s">
        <v>7</v>
      </c>
      <c r="D3" s="47" t="s">
        <v>46</v>
      </c>
      <c r="E3" s="12">
        <v>37544</v>
      </c>
      <c r="F3" s="12">
        <v>5828121</v>
      </c>
      <c r="G3" s="18" t="s">
        <v>9</v>
      </c>
      <c r="H3" s="60">
        <f>VLOOKUP(D:D,'Week 40 Sept 28 - Oct 4 2020'!D:H,5, FALSE)</f>
        <v>43910</v>
      </c>
      <c r="I3" s="55">
        <f>_xlfn.IFNA(SUMIFS('Week 40 Sept 28 - Oct 4 2020'!E:E,'Week 40 Sept 28 - Oct 4 2020'!D:D,'Week 41 Oct 5 - Oct 11 2020'!D:D,'Week 40 Sept 28 - Oct 4 2020'!C:C,'Week 41 Oct 5 - Oct 11 2020'!C:C),"New")</f>
        <v>36495</v>
      </c>
      <c r="J3" s="56">
        <f t="shared" ref="J3:J31" si="0">(E3-I3)/I3</f>
        <v>2.8743663515550074E-2</v>
      </c>
    </row>
    <row r="4" spans="1:10" x14ac:dyDescent="0.2">
      <c r="A4" s="47">
        <v>3</v>
      </c>
      <c r="B4" s="18">
        <v>3</v>
      </c>
      <c r="C4" s="18" t="s">
        <v>7</v>
      </c>
      <c r="D4" s="47" t="s">
        <v>45</v>
      </c>
      <c r="E4" s="12">
        <v>33502</v>
      </c>
      <c r="F4" s="12">
        <v>1668843</v>
      </c>
      <c r="G4" s="18" t="s">
        <v>9</v>
      </c>
      <c r="H4" s="60">
        <f>VLOOKUP(D:D,'Week 40 Sept 28 - Oct 4 2020'!D:H,5, FALSE)</f>
        <v>43756</v>
      </c>
      <c r="I4" s="55">
        <f>_xlfn.IFNA(SUMIFS('Week 40 Sept 28 - Oct 4 2020'!E:E,'Week 40 Sept 28 - Oct 4 2020'!D:D,'Week 41 Oct 5 - Oct 11 2020'!D:D,'Week 40 Sept 28 - Oct 4 2020'!C:C,'Week 41 Oct 5 - Oct 11 2020'!C:C),"New")</f>
        <v>33156</v>
      </c>
      <c r="J4" s="56">
        <f t="shared" si="0"/>
        <v>1.0435516950174931E-2</v>
      </c>
    </row>
    <row r="5" spans="1:10" x14ac:dyDescent="0.2">
      <c r="A5" s="47">
        <v>4</v>
      </c>
      <c r="B5" s="18">
        <v>2</v>
      </c>
      <c r="C5" s="18" t="s">
        <v>7</v>
      </c>
      <c r="D5" s="47" t="s">
        <v>40</v>
      </c>
      <c r="E5" s="12">
        <v>22027</v>
      </c>
      <c r="F5" s="12">
        <f>_xlfn.IFNA(VLOOKUP(D:D,'Week 40 Sept 28 - Oct 4 2020'!D:F,3,FALSE),"")+Table4042[[#This Row],[Week Sales]]</f>
        <v>330248</v>
      </c>
      <c r="G5" s="18" t="s">
        <v>9</v>
      </c>
      <c r="H5" s="60">
        <f>VLOOKUP(D:D,'Week 40 Sept 28 - Oct 4 2020'!D:H,5, FALSE)</f>
        <v>44092</v>
      </c>
      <c r="I5" s="55">
        <f>_xlfn.IFNA(SUMIFS('Week 40 Sept 28 - Oct 4 2020'!E:E,'Week 40 Sept 28 - Oct 4 2020'!D:D,'Week 41 Oct 5 - Oct 11 2020'!D:D,'Week 40 Sept 28 - Oct 4 2020'!C:C,'Week 41 Oct 5 - Oct 11 2020'!C:C),"New")</f>
        <v>34282</v>
      </c>
      <c r="J5" s="56">
        <f t="shared" si="0"/>
        <v>-0.35747622659121403</v>
      </c>
    </row>
    <row r="6" spans="1:10" x14ac:dyDescent="0.2">
      <c r="A6" s="47">
        <v>5</v>
      </c>
      <c r="B6" s="18">
        <v>4</v>
      </c>
      <c r="C6" s="18" t="s">
        <v>7</v>
      </c>
      <c r="D6" s="47" t="s">
        <v>49</v>
      </c>
      <c r="E6" s="12">
        <v>12723</v>
      </c>
      <c r="F6" s="12">
        <f>_xlfn.IFNA(VLOOKUP(D:D,'Week 40 Sept 28 - Oct 4 2020'!D:F,3,FALSE),"")+Table4042[[#This Row],[Week Sales]]</f>
        <v>3209218</v>
      </c>
      <c r="G6" s="18" t="s">
        <v>9</v>
      </c>
      <c r="H6" s="60">
        <f>VLOOKUP(D:D,'Week 40 Sept 28 - Oct 4 2020'!D:H,5, FALSE)</f>
        <v>42853</v>
      </c>
      <c r="I6" s="55">
        <f>_xlfn.IFNA(SUMIFS('Week 40 Sept 28 - Oct 4 2020'!E:E,'Week 40 Sept 28 - Oct 4 2020'!D:D,'Week 41 Oct 5 - Oct 11 2020'!D:D,'Week 40 Sept 28 - Oct 4 2020'!C:C,'Week 41 Oct 5 - Oct 11 2020'!C:C),"New")</f>
        <v>12270</v>
      </c>
      <c r="J6" s="56">
        <f t="shared" si="0"/>
        <v>3.6919315403422984E-2</v>
      </c>
    </row>
    <row r="7" spans="1:10" x14ac:dyDescent="0.2">
      <c r="A7" s="46">
        <v>6</v>
      </c>
      <c r="B7" s="9" t="s">
        <v>36</v>
      </c>
      <c r="C7" s="9" t="s">
        <v>7</v>
      </c>
      <c r="D7" s="9" t="s">
        <v>114</v>
      </c>
      <c r="E7" s="10">
        <v>11990</v>
      </c>
      <c r="F7" s="10">
        <v>11990</v>
      </c>
      <c r="G7" s="9" t="s">
        <v>96</v>
      </c>
      <c r="H7" s="72">
        <v>44113</v>
      </c>
      <c r="I7" s="73" t="s">
        <v>36</v>
      </c>
      <c r="J7" s="90" t="s">
        <v>36</v>
      </c>
    </row>
    <row r="8" spans="1:10" x14ac:dyDescent="0.2">
      <c r="A8" s="47">
        <v>7</v>
      </c>
      <c r="B8" s="18">
        <v>6</v>
      </c>
      <c r="C8" s="18" t="s">
        <v>7</v>
      </c>
      <c r="D8" s="47" t="s">
        <v>62</v>
      </c>
      <c r="E8" s="12">
        <v>7145</v>
      </c>
      <c r="F8" s="12">
        <f>_xlfn.IFNA(VLOOKUP(D:D,'Week 40 Sept 28 - Oct 4 2020'!D:F,3,FALSE),"")+Table4042[[#This Row],[Week Sales]]</f>
        <v>3759916</v>
      </c>
      <c r="G8" s="47" t="s">
        <v>42</v>
      </c>
      <c r="H8" s="60">
        <f>VLOOKUP(D:D,'Week 40 Sept 28 - Oct 4 2020'!D:H,5, FALSE)</f>
        <v>43784</v>
      </c>
      <c r="I8" s="55">
        <f>_xlfn.IFNA(SUMIFS('Week 40 Sept 28 - Oct 4 2020'!E:E,'Week 40 Sept 28 - Oct 4 2020'!D:D,'Week 41 Oct 5 - Oct 11 2020'!D:D,'Week 40 Sept 28 - Oct 4 2020'!C:C,'Week 41 Oct 5 - Oct 11 2020'!C:C),"New")</f>
        <v>7416</v>
      </c>
      <c r="J8" s="56">
        <f t="shared" si="0"/>
        <v>-3.6542610571736786E-2</v>
      </c>
    </row>
    <row r="9" spans="1:10" x14ac:dyDescent="0.2">
      <c r="A9" s="47">
        <v>8</v>
      </c>
      <c r="B9" s="18">
        <v>9</v>
      </c>
      <c r="C9" s="18" t="s">
        <v>7</v>
      </c>
      <c r="D9" s="47" t="s">
        <v>12</v>
      </c>
      <c r="E9" s="12">
        <v>6859</v>
      </c>
      <c r="F9" s="12">
        <f>_xlfn.IFNA(VLOOKUP(D:D,'Week 40 Sept 28 - Oct 4 2020'!D:F,3,FALSE),"")+Table4042[[#This Row],[Week Sales]]</f>
        <v>1525027</v>
      </c>
      <c r="G9" s="18" t="s">
        <v>28</v>
      </c>
      <c r="H9" s="60">
        <f>VLOOKUP(D:D,'Week 40 Sept 28 - Oct 4 2020'!D:H,5, FALSE)</f>
        <v>43272</v>
      </c>
      <c r="I9" s="55">
        <f>_xlfn.IFNA(SUMIFS('Week 40 Sept 28 - Oct 4 2020'!E:E,'Week 40 Sept 28 - Oct 4 2020'!D:D,'Week 41 Oct 5 - Oct 11 2020'!D:D,'Week 40 Sept 28 - Oct 4 2020'!C:C,'Week 41 Oct 5 - Oct 11 2020'!C:C),"New")</f>
        <v>5901</v>
      </c>
      <c r="J9" s="56">
        <f t="shared" si="0"/>
        <v>0.16234536519234027</v>
      </c>
    </row>
    <row r="10" spans="1:10" x14ac:dyDescent="0.2">
      <c r="A10" s="47">
        <v>9</v>
      </c>
      <c r="B10" s="18">
        <v>7</v>
      </c>
      <c r="C10" s="18" t="s">
        <v>7</v>
      </c>
      <c r="D10" s="47" t="s">
        <v>52</v>
      </c>
      <c r="E10" s="12">
        <v>6564</v>
      </c>
      <c r="F10" s="12">
        <f>_xlfn.IFNA(VLOOKUP(D:D,'Week 40 Sept 28 - Oct 4 2020'!D:F,3,FALSE),"")+Table4042[[#This Row],[Week Sales]]</f>
        <v>3849600</v>
      </c>
      <c r="G10" s="18" t="s">
        <v>9</v>
      </c>
      <c r="H10" s="60">
        <f>VLOOKUP(D:D,'Week 40 Sept 28 - Oct 4 2020'!D:H,5, FALSE)</f>
        <v>43441</v>
      </c>
      <c r="I10" s="55">
        <f>_xlfn.IFNA(SUMIFS('Week 40 Sept 28 - Oct 4 2020'!E:E,'Week 40 Sept 28 - Oct 4 2020'!D:D,'Week 41 Oct 5 - Oct 11 2020'!D:D,'Week 40 Sept 28 - Oct 4 2020'!C:C,'Week 41 Oct 5 - Oct 11 2020'!C:C),"New")</f>
        <v>6168</v>
      </c>
      <c r="J10" s="56">
        <f t="shared" si="0"/>
        <v>6.4202334630350189E-2</v>
      </c>
    </row>
    <row r="11" spans="1:10" x14ac:dyDescent="0.2">
      <c r="A11" s="47">
        <v>10</v>
      </c>
      <c r="B11" s="18">
        <v>8</v>
      </c>
      <c r="C11" s="18" t="s">
        <v>7</v>
      </c>
      <c r="D11" s="47" t="s">
        <v>50</v>
      </c>
      <c r="E11" s="12">
        <v>5927</v>
      </c>
      <c r="F11" s="12">
        <f>_xlfn.IFNA(VLOOKUP(D:D,'Week 40 Sept 28 - Oct 4 2020'!D:F,3,FALSE),"")+Table4042[[#This Row],[Week Sales]]</f>
        <v>403265</v>
      </c>
      <c r="G11" s="64" t="s">
        <v>9</v>
      </c>
      <c r="H11" s="60">
        <f>VLOOKUP(D:D,'Week 40 Sept 28 - Oct 4 2020'!D:H,5, FALSE)</f>
        <v>43987</v>
      </c>
      <c r="I11" s="55">
        <f>_xlfn.IFNA(SUMIFS('Week 40 Sept 28 - Oct 4 2020'!E:E,'Week 40 Sept 28 - Oct 4 2020'!D:D,'Week 41 Oct 5 - Oct 11 2020'!D:D,'Week 40 Sept 28 - Oct 4 2020'!C:C,'Week 41 Oct 5 - Oct 11 2020'!C:C),"New")</f>
        <v>6143</v>
      </c>
      <c r="J11" s="56">
        <f t="shared" si="0"/>
        <v>-3.516197297737262E-2</v>
      </c>
    </row>
    <row r="12" spans="1:10" x14ac:dyDescent="0.2">
      <c r="A12" s="47">
        <v>11</v>
      </c>
      <c r="B12" s="18">
        <v>11</v>
      </c>
      <c r="C12" s="18" t="s">
        <v>7</v>
      </c>
      <c r="D12" s="47" t="s">
        <v>13</v>
      </c>
      <c r="E12" s="12">
        <v>5911</v>
      </c>
      <c r="F12" s="12">
        <f>_xlfn.IFNA(VLOOKUP(D:D,'Week 40 Sept 28 - Oct 4 2020'!D:F,3,FALSE),"")+Table4042[[#This Row],[Week Sales]]</f>
        <v>1572008</v>
      </c>
      <c r="G12" s="18" t="s">
        <v>9</v>
      </c>
      <c r="H12" s="60">
        <f>VLOOKUP(D:D,'Week 40 Sept 28 - Oct 4 2020'!D:H,5, FALSE)</f>
        <v>43378</v>
      </c>
      <c r="I12" s="55">
        <f>_xlfn.IFNA(SUMIFS('Week 40 Sept 28 - Oct 4 2020'!E:E,'Week 40 Sept 28 - Oct 4 2020'!D:D,'Week 41 Oct 5 - Oct 11 2020'!D:D,'Week 40 Sept 28 - Oct 4 2020'!C:C,'Week 41 Oct 5 - Oct 11 2020'!C:C),"New")</f>
        <v>5228</v>
      </c>
      <c r="J12" s="56">
        <f t="shared" si="0"/>
        <v>0.13064269319051264</v>
      </c>
    </row>
    <row r="13" spans="1:10" x14ac:dyDescent="0.2">
      <c r="A13" s="47">
        <v>12</v>
      </c>
      <c r="B13" s="18">
        <v>13</v>
      </c>
      <c r="C13" s="18" t="s">
        <v>7</v>
      </c>
      <c r="D13" s="47" t="s">
        <v>10</v>
      </c>
      <c r="E13" s="12">
        <v>4905</v>
      </c>
      <c r="F13" s="12">
        <f>_xlfn.IFNA(VLOOKUP(D:D,'Week 40 Sept 28 - Oct 4 2020'!D:F,3,FALSE),"")+Table4042[[#This Row],[Week Sales]]</f>
        <v>3580079</v>
      </c>
      <c r="G13" s="64" t="s">
        <v>9</v>
      </c>
      <c r="H13" s="60">
        <f>VLOOKUP(D:D,'Week 40 Sept 28 - Oct 4 2020'!D:H,5, FALSE)</f>
        <v>42937</v>
      </c>
      <c r="I13" s="55">
        <f>_xlfn.IFNA(SUMIFS('Week 40 Sept 28 - Oct 4 2020'!E:E,'Week 40 Sept 28 - Oct 4 2020'!D:D,'Week 41 Oct 5 - Oct 11 2020'!D:D,'Week 40 Sept 28 - Oct 4 2020'!C:C,'Week 41 Oct 5 - Oct 11 2020'!C:C),"New")</f>
        <v>4965</v>
      </c>
      <c r="J13" s="56">
        <f t="shared" si="0"/>
        <v>-1.2084592145015106E-2</v>
      </c>
    </row>
    <row r="14" spans="1:10" x14ac:dyDescent="0.2">
      <c r="A14" s="47">
        <v>13</v>
      </c>
      <c r="B14" s="18">
        <v>14</v>
      </c>
      <c r="C14" s="18" t="s">
        <v>7</v>
      </c>
      <c r="D14" s="47" t="s">
        <v>39</v>
      </c>
      <c r="E14" s="12">
        <v>4166</v>
      </c>
      <c r="F14" s="12">
        <f>_xlfn.IFNA(VLOOKUP(D:D,'Week 40 Sept 28 - Oct 4 2020'!D:F,3,FALSE),"")+Table4042[[#This Row],[Week Sales]]</f>
        <v>1662966</v>
      </c>
      <c r="G14" s="18" t="s">
        <v>9</v>
      </c>
      <c r="H14" s="60">
        <f>VLOOKUP(D:D,'Week 40 Sept 28 - Oct 4 2020'!D:H,5, FALSE)</f>
        <v>42797</v>
      </c>
      <c r="I14" s="55">
        <f>_xlfn.IFNA(SUMIFS('Week 40 Sept 28 - Oct 4 2020'!E:E,'Week 40 Sept 28 - Oct 4 2020'!D:D,'Week 41 Oct 5 - Oct 11 2020'!D:D,'Week 40 Sept 28 - Oct 4 2020'!C:C,'Week 41 Oct 5 - Oct 11 2020'!C:C),"New")</f>
        <v>4509</v>
      </c>
      <c r="J14" s="56">
        <f t="shared" si="0"/>
        <v>-7.6070082058106003E-2</v>
      </c>
    </row>
    <row r="15" spans="1:10" x14ac:dyDescent="0.2">
      <c r="A15" s="47">
        <v>14</v>
      </c>
      <c r="B15" s="18">
        <v>10</v>
      </c>
      <c r="C15" s="18" t="s">
        <v>8</v>
      </c>
      <c r="D15" s="47" t="s">
        <v>47</v>
      </c>
      <c r="E15" s="12">
        <v>4153</v>
      </c>
      <c r="F15" s="12">
        <f>_xlfn.IFNA(VLOOKUP(D:D,'Week 40 Sept 28 - Oct 4 2020'!D:F,3,FALSE),"")+Table4042[[#This Row],[Week Sales]]</f>
        <v>45641</v>
      </c>
      <c r="G15" s="18" t="s">
        <v>32</v>
      </c>
      <c r="H15" s="60">
        <f>VLOOKUP(D:D,'Week 40 Sept 28 - Oct 4 2020'!D:H,5, FALSE)</f>
        <v>44091</v>
      </c>
      <c r="I15" s="55">
        <f>_xlfn.IFNA(SUMIFS('Week 40 Sept 28 - Oct 4 2020'!E:E,'Week 40 Sept 28 - Oct 4 2020'!D:D,'Week 41 Oct 5 - Oct 11 2020'!D:D,'Week 40 Sept 28 - Oct 4 2020'!C:C,'Week 41 Oct 5 - Oct 11 2020'!C:C),"New")</f>
        <v>5492</v>
      </c>
      <c r="J15" s="56">
        <f t="shared" si="0"/>
        <v>-0.24380917698470503</v>
      </c>
    </row>
    <row r="16" spans="1:10" x14ac:dyDescent="0.2">
      <c r="A16" s="47">
        <v>15</v>
      </c>
      <c r="B16" s="18">
        <v>15</v>
      </c>
      <c r="C16" s="18" t="s">
        <v>7</v>
      </c>
      <c r="D16" s="47" t="s">
        <v>58</v>
      </c>
      <c r="E16" s="12">
        <v>3774</v>
      </c>
      <c r="F16" s="12">
        <f>_xlfn.IFNA(VLOOKUP(D:D,'Week 40 Sept 28 - Oct 4 2020'!D:F,3,FALSE),"")+Table4042[[#This Row],[Week Sales]]</f>
        <v>31108</v>
      </c>
      <c r="G16" s="18" t="s">
        <v>28</v>
      </c>
      <c r="H16" s="60">
        <f>VLOOKUP(D:D,'Week 40 Sept 28 - Oct 4 2020'!D:H,5, FALSE)</f>
        <v>44082</v>
      </c>
      <c r="I16" s="55">
        <f>_xlfn.IFNA(SUMIFS('Week 40 Sept 28 - Oct 4 2020'!E:E,'Week 40 Sept 28 - Oct 4 2020'!D:D,'Week 41 Oct 5 - Oct 11 2020'!D:D,'Week 40 Sept 28 - Oct 4 2020'!C:C,'Week 41 Oct 5 - Oct 11 2020'!C:C),"New")</f>
        <v>4074</v>
      </c>
      <c r="J16" s="56">
        <f t="shared" si="0"/>
        <v>-7.3637702503681887E-2</v>
      </c>
    </row>
    <row r="17" spans="1:10" x14ac:dyDescent="0.2">
      <c r="A17" s="47">
        <v>16</v>
      </c>
      <c r="B17" s="18">
        <v>18</v>
      </c>
      <c r="C17" s="18" t="s">
        <v>7</v>
      </c>
      <c r="D17" s="47" t="s">
        <v>17</v>
      </c>
      <c r="E17" s="12">
        <v>3676</v>
      </c>
      <c r="F17" s="12">
        <f>_xlfn.IFNA(VLOOKUP(D:D,'Week 40 Sept 28 - Oct 4 2020'!D:F,3,FALSE),"")+Table4042[[#This Row],[Week Sales]]</f>
        <v>910411</v>
      </c>
      <c r="G17" s="64" t="s">
        <v>9</v>
      </c>
      <c r="H17" s="60">
        <f>VLOOKUP(D:D,'Week 40 Sept 28 - Oct 4 2020'!D:H,5, FALSE)</f>
        <v>43476</v>
      </c>
      <c r="I17" s="55">
        <f>_xlfn.IFNA(SUMIFS('Week 40 Sept 28 - Oct 4 2020'!E:E,'Week 40 Sept 28 - Oct 4 2020'!D:D,'Week 41 Oct 5 - Oct 11 2020'!D:D,'Week 40 Sept 28 - Oct 4 2020'!C:C,'Week 41 Oct 5 - Oct 11 2020'!C:C),"New")</f>
        <v>3312</v>
      </c>
      <c r="J17" s="56">
        <f t="shared" si="0"/>
        <v>0.10990338164251208</v>
      </c>
    </row>
    <row r="18" spans="1:10" x14ac:dyDescent="0.2">
      <c r="A18" s="47">
        <v>17</v>
      </c>
      <c r="B18" s="18">
        <v>5</v>
      </c>
      <c r="C18" s="18" t="s">
        <v>8</v>
      </c>
      <c r="D18" s="47" t="s">
        <v>109</v>
      </c>
      <c r="E18" s="12">
        <v>3480</v>
      </c>
      <c r="F18" s="12">
        <f>_xlfn.IFNA(VLOOKUP(D:D,'Week 40 Sept 28 - Oct 4 2020'!D:F,3,FALSE),"")+Table4042[[#This Row],[Week Sales]]</f>
        <v>13917</v>
      </c>
      <c r="G18" s="64" t="s">
        <v>110</v>
      </c>
      <c r="H18" s="60">
        <f>VLOOKUP(D:D,'Week 40 Sept 28 - Oct 4 2020'!D:H,5, FALSE)</f>
        <v>44106</v>
      </c>
      <c r="I18" s="55">
        <f>_xlfn.IFNA(SUMIFS('Week 40 Sept 28 - Oct 4 2020'!E:E,'Week 40 Sept 28 - Oct 4 2020'!D:D,'Week 41 Oct 5 - Oct 11 2020'!D:D,'Week 40 Sept 28 - Oct 4 2020'!C:C,'Week 41 Oct 5 - Oct 11 2020'!C:C),"New")</f>
        <v>10437</v>
      </c>
      <c r="J18" s="56">
        <f t="shared" si="0"/>
        <v>-0.66657085369359015</v>
      </c>
    </row>
    <row r="19" spans="1:10" x14ac:dyDescent="0.2">
      <c r="A19" s="47">
        <v>18</v>
      </c>
      <c r="B19" s="18">
        <v>24</v>
      </c>
      <c r="C19" s="18" t="s">
        <v>7</v>
      </c>
      <c r="D19" s="47" t="s">
        <v>19</v>
      </c>
      <c r="E19" s="12">
        <v>2819</v>
      </c>
      <c r="F19" s="12">
        <f>_xlfn.IFNA(VLOOKUP(D:D,'Week 40 Sept 28 - Oct 4 2020'!D:F,3,FALSE),"")+Table4042[[#This Row],[Week Sales]]</f>
        <v>974241</v>
      </c>
      <c r="G19" s="64" t="s">
        <v>9</v>
      </c>
      <c r="H19" s="60">
        <f>VLOOKUP(D:D,'Week 40 Sept 28 - Oct 4 2020'!D:H,5, FALSE)</f>
        <v>43644</v>
      </c>
      <c r="I19" s="55">
        <f>_xlfn.IFNA(SUMIFS('Week 40 Sept 28 - Oct 4 2020'!E:E,'Week 40 Sept 28 - Oct 4 2020'!D:D,'Week 41 Oct 5 - Oct 11 2020'!D:D,'Week 40 Sept 28 - Oct 4 2020'!C:C,'Week 41 Oct 5 - Oct 11 2020'!C:C),"New")</f>
        <v>2573</v>
      </c>
      <c r="J19" s="56">
        <f t="shared" si="0"/>
        <v>9.5608239409249909E-2</v>
      </c>
    </row>
    <row r="20" spans="1:10" x14ac:dyDescent="0.2">
      <c r="A20" s="47">
        <v>19</v>
      </c>
      <c r="B20" s="18">
        <v>19</v>
      </c>
      <c r="C20" s="18" t="s">
        <v>7</v>
      </c>
      <c r="D20" s="47" t="s">
        <v>14</v>
      </c>
      <c r="E20" s="12">
        <v>2745</v>
      </c>
      <c r="F20" s="12">
        <f>_xlfn.IFNA(VLOOKUP(D:D,'Week 40 Sept 28 - Oct 4 2020'!D:F,3,FALSE),"")+Table4042[[#This Row],[Week Sales]]</f>
        <v>234056</v>
      </c>
      <c r="G20" s="64" t="s">
        <v>32</v>
      </c>
      <c r="H20" s="60">
        <f>VLOOKUP(D:D,'Week 40 Sept 28 - Oct 4 2020'!D:H,5, FALSE)</f>
        <v>44021</v>
      </c>
      <c r="I20" s="55">
        <f>_xlfn.IFNA(SUMIFS('Week 40 Sept 28 - Oct 4 2020'!E:E,'Week 40 Sept 28 - Oct 4 2020'!D:D,'Week 41 Oct 5 - Oct 11 2020'!D:D,'Week 40 Sept 28 - Oct 4 2020'!C:C,'Week 41 Oct 5 - Oct 11 2020'!C:C),"New")</f>
        <v>3235</v>
      </c>
      <c r="J20" s="56">
        <f t="shared" si="0"/>
        <v>-0.15146831530139104</v>
      </c>
    </row>
    <row r="21" spans="1:10" x14ac:dyDescent="0.2">
      <c r="A21" s="47">
        <v>20</v>
      </c>
      <c r="B21" s="18">
        <v>23</v>
      </c>
      <c r="C21" s="18" t="s">
        <v>7</v>
      </c>
      <c r="D21" s="47" t="s">
        <v>16</v>
      </c>
      <c r="E21" s="12">
        <v>2698</v>
      </c>
      <c r="F21" s="12">
        <f>_xlfn.IFNA(VLOOKUP(D:D,'Week 40 Sept 28 - Oct 4 2020'!D:F,3,FALSE),"")+Table4042[[#This Row],[Week Sales]]</f>
        <v>307515</v>
      </c>
      <c r="G21" s="64" t="s">
        <v>9</v>
      </c>
      <c r="H21" s="60">
        <f>VLOOKUP(D:D,'Week 40 Sept 28 - Oct 4 2020'!D:H,5, FALSE)</f>
        <v>43826</v>
      </c>
      <c r="I21" s="55">
        <f>_xlfn.IFNA(SUMIFS('Week 40 Sept 28 - Oct 4 2020'!E:E,'Week 40 Sept 28 - Oct 4 2020'!D:D,'Week 41 Oct 5 - Oct 11 2020'!D:D,'Week 40 Sept 28 - Oct 4 2020'!C:C,'Week 41 Oct 5 - Oct 11 2020'!C:C),"New")</f>
        <v>2654</v>
      </c>
      <c r="J21" s="56">
        <f t="shared" si="0"/>
        <v>1.6578749058025623E-2</v>
      </c>
    </row>
    <row r="22" spans="1:10" x14ac:dyDescent="0.2">
      <c r="A22" s="47">
        <v>21</v>
      </c>
      <c r="B22" s="18">
        <v>21</v>
      </c>
      <c r="C22" s="18" t="s">
        <v>7</v>
      </c>
      <c r="D22" s="47" t="s">
        <v>15</v>
      </c>
      <c r="E22" s="12">
        <v>2625</v>
      </c>
      <c r="F22" s="12">
        <f>_xlfn.IFNA(VLOOKUP(D:D,'Week 40 Sept 28 - Oct 4 2020'!D:F,3,FALSE),"")+Table4042[[#This Row],[Week Sales]]</f>
        <v>262370</v>
      </c>
      <c r="G22" s="18" t="s">
        <v>9</v>
      </c>
      <c r="H22" s="60">
        <f>VLOOKUP(D:D,'Week 40 Sept 28 - Oct 4 2020'!D:H,5, FALSE)</f>
        <v>44029</v>
      </c>
      <c r="I22" s="55">
        <f>_xlfn.IFNA(SUMIFS('Week 40 Sept 28 - Oct 4 2020'!E:E,'Week 40 Sept 28 - Oct 4 2020'!D:D,'Week 41 Oct 5 - Oct 11 2020'!D:D,'Week 40 Sept 28 - Oct 4 2020'!C:C,'Week 41 Oct 5 - Oct 11 2020'!C:C),"New")</f>
        <v>2846</v>
      </c>
      <c r="J22" s="56">
        <f t="shared" si="0"/>
        <v>-7.7652846099789175E-2</v>
      </c>
    </row>
    <row r="23" spans="1:10" x14ac:dyDescent="0.2">
      <c r="A23" s="47">
        <v>22</v>
      </c>
      <c r="B23" s="18">
        <v>20</v>
      </c>
      <c r="C23" s="18" t="s">
        <v>8</v>
      </c>
      <c r="D23" s="47" t="s">
        <v>54</v>
      </c>
      <c r="E23" s="12">
        <v>2574</v>
      </c>
      <c r="F23" s="12">
        <f>_xlfn.IFNA(VLOOKUP(D:D,'Week 40 Sept 28 - Oct 4 2020'!D:F,3,FALSE),"")+Table4042[[#This Row],[Week Sales]]</f>
        <v>61487</v>
      </c>
      <c r="G23" s="64" t="s">
        <v>27</v>
      </c>
      <c r="H23" s="60">
        <f>VLOOKUP(D:D,'Week 40 Sept 28 - Oct 4 2020'!D:H,5, FALSE)</f>
        <v>44078</v>
      </c>
      <c r="I23" s="55">
        <f>_xlfn.IFNA(SUMIFS('Week 40 Sept 28 - Oct 4 2020'!E:E,'Week 40 Sept 28 - Oct 4 2020'!D:D,'Week 41 Oct 5 - Oct 11 2020'!D:D,'Week 40 Sept 28 - Oct 4 2020'!C:C,'Week 41 Oct 5 - Oct 11 2020'!C:C),"New")</f>
        <v>3096</v>
      </c>
      <c r="J23" s="56">
        <f t="shared" si="0"/>
        <v>-0.16860465116279069</v>
      </c>
    </row>
    <row r="24" spans="1:10" x14ac:dyDescent="0.2">
      <c r="A24" s="47">
        <v>23</v>
      </c>
      <c r="B24" s="18">
        <v>28</v>
      </c>
      <c r="C24" s="18" t="s">
        <v>7</v>
      </c>
      <c r="D24" s="47" t="s">
        <v>56</v>
      </c>
      <c r="E24" s="12">
        <v>2433</v>
      </c>
      <c r="F24" s="12">
        <f>_xlfn.IFNA(VLOOKUP(D:D,'Week 40 Sept 28 - Oct 4 2020'!D:F,3,FALSE),"")+Table4042[[#This Row],[Week Sales]]</f>
        <v>40106</v>
      </c>
      <c r="G24" s="18" t="s">
        <v>38</v>
      </c>
      <c r="H24" s="60">
        <f>VLOOKUP(D:D,'Week 40 Sept 28 - Oct 4 2020'!D:H,5, FALSE)</f>
        <v>44007</v>
      </c>
      <c r="I24" s="55">
        <f>_xlfn.IFNA(SUMIFS('Week 40 Sept 28 - Oct 4 2020'!E:E,'Week 40 Sept 28 - Oct 4 2020'!D:D,'Week 41 Oct 5 - Oct 11 2020'!D:D,'Week 40 Sept 28 - Oct 4 2020'!C:C,'Week 41 Oct 5 - Oct 11 2020'!C:C),"New")</f>
        <v>1687</v>
      </c>
      <c r="J24" s="56">
        <f t="shared" si="0"/>
        <v>0.44220509780675754</v>
      </c>
    </row>
    <row r="25" spans="1:10" x14ac:dyDescent="0.2">
      <c r="A25" s="47">
        <v>24</v>
      </c>
      <c r="B25" s="18">
        <v>26</v>
      </c>
      <c r="C25" s="18" t="s">
        <v>7</v>
      </c>
      <c r="D25" s="47" t="s">
        <v>26</v>
      </c>
      <c r="E25" s="12">
        <v>2178</v>
      </c>
      <c r="F25" s="12">
        <f>_xlfn.IFNA(VLOOKUP(D:D,'Week 40 Sept 28 - Oct 4 2020'!D:F,3,FALSE),"")+Table4042[[#This Row],[Week Sales]]</f>
        <v>2132793</v>
      </c>
      <c r="G25" s="18" t="s">
        <v>9</v>
      </c>
      <c r="H25" s="60">
        <f>VLOOKUP(D:D,'Week 40 Sept 28 - Oct 4 2020'!D:H,5, FALSE)</f>
        <v>43035</v>
      </c>
      <c r="I25" s="55">
        <f>_xlfn.IFNA(SUMIFS('Week 40 Sept 28 - Oct 4 2020'!E:E,'Week 40 Sept 28 - Oct 4 2020'!D:D,'Week 41 Oct 5 - Oct 11 2020'!D:D,'Week 40 Sept 28 - Oct 4 2020'!C:C,'Week 41 Oct 5 - Oct 11 2020'!C:C),"New")</f>
        <v>2019</v>
      </c>
      <c r="J25" s="56">
        <f t="shared" si="0"/>
        <v>7.8751857355126298E-2</v>
      </c>
    </row>
    <row r="26" spans="1:10" x14ac:dyDescent="0.2">
      <c r="A26" s="47">
        <v>25</v>
      </c>
      <c r="B26" s="18">
        <v>25</v>
      </c>
      <c r="C26" s="18" t="s">
        <v>8</v>
      </c>
      <c r="D26" s="47" t="s">
        <v>11</v>
      </c>
      <c r="E26" s="12">
        <v>2161</v>
      </c>
      <c r="F26" s="12">
        <f>_xlfn.IFNA(VLOOKUP(D:D,'Week 40 Sept 28 - Oct 4 2020'!D:F,3,FALSE),"")+Table4042[[#This Row],[Week Sales]]</f>
        <v>403642</v>
      </c>
      <c r="G26" s="18" t="s">
        <v>30</v>
      </c>
      <c r="H26" s="60">
        <f>VLOOKUP(D:D,'Week 40 Sept 28 - Oct 4 2020'!D:H,5, FALSE)</f>
        <v>44029</v>
      </c>
      <c r="I26" s="55">
        <f>_xlfn.IFNA(SUMIFS('Week 40 Sept 28 - Oct 4 2020'!E:E,'Week 40 Sept 28 - Oct 4 2020'!D:D,'Week 41 Oct 5 - Oct 11 2020'!D:D,'Week 40 Sept 28 - Oct 4 2020'!C:C,'Week 41 Oct 5 - Oct 11 2020'!C:C),"New")</f>
        <v>2111</v>
      </c>
      <c r="J26" s="56">
        <f t="shared" si="0"/>
        <v>2.3685457129322594E-2</v>
      </c>
    </row>
    <row r="27" spans="1:10" x14ac:dyDescent="0.2">
      <c r="A27" s="47">
        <v>26</v>
      </c>
      <c r="B27" s="18">
        <v>27</v>
      </c>
      <c r="C27" s="18" t="s">
        <v>7</v>
      </c>
      <c r="D27" s="47" t="s">
        <v>20</v>
      </c>
      <c r="E27" s="12">
        <v>2159</v>
      </c>
      <c r="F27" s="12">
        <f>_xlfn.IFNA(VLOOKUP(D:D,'Week 40 Sept 28 - Oct 4 2020'!D:F,3,FALSE),"")+Table4042[[#This Row],[Week Sales]]</f>
        <v>497170</v>
      </c>
      <c r="G27" s="68" t="s">
        <v>34</v>
      </c>
      <c r="H27" s="60">
        <f>VLOOKUP(D:D,'Week 40 Sept 28 - Oct 4 2020'!D:H,5, FALSE)</f>
        <v>43671</v>
      </c>
      <c r="I27" s="55">
        <f>_xlfn.IFNA(SUMIFS('Week 40 Sept 28 - Oct 4 2020'!E:E,'Week 40 Sept 28 - Oct 4 2020'!D:D,'Week 41 Oct 5 - Oct 11 2020'!D:D,'Week 40 Sept 28 - Oct 4 2020'!C:C,'Week 41 Oct 5 - Oct 11 2020'!C:C),"New")</f>
        <v>1876</v>
      </c>
      <c r="J27" s="56">
        <f t="shared" si="0"/>
        <v>0.15085287846481876</v>
      </c>
    </row>
    <row r="28" spans="1:10" x14ac:dyDescent="0.2">
      <c r="A28" s="47">
        <v>27</v>
      </c>
      <c r="B28" s="18">
        <v>22</v>
      </c>
      <c r="C28" s="18" t="s">
        <v>7</v>
      </c>
      <c r="D28" s="47" t="s">
        <v>48</v>
      </c>
      <c r="E28" s="12">
        <v>2075</v>
      </c>
      <c r="F28" s="12">
        <f>_xlfn.IFNA(VLOOKUP(D:D,'Week 40 Sept 28 - Oct 4 2020'!D:F,3,FALSE),"")+Table4042[[#This Row],[Week Sales]]</f>
        <v>24835</v>
      </c>
      <c r="G28" s="64" t="s">
        <v>34</v>
      </c>
      <c r="H28" s="60">
        <f>VLOOKUP(D:D,'Week 40 Sept 28 - Oct 4 2020'!D:H,5, FALSE)</f>
        <v>44091</v>
      </c>
      <c r="I28" s="55">
        <f>_xlfn.IFNA(SUMIFS('Week 40 Sept 28 - Oct 4 2020'!E:E,'Week 40 Sept 28 - Oct 4 2020'!D:D,'Week 41 Oct 5 - Oct 11 2020'!D:D,'Week 40 Sept 28 - Oct 4 2020'!C:C,'Week 41 Oct 5 - Oct 11 2020'!C:C),"New")</f>
        <v>2816</v>
      </c>
      <c r="J28" s="56">
        <f t="shared" si="0"/>
        <v>-0.26313920454545453</v>
      </c>
    </row>
    <row r="29" spans="1:10" x14ac:dyDescent="0.2">
      <c r="A29" s="47">
        <v>28</v>
      </c>
      <c r="B29" s="18">
        <v>12</v>
      </c>
      <c r="C29" s="18" t="s">
        <v>8</v>
      </c>
      <c r="D29" s="47" t="s">
        <v>112</v>
      </c>
      <c r="E29" s="12">
        <v>1972</v>
      </c>
      <c r="F29" s="12">
        <f>_xlfn.IFNA(VLOOKUP(D:D,'Week 40 Sept 28 - Oct 4 2020'!D:F,3,FALSE),"")+Table4042[[#This Row],[Week Sales]]</f>
        <v>7086</v>
      </c>
      <c r="G29" s="64" t="s">
        <v>96</v>
      </c>
      <c r="H29" s="60">
        <f>VLOOKUP(D:D,'Week 40 Sept 28 - Oct 4 2020'!D:H,5, FALSE)</f>
        <v>44106</v>
      </c>
      <c r="I29" s="55">
        <f>_xlfn.IFNA(SUMIFS('Week 40 Sept 28 - Oct 4 2020'!E:E,'Week 40 Sept 28 - Oct 4 2020'!D:D,'Week 41 Oct 5 - Oct 11 2020'!D:D,'Week 40 Sept 28 - Oct 4 2020'!C:C,'Week 41 Oct 5 - Oct 11 2020'!C:C),"New")</f>
        <v>5114</v>
      </c>
      <c r="J29" s="56">
        <f t="shared" si="0"/>
        <v>-0.61439186546734459</v>
      </c>
    </row>
    <row r="30" spans="1:10" x14ac:dyDescent="0.2">
      <c r="A30" s="47">
        <v>29</v>
      </c>
      <c r="B30" s="18">
        <v>29</v>
      </c>
      <c r="C30" s="18" t="s">
        <v>7</v>
      </c>
      <c r="D30" s="47" t="s">
        <v>25</v>
      </c>
      <c r="E30" s="12">
        <v>1779</v>
      </c>
      <c r="F30" s="12">
        <f>_xlfn.IFNA(VLOOKUP(D:D,'Week 40 Sept 28 - Oct 4 2020'!D:F,3,FALSE),"")+Table4042[[#This Row],[Week Sales]]</f>
        <v>519411</v>
      </c>
      <c r="G30" s="64" t="s">
        <v>34</v>
      </c>
      <c r="H30" s="60">
        <f>VLOOKUP(D:D,'Week 40 Sept 28 - Oct 4 2020'!D:H,5, FALSE)</f>
        <v>43300</v>
      </c>
      <c r="I30" s="55">
        <f>_xlfn.IFNA(SUMIFS('Week 40 Sept 28 - Oct 4 2020'!E:E,'Week 40 Sept 28 - Oct 4 2020'!D:D,'Week 41 Oct 5 - Oct 11 2020'!D:D,'Week 40 Sept 28 - Oct 4 2020'!C:C,'Week 41 Oct 5 - Oct 11 2020'!C:C),"New")</f>
        <v>1660</v>
      </c>
      <c r="J30" s="56">
        <f t="shared" si="0"/>
        <v>7.1686746987951813E-2</v>
      </c>
    </row>
    <row r="31" spans="1:10" x14ac:dyDescent="0.2">
      <c r="A31" s="69">
        <v>30</v>
      </c>
      <c r="B31" s="18">
        <v>30</v>
      </c>
      <c r="C31" s="18" t="s">
        <v>7</v>
      </c>
      <c r="D31" s="18" t="s">
        <v>57</v>
      </c>
      <c r="E31" s="12">
        <v>1472</v>
      </c>
      <c r="F31" s="12">
        <f>_xlfn.IFNA(VLOOKUP(D:D,'Week 40 Sept 28 - Oct 4 2020'!D:F,3,FALSE),"")+Table4042[[#This Row],[Week Sales]]</f>
        <v>690396</v>
      </c>
      <c r="G31" s="68" t="s">
        <v>9</v>
      </c>
      <c r="H31" s="60">
        <f>VLOOKUP(D:D,'Week 40 Sept 28 - Oct 4 2020'!D:H,5, FALSE)</f>
        <v>43769</v>
      </c>
      <c r="I31" s="55">
        <f>_xlfn.IFNA(SUMIFS('Week 40 Sept 28 - Oct 4 2020'!E:E,'Week 40 Sept 28 - Oct 4 2020'!D:D,'Week 41 Oct 5 - Oct 11 2020'!D:D,'Week 40 Sept 28 - Oct 4 2020'!C:C,'Week 41 Oct 5 - Oct 11 2020'!C:C),"New")</f>
        <v>1464</v>
      </c>
      <c r="J31" s="56">
        <f t="shared" si="0"/>
        <v>5.4644808743169399E-3</v>
      </c>
    </row>
    <row r="33" spans="4:14" x14ac:dyDescent="0.2">
      <c r="D33" s="2" t="s">
        <v>59</v>
      </c>
      <c r="E33" s="2">
        <f>SUM(E2:E31)</f>
        <v>243188</v>
      </c>
    </row>
    <row r="34" spans="4:14" x14ac:dyDescent="0.2">
      <c r="D34" s="100" t="s">
        <v>178</v>
      </c>
      <c r="E34" s="101">
        <f>SUM('Week 40 Sept 28 - Oct 4 2020'!E34,'Week 41 Oct 5 - Oct 11 2020'!E33)</f>
        <v>18151092</v>
      </c>
    </row>
    <row r="35" spans="4:14" x14ac:dyDescent="0.2">
      <c r="D35" s="2" t="s">
        <v>60</v>
      </c>
      <c r="E35" s="2">
        <f>AVERAGE(E2:E31)</f>
        <v>8106.2666666666664</v>
      </c>
    </row>
    <row r="36" spans="4:14" x14ac:dyDescent="0.2">
      <c r="D36" s="9" t="s">
        <v>78</v>
      </c>
      <c r="E36" s="10">
        <f>COUNTIF(B:B,"New")</f>
        <v>2</v>
      </c>
      <c r="N36" s="47"/>
    </row>
    <row r="37" spans="4:14" x14ac:dyDescent="0.2">
      <c r="E37" s="2"/>
      <c r="N37" s="47"/>
    </row>
    <row r="38" spans="4:14" x14ac:dyDescent="0.2">
      <c r="D38" t="s">
        <v>66</v>
      </c>
      <c r="E38" s="2"/>
    </row>
    <row r="39" spans="4:14" x14ac:dyDescent="0.2">
      <c r="D39" s="8" t="s">
        <v>67</v>
      </c>
      <c r="E39" s="2"/>
    </row>
    <row r="40" spans="4:14" x14ac:dyDescent="0.2">
      <c r="D40" s="8" t="s">
        <v>65</v>
      </c>
      <c r="E40" s="2"/>
    </row>
    <row r="41" spans="4:14" x14ac:dyDescent="0.2">
      <c r="D41" s="8" t="s">
        <v>71</v>
      </c>
      <c r="E41" s="2"/>
    </row>
  </sheetData>
  <hyperlinks>
    <hyperlink ref="D40" r:id="rId1" xr:uid="{4E1D37B5-600D-0C48-A3DD-99B144594848}"/>
    <hyperlink ref="D39" r:id="rId2" xr:uid="{F2D2E067-17BC-F547-8DE2-5F297069A0DE}"/>
    <hyperlink ref="D41" r:id="rId3" xr:uid="{6ABB2E49-1F32-0A48-A7B3-1306A97BCE96}"/>
  </hyperlinks>
  <pageMargins left="0.7" right="0.7" top="0.75" bottom="0.75" header="0.3" footer="0.3"/>
  <pageSetup paperSize="9" orientation="portrait" horizontalDpi="0" verticalDpi="0"/>
  <ignoredErrors>
    <ignoredError sqref="J2:J31 I3:I31" calculatedColumn="1"/>
  </ignoredErrors>
  <tableParts count="1">
    <tablePart r:id="rId4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DBAB0-2375-4440-B601-58547F94DE30}">
  <dimension ref="A1:J41"/>
  <sheetViews>
    <sheetView workbookViewId="0">
      <selection activeCell="D11" sqref="D2:E11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44" bestFit="1" customWidth="1"/>
    <col min="7" max="7" width="24.8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41" t="s">
        <v>0</v>
      </c>
      <c r="B1" s="41" t="s">
        <v>35</v>
      </c>
      <c r="C1" s="42" t="s">
        <v>1</v>
      </c>
      <c r="D1" s="42" t="s">
        <v>2</v>
      </c>
      <c r="E1" s="43" t="s">
        <v>3</v>
      </c>
      <c r="F1" s="43" t="s">
        <v>4</v>
      </c>
      <c r="G1" s="42" t="s">
        <v>5</v>
      </c>
      <c r="H1" s="45" t="s">
        <v>6</v>
      </c>
      <c r="I1" s="43" t="s">
        <v>64</v>
      </c>
      <c r="J1" s="44" t="s">
        <v>63</v>
      </c>
    </row>
    <row r="2" spans="1:10" x14ac:dyDescent="0.2">
      <c r="A2" s="46">
        <v>1</v>
      </c>
      <c r="B2" s="9" t="s">
        <v>36</v>
      </c>
      <c r="C2" s="9" t="s">
        <v>7</v>
      </c>
      <c r="D2" s="9" t="s">
        <v>122</v>
      </c>
      <c r="E2" s="10">
        <v>73918</v>
      </c>
      <c r="F2" s="10">
        <v>73918</v>
      </c>
      <c r="G2" s="9" t="s">
        <v>9</v>
      </c>
      <c r="H2" s="72">
        <v>44120</v>
      </c>
      <c r="I2" s="73" t="str">
        <f>_xlfn.IFNA(VLOOKUP(D2,'Week 40 Sept 28 - Oct 4 2020'!D:E,2,FALSE),"New")</f>
        <v>New</v>
      </c>
      <c r="J2" s="90" t="str">
        <f>IFERROR((E2-I2)/I2,"New")</f>
        <v>New</v>
      </c>
    </row>
    <row r="3" spans="1:10" x14ac:dyDescent="0.2">
      <c r="A3" s="47">
        <v>2</v>
      </c>
      <c r="B3" s="18">
        <v>2</v>
      </c>
      <c r="C3" s="18" t="s">
        <v>7</v>
      </c>
      <c r="D3" s="47" t="s">
        <v>46</v>
      </c>
      <c r="E3" s="12">
        <v>34547</v>
      </c>
      <c r="F3" s="12">
        <f>_xlfn.IFNA(VLOOKUP(D:D,'Week 41 Oct 5 - Oct 11 2020'!D:F,3,FALSE),"")+Table404243[[#This Row],[Week Sales]]</f>
        <v>5862668</v>
      </c>
      <c r="G3" s="12" t="str">
        <f>(VLOOKUP(D:D,'Week 41 Oct 5 - Oct 11 2020'!D:G,4,FALSE))</f>
        <v>Nintendo</v>
      </c>
      <c r="H3" s="60">
        <f>(VLOOKUP(D:D,'Week 41 Oct 5 - Oct 11 2020'!D:H,5,FALSE))</f>
        <v>43910</v>
      </c>
      <c r="I3" s="55">
        <f>_xlfn.IFNA(SUMIFS('Week 41 Oct 5 - Oct 11 2020'!E:E,'Week 41 Oct 5 - Oct 11 2020'!D:D,'Week 42 Oct 12 - Oct 18 2020'!D:D,'Week 41 Oct 5 - Oct 11 2020'!C:C,'Week 42 Oct 12 - Oct 18 2020'!C:C),"New")</f>
        <v>37544</v>
      </c>
      <c r="J3" s="56">
        <f t="shared" ref="J3:J7" si="0">IFERROR((E3-I3)/I3,"New")</f>
        <v>-7.9826337097805247E-2</v>
      </c>
    </row>
    <row r="4" spans="1:10" x14ac:dyDescent="0.2">
      <c r="A4" s="47">
        <v>3</v>
      </c>
      <c r="B4" s="18">
        <v>3</v>
      </c>
      <c r="C4" s="18" t="s">
        <v>7</v>
      </c>
      <c r="D4" s="47" t="s">
        <v>45</v>
      </c>
      <c r="E4" s="12">
        <v>27303</v>
      </c>
      <c r="F4" s="12">
        <f>_xlfn.IFNA(VLOOKUP(D:D,'Week 41 Oct 5 - Oct 11 2020'!D:F,3,FALSE),"")+Table404243[[#This Row],[Week Sales]]</f>
        <v>1696146</v>
      </c>
      <c r="G4" s="12" t="str">
        <f>(VLOOKUP(D:D,'Week 41 Oct 5 - Oct 11 2020'!D:G,4,FALSE))</f>
        <v>Nintendo</v>
      </c>
      <c r="H4" s="60">
        <f>(VLOOKUP(D:D,'Week 41 Oct 5 - Oct 11 2020'!D:H,5,FALSE))</f>
        <v>43756</v>
      </c>
      <c r="I4" s="55">
        <f>_xlfn.IFNA(SUMIFS('Week 41 Oct 5 - Oct 11 2020'!E:E,'Week 41 Oct 5 - Oct 11 2020'!D:D,'Week 42 Oct 12 - Oct 18 2020'!D:D,'Week 41 Oct 5 - Oct 11 2020'!C:C,'Week 42 Oct 12 - Oct 18 2020'!C:C),"New")</f>
        <v>33502</v>
      </c>
      <c r="J4" s="56">
        <f t="shared" si="0"/>
        <v>-0.18503372932959225</v>
      </c>
    </row>
    <row r="5" spans="1:10" x14ac:dyDescent="0.2">
      <c r="A5" s="47">
        <v>4</v>
      </c>
      <c r="B5" s="18">
        <v>4</v>
      </c>
      <c r="C5" s="18" t="s">
        <v>7</v>
      </c>
      <c r="D5" s="47" t="s">
        <v>40</v>
      </c>
      <c r="E5" s="12">
        <v>14797</v>
      </c>
      <c r="F5" s="12">
        <f>_xlfn.IFNA(VLOOKUP(D:D,'Week 41 Oct 5 - Oct 11 2020'!D:F,3,FALSE),"")+Table404243[[#This Row],[Week Sales]]</f>
        <v>345045</v>
      </c>
      <c r="G5" s="12" t="str">
        <f>(VLOOKUP(D:D,'Week 41 Oct 5 - Oct 11 2020'!D:G,4,FALSE))</f>
        <v>Nintendo</v>
      </c>
      <c r="H5" s="60">
        <f>(VLOOKUP(D:D,'Week 41 Oct 5 - Oct 11 2020'!D:H,5,FALSE))</f>
        <v>44092</v>
      </c>
      <c r="I5" s="55">
        <f>_xlfn.IFNA(SUMIFS('Week 41 Oct 5 - Oct 11 2020'!E:E,'Week 41 Oct 5 - Oct 11 2020'!D:D,'Week 42 Oct 12 - Oct 18 2020'!D:D,'Week 41 Oct 5 - Oct 11 2020'!C:C,'Week 42 Oct 12 - Oct 18 2020'!C:C),"New")</f>
        <v>22027</v>
      </c>
      <c r="J5" s="56">
        <f t="shared" si="0"/>
        <v>-0.32823353157488538</v>
      </c>
    </row>
    <row r="6" spans="1:10" x14ac:dyDescent="0.2">
      <c r="A6" s="47">
        <v>5</v>
      </c>
      <c r="B6" s="18">
        <v>5</v>
      </c>
      <c r="C6" s="18" t="s">
        <v>7</v>
      </c>
      <c r="D6" s="47" t="s">
        <v>49</v>
      </c>
      <c r="E6" s="12">
        <v>10928</v>
      </c>
      <c r="F6" s="12">
        <f>_xlfn.IFNA(VLOOKUP(D:D,'Week 41 Oct 5 - Oct 11 2020'!D:F,3,FALSE),"")+Table404243[[#This Row],[Week Sales]]</f>
        <v>3220146</v>
      </c>
      <c r="G6" s="12" t="str">
        <f>(VLOOKUP(D:D,'Week 41 Oct 5 - Oct 11 2020'!D:G,4,FALSE))</f>
        <v>Nintendo</v>
      </c>
      <c r="H6" s="67">
        <f>(VLOOKUP(D:D,'Week 41 Oct 5 - Oct 11 2020'!D:H,5,FALSE))</f>
        <v>42853</v>
      </c>
      <c r="I6" s="55">
        <f>_xlfn.IFNA(SUMIFS('Week 41 Oct 5 - Oct 11 2020'!E:E,'Week 41 Oct 5 - Oct 11 2020'!D:D,'Week 42 Oct 12 - Oct 18 2020'!D:D,'Week 41 Oct 5 - Oct 11 2020'!C:C,'Week 42 Oct 12 - Oct 18 2020'!C:C),"New")</f>
        <v>12723</v>
      </c>
      <c r="J6" s="56">
        <f t="shared" si="0"/>
        <v>-0.14108307789043464</v>
      </c>
    </row>
    <row r="7" spans="1:10" x14ac:dyDescent="0.2">
      <c r="A7" s="46">
        <v>6</v>
      </c>
      <c r="B7" s="9" t="s">
        <v>36</v>
      </c>
      <c r="C7" s="9" t="s">
        <v>7</v>
      </c>
      <c r="D7" s="9" t="s">
        <v>123</v>
      </c>
      <c r="E7" s="10">
        <v>10154</v>
      </c>
      <c r="F7" s="10">
        <v>10154</v>
      </c>
      <c r="G7" s="10" t="s">
        <v>126</v>
      </c>
      <c r="H7" s="14">
        <v>44119</v>
      </c>
      <c r="I7" s="73" t="s">
        <v>36</v>
      </c>
      <c r="J7" s="90" t="str">
        <f t="shared" si="0"/>
        <v>New</v>
      </c>
    </row>
    <row r="8" spans="1:10" x14ac:dyDescent="0.2">
      <c r="A8" s="47">
        <v>7</v>
      </c>
      <c r="B8" s="18">
        <v>1</v>
      </c>
      <c r="C8" s="18" t="s">
        <v>8</v>
      </c>
      <c r="D8" s="47" t="s">
        <v>115</v>
      </c>
      <c r="E8" s="12">
        <v>7111</v>
      </c>
      <c r="F8" s="12">
        <f>_xlfn.IFNA(VLOOKUP(D:D,'Week 41 Oct 5 - Oct 11 2020'!D:F,3,FALSE),"")+Table404243[[#This Row],[Week Sales]]</f>
        <v>46263</v>
      </c>
      <c r="G8" s="12" t="str">
        <f>(VLOOKUP(D:D,'Week 41 Oct 5 - Oct 11 2020'!D:G,4,FALSE))</f>
        <v>Electronic Arts</v>
      </c>
      <c r="H8" s="60">
        <f>(VLOOKUP(D:D,'Week 41 Oct 5 - Oct 11 2020'!D:H,5,FALSE))</f>
        <v>44113</v>
      </c>
      <c r="I8" s="55">
        <f>_xlfn.IFNA(SUMIFS('Week 41 Oct 5 - Oct 11 2020'!E:E,'Week 41 Oct 5 - Oct 11 2020'!D:D,'Week 42 Oct 12 - Oct 18 2020'!D:D,'Week 41 Oct 5 - Oct 11 2020'!C:C,'Week 42 Oct 12 - Oct 18 2020'!C:C),"New")</f>
        <v>39152</v>
      </c>
      <c r="J8" s="56">
        <f>IFERROR((E8-I8)/I8,"New")</f>
        <v>-0.81837454025337153</v>
      </c>
    </row>
    <row r="9" spans="1:10" x14ac:dyDescent="0.2">
      <c r="A9" s="47">
        <v>8</v>
      </c>
      <c r="B9" s="18">
        <v>7</v>
      </c>
      <c r="C9" s="18" t="s">
        <v>7</v>
      </c>
      <c r="D9" s="47" t="s">
        <v>62</v>
      </c>
      <c r="E9" s="12">
        <v>6720</v>
      </c>
      <c r="F9" s="12">
        <f>_xlfn.IFNA(VLOOKUP(D:D,'Week 41 Oct 5 - Oct 11 2020'!D:F,3,FALSE),"")+Table404243[[#This Row],[Week Sales]]</f>
        <v>3766636</v>
      </c>
      <c r="G9" s="12" t="str">
        <f>(VLOOKUP(D:D,'Week 41 Oct 5 - Oct 11 2020'!D:G,4,FALSE))</f>
        <v>The Pokemon Company</v>
      </c>
      <c r="H9" s="67">
        <f>(VLOOKUP(D:D,'Week 41 Oct 5 - Oct 11 2020'!D:H,5,FALSE))</f>
        <v>43784</v>
      </c>
      <c r="I9" s="55">
        <f>_xlfn.IFNA(SUMIFS('Week 41 Oct 5 - Oct 11 2020'!E:E,'Week 41 Oct 5 - Oct 11 2020'!D:D,'Week 42 Oct 12 - Oct 18 2020'!D:D,'Week 41 Oct 5 - Oct 11 2020'!C:C,'Week 42 Oct 12 - Oct 18 2020'!C:C),"New")</f>
        <v>7145</v>
      </c>
      <c r="J9" s="56">
        <f t="shared" ref="J9:J31" si="1">IFERROR((E9-I9)/I9,"New")</f>
        <v>-5.9482155353393983E-2</v>
      </c>
    </row>
    <row r="10" spans="1:10" x14ac:dyDescent="0.2">
      <c r="A10" s="47">
        <v>9</v>
      </c>
      <c r="B10" s="18">
        <v>8</v>
      </c>
      <c r="C10" s="18" t="s">
        <v>7</v>
      </c>
      <c r="D10" s="47" t="s">
        <v>12</v>
      </c>
      <c r="E10" s="12">
        <v>6471</v>
      </c>
      <c r="F10" s="12">
        <f>_xlfn.IFNA(VLOOKUP(D:D,'Week 41 Oct 5 - Oct 11 2020'!D:F,3,FALSE),"")+Table404243[[#This Row],[Week Sales]]</f>
        <v>1531498</v>
      </c>
      <c r="G10" s="12" t="str">
        <f>(VLOOKUP(D:D,'Week 41 Oct 5 - Oct 11 2020'!D:G,4,FALSE))</f>
        <v>Microsoft</v>
      </c>
      <c r="H10" s="67">
        <f>(VLOOKUP(D:D,'Week 41 Oct 5 - Oct 11 2020'!D:H,5,FALSE))</f>
        <v>43272</v>
      </c>
      <c r="I10" s="55">
        <f>_xlfn.IFNA(SUMIFS('Week 41 Oct 5 - Oct 11 2020'!E:E,'Week 41 Oct 5 - Oct 11 2020'!D:D,'Week 42 Oct 12 - Oct 18 2020'!D:D,'Week 41 Oct 5 - Oct 11 2020'!C:C,'Week 42 Oct 12 - Oct 18 2020'!C:C),"New")</f>
        <v>6859</v>
      </c>
      <c r="J10" s="56">
        <f t="shared" si="1"/>
        <v>-5.6568012829858579E-2</v>
      </c>
    </row>
    <row r="11" spans="1:10" x14ac:dyDescent="0.2">
      <c r="A11" s="47">
        <v>10</v>
      </c>
      <c r="B11" s="18">
        <v>9</v>
      </c>
      <c r="C11" s="18" t="s">
        <v>7</v>
      </c>
      <c r="D11" s="47" t="s">
        <v>52</v>
      </c>
      <c r="E11" s="12">
        <v>6301</v>
      </c>
      <c r="F11" s="12">
        <f>_xlfn.IFNA(VLOOKUP(D:D,'Week 41 Oct 5 - Oct 11 2020'!D:F,3,FALSE),"")+Table404243[[#This Row],[Week Sales]]</f>
        <v>3855901</v>
      </c>
      <c r="G11" s="12" t="str">
        <f>(VLOOKUP(D:D,'Week 41 Oct 5 - Oct 11 2020'!D:G,4,FALSE))</f>
        <v>Nintendo</v>
      </c>
      <c r="H11" s="67">
        <f>(VLOOKUP(D:D,'Week 41 Oct 5 - Oct 11 2020'!D:H,5,FALSE))</f>
        <v>43441</v>
      </c>
      <c r="I11" s="55">
        <f>_xlfn.IFNA(SUMIFS('Week 41 Oct 5 - Oct 11 2020'!E:E,'Week 41 Oct 5 - Oct 11 2020'!D:D,'Week 42 Oct 12 - Oct 18 2020'!D:D,'Week 41 Oct 5 - Oct 11 2020'!C:C,'Week 42 Oct 12 - Oct 18 2020'!C:C),"New")</f>
        <v>6564</v>
      </c>
      <c r="J11" s="56">
        <f t="shared" si="1"/>
        <v>-4.0067032297379644E-2</v>
      </c>
    </row>
    <row r="12" spans="1:10" x14ac:dyDescent="0.2">
      <c r="A12" s="47">
        <v>11</v>
      </c>
      <c r="B12" s="18">
        <v>11</v>
      </c>
      <c r="C12" s="18" t="s">
        <v>7</v>
      </c>
      <c r="D12" s="47" t="s">
        <v>13</v>
      </c>
      <c r="E12" s="12">
        <v>5140</v>
      </c>
      <c r="F12" s="12">
        <f>_xlfn.IFNA(VLOOKUP(D:D,'Week 41 Oct 5 - Oct 11 2020'!D:F,3,FALSE),"")+Table404243[[#This Row],[Week Sales]]</f>
        <v>1577148</v>
      </c>
      <c r="G12" s="12" t="str">
        <f>(VLOOKUP(D:D,'Week 41 Oct 5 - Oct 11 2020'!D:G,4,FALSE))</f>
        <v>Nintendo</v>
      </c>
      <c r="H12" s="67">
        <f>(VLOOKUP(D:D,'Week 41 Oct 5 - Oct 11 2020'!D:H,5,FALSE))</f>
        <v>43378</v>
      </c>
      <c r="I12" s="55">
        <f>_xlfn.IFNA(SUMIFS('Week 41 Oct 5 - Oct 11 2020'!E:E,'Week 41 Oct 5 - Oct 11 2020'!D:D,'Week 42 Oct 12 - Oct 18 2020'!D:D,'Week 41 Oct 5 - Oct 11 2020'!C:C,'Week 42 Oct 12 - Oct 18 2020'!C:C),"New")</f>
        <v>5911</v>
      </c>
      <c r="J12" s="56">
        <f t="shared" si="1"/>
        <v>-0.13043478260869565</v>
      </c>
    </row>
    <row r="13" spans="1:10" x14ac:dyDescent="0.2">
      <c r="A13" s="47">
        <v>12</v>
      </c>
      <c r="B13" s="18">
        <v>10</v>
      </c>
      <c r="C13" s="18" t="s">
        <v>7</v>
      </c>
      <c r="D13" s="47" t="s">
        <v>50</v>
      </c>
      <c r="E13" s="12">
        <v>4668</v>
      </c>
      <c r="F13" s="12">
        <f>_xlfn.IFNA(VLOOKUP(D:D,'Week 41 Oct 5 - Oct 11 2020'!D:F,3,FALSE),"")+Table404243[[#This Row],[Week Sales]]</f>
        <v>407933</v>
      </c>
      <c r="G13" s="12" t="str">
        <f>(VLOOKUP(D:D,'Week 41 Oct 5 - Oct 11 2020'!D:G,4,FALSE))</f>
        <v>Nintendo</v>
      </c>
      <c r="H13" s="67">
        <f>(VLOOKUP(D:D,'Week 41 Oct 5 - Oct 11 2020'!D:H,5,FALSE))</f>
        <v>43987</v>
      </c>
      <c r="I13" s="55">
        <f>_xlfn.IFNA(SUMIFS('Week 41 Oct 5 - Oct 11 2020'!E:E,'Week 41 Oct 5 - Oct 11 2020'!D:D,'Week 42 Oct 12 - Oct 18 2020'!D:D,'Week 41 Oct 5 - Oct 11 2020'!C:C,'Week 42 Oct 12 - Oct 18 2020'!C:C),"New")</f>
        <v>5927</v>
      </c>
      <c r="J13" s="56">
        <f t="shared" si="1"/>
        <v>-0.21241774928294246</v>
      </c>
    </row>
    <row r="14" spans="1:10" x14ac:dyDescent="0.2">
      <c r="A14" s="47">
        <v>13</v>
      </c>
      <c r="B14" s="18">
        <v>12</v>
      </c>
      <c r="C14" s="18" t="s">
        <v>7</v>
      </c>
      <c r="D14" s="47" t="s">
        <v>10</v>
      </c>
      <c r="E14" s="12">
        <v>4418</v>
      </c>
      <c r="F14" s="12">
        <f>_xlfn.IFNA(VLOOKUP(D:D,'Week 41 Oct 5 - Oct 11 2020'!D:F,3,FALSE),"")+Table404243[[#This Row],[Week Sales]]</f>
        <v>3584497</v>
      </c>
      <c r="G14" s="12" t="str">
        <f>(VLOOKUP(D:D,'Week 41 Oct 5 - Oct 11 2020'!D:G,4,FALSE))</f>
        <v>Nintendo</v>
      </c>
      <c r="H14" s="67">
        <f>(VLOOKUP(D:D,'Week 41 Oct 5 - Oct 11 2020'!D:H,5,FALSE))</f>
        <v>42937</v>
      </c>
      <c r="I14" s="55">
        <f>_xlfn.IFNA(SUMIFS('Week 41 Oct 5 - Oct 11 2020'!E:E,'Week 41 Oct 5 - Oct 11 2020'!D:D,'Week 42 Oct 12 - Oct 18 2020'!D:D,'Week 41 Oct 5 - Oct 11 2020'!C:C,'Week 42 Oct 12 - Oct 18 2020'!C:C),"New")</f>
        <v>4905</v>
      </c>
      <c r="J14" s="56">
        <f t="shared" si="1"/>
        <v>-9.9286442405708455E-2</v>
      </c>
    </row>
    <row r="15" spans="1:10" x14ac:dyDescent="0.2">
      <c r="A15" s="47">
        <v>14</v>
      </c>
      <c r="B15" s="18">
        <v>6</v>
      </c>
      <c r="C15" s="18" t="s">
        <v>7</v>
      </c>
      <c r="D15" s="47" t="s">
        <v>114</v>
      </c>
      <c r="E15" s="12">
        <v>4278</v>
      </c>
      <c r="F15" s="12">
        <f>_xlfn.IFNA(VLOOKUP(D:D,'Week 41 Oct 5 - Oct 11 2020'!D:F,3,FALSE),"")+Table404243[[#This Row],[Week Sales]]</f>
        <v>16268</v>
      </c>
      <c r="G15" s="12" t="str">
        <f>(VLOOKUP(D:D,'Week 41 Oct 5 - Oct 11 2020'!D:G,4,FALSE))</f>
        <v>Electronic Arts</v>
      </c>
      <c r="H15" s="67">
        <f>(VLOOKUP(D:D,'Week 41 Oct 5 - Oct 11 2020'!D:H,5,FALSE))</f>
        <v>44113</v>
      </c>
      <c r="I15" s="55">
        <f>_xlfn.IFNA(SUMIFS('Week 41 Oct 5 - Oct 11 2020'!E:E,'Week 41 Oct 5 - Oct 11 2020'!D:D,'Week 42 Oct 12 - Oct 18 2020'!D:D,'Week 41 Oct 5 - Oct 11 2020'!C:C,'Week 42 Oct 12 - Oct 18 2020'!C:C),"New")</f>
        <v>11990</v>
      </c>
      <c r="J15" s="56">
        <f t="shared" si="1"/>
        <v>-0.64320266889074229</v>
      </c>
    </row>
    <row r="16" spans="1:10" x14ac:dyDescent="0.2">
      <c r="A16" s="47">
        <v>15</v>
      </c>
      <c r="B16" s="18">
        <v>13</v>
      </c>
      <c r="C16" s="18" t="s">
        <v>7</v>
      </c>
      <c r="D16" s="47" t="s">
        <v>39</v>
      </c>
      <c r="E16" s="12">
        <v>3662</v>
      </c>
      <c r="F16" s="12">
        <f>_xlfn.IFNA(VLOOKUP(D:D,'Week 41 Oct 5 - Oct 11 2020'!D:F,3,FALSE),"")+Table404243[[#This Row],[Week Sales]]</f>
        <v>1666628</v>
      </c>
      <c r="G16" s="12" t="str">
        <f>(VLOOKUP(D:D,'Week 41 Oct 5 - Oct 11 2020'!D:G,4,FALSE))</f>
        <v>Nintendo</v>
      </c>
      <c r="H16" s="67">
        <f>(VLOOKUP(D:D,'Week 41 Oct 5 - Oct 11 2020'!D:H,5,FALSE))</f>
        <v>42797</v>
      </c>
      <c r="I16" s="55">
        <f>_xlfn.IFNA(SUMIFS('Week 41 Oct 5 - Oct 11 2020'!E:E,'Week 41 Oct 5 - Oct 11 2020'!D:D,'Week 42 Oct 12 - Oct 18 2020'!D:D,'Week 41 Oct 5 - Oct 11 2020'!C:C,'Week 42 Oct 12 - Oct 18 2020'!C:C),"New")</f>
        <v>4166</v>
      </c>
      <c r="J16" s="56">
        <f t="shared" si="1"/>
        <v>-0.12097935669707154</v>
      </c>
    </row>
    <row r="17" spans="1:10" x14ac:dyDescent="0.2">
      <c r="A17" s="47">
        <v>16</v>
      </c>
      <c r="B17" s="18">
        <v>16</v>
      </c>
      <c r="C17" s="18" t="s">
        <v>7</v>
      </c>
      <c r="D17" s="47" t="s">
        <v>17</v>
      </c>
      <c r="E17" s="12">
        <v>3314</v>
      </c>
      <c r="F17" s="12">
        <f>_xlfn.IFNA(VLOOKUP(D:D,'Week 41 Oct 5 - Oct 11 2020'!D:F,3,FALSE),"")+Table404243[[#This Row],[Week Sales]]</f>
        <v>913725</v>
      </c>
      <c r="G17" s="12" t="str">
        <f>(VLOOKUP(D:D,'Week 41 Oct 5 - Oct 11 2020'!D:G,4,FALSE))</f>
        <v>Nintendo</v>
      </c>
      <c r="H17" s="67">
        <f>(VLOOKUP(D:D,'Week 41 Oct 5 - Oct 11 2020'!D:H,5,FALSE))</f>
        <v>43476</v>
      </c>
      <c r="I17" s="55">
        <f>_xlfn.IFNA(SUMIFS('Week 41 Oct 5 - Oct 11 2020'!E:E,'Week 41 Oct 5 - Oct 11 2020'!D:D,'Week 42 Oct 12 - Oct 18 2020'!D:D,'Week 41 Oct 5 - Oct 11 2020'!C:C,'Week 42 Oct 12 - Oct 18 2020'!C:C),"New")</f>
        <v>3676</v>
      </c>
      <c r="J17" s="56">
        <f t="shared" si="1"/>
        <v>-9.8476605005440698E-2</v>
      </c>
    </row>
    <row r="18" spans="1:10" x14ac:dyDescent="0.2">
      <c r="A18" s="47">
        <v>17</v>
      </c>
      <c r="B18" s="18">
        <v>15</v>
      </c>
      <c r="C18" s="18" t="s">
        <v>7</v>
      </c>
      <c r="D18" s="47" t="s">
        <v>58</v>
      </c>
      <c r="E18" s="12">
        <v>3159</v>
      </c>
      <c r="F18" s="12">
        <f>_xlfn.IFNA(VLOOKUP(D:D,'Week 41 Oct 5 - Oct 11 2020'!D:F,3,FALSE),"")+Table404243[[#This Row],[Week Sales]]</f>
        <v>34267</v>
      </c>
      <c r="G18" s="12" t="str">
        <f>(VLOOKUP(D:D,'Week 41 Oct 5 - Oct 11 2020'!D:G,4,FALSE))</f>
        <v>Microsoft</v>
      </c>
      <c r="H18" s="67">
        <f>(VLOOKUP(D:D,'Week 41 Oct 5 - Oct 11 2020'!D:H,5,FALSE))</f>
        <v>44082</v>
      </c>
      <c r="I18" s="55">
        <f>_xlfn.IFNA(SUMIFS('Week 41 Oct 5 - Oct 11 2020'!E:E,'Week 41 Oct 5 - Oct 11 2020'!D:D,'Week 42 Oct 12 - Oct 18 2020'!D:D,'Week 41 Oct 5 - Oct 11 2020'!C:C,'Week 42 Oct 12 - Oct 18 2020'!C:C),"New")</f>
        <v>3774</v>
      </c>
      <c r="J18" s="56">
        <f t="shared" si="1"/>
        <v>-0.16295707472178061</v>
      </c>
    </row>
    <row r="19" spans="1:10" x14ac:dyDescent="0.2">
      <c r="A19" s="47">
        <v>18</v>
      </c>
      <c r="B19" s="18">
        <v>14</v>
      </c>
      <c r="C19" s="18" t="s">
        <v>8</v>
      </c>
      <c r="D19" s="47" t="s">
        <v>47</v>
      </c>
      <c r="E19" s="12">
        <v>3043</v>
      </c>
      <c r="F19" s="12">
        <f>_xlfn.IFNA(VLOOKUP(D:D,'Week 41 Oct 5 - Oct 11 2020'!D:F,3,FALSE),"")+Table404243[[#This Row],[Week Sales]]</f>
        <v>48684</v>
      </c>
      <c r="G19" s="12" t="str">
        <f>(VLOOKUP(D:D,'Week 41 Oct 5 - Oct 11 2020'!D:G,4,FALSE))</f>
        <v>Konami</v>
      </c>
      <c r="H19" s="67">
        <f>(VLOOKUP(D:D,'Week 41 Oct 5 - Oct 11 2020'!D:H,5,FALSE))</f>
        <v>44091</v>
      </c>
      <c r="I19" s="55">
        <f>_xlfn.IFNA(SUMIFS('Week 41 Oct 5 - Oct 11 2020'!E:E,'Week 41 Oct 5 - Oct 11 2020'!D:D,'Week 42 Oct 12 - Oct 18 2020'!D:D,'Week 41 Oct 5 - Oct 11 2020'!C:C,'Week 42 Oct 12 - Oct 18 2020'!C:C),"New")</f>
        <v>4153</v>
      </c>
      <c r="J19" s="56">
        <f t="shared" si="1"/>
        <v>-0.26727666746929929</v>
      </c>
    </row>
    <row r="20" spans="1:10" x14ac:dyDescent="0.2">
      <c r="A20" s="46">
        <v>19</v>
      </c>
      <c r="B20" s="9" t="s">
        <v>36</v>
      </c>
      <c r="C20" s="9" t="s">
        <v>7</v>
      </c>
      <c r="D20" s="9" t="s">
        <v>124</v>
      </c>
      <c r="E20" s="10">
        <v>2731</v>
      </c>
      <c r="F20" s="10">
        <v>2731</v>
      </c>
      <c r="G20" s="10" t="s">
        <v>127</v>
      </c>
      <c r="H20" s="14">
        <v>44119</v>
      </c>
      <c r="I20" s="73" t="s">
        <v>36</v>
      </c>
      <c r="J20" s="90" t="str">
        <f t="shared" si="1"/>
        <v>New</v>
      </c>
    </row>
    <row r="21" spans="1:10" x14ac:dyDescent="0.2">
      <c r="A21" s="46">
        <v>20</v>
      </c>
      <c r="B21" s="9" t="s">
        <v>36</v>
      </c>
      <c r="C21" s="9" t="s">
        <v>7</v>
      </c>
      <c r="D21" s="46" t="s">
        <v>125</v>
      </c>
      <c r="E21" s="10">
        <v>2608</v>
      </c>
      <c r="F21" s="10">
        <v>2608</v>
      </c>
      <c r="G21" s="10" t="s">
        <v>100</v>
      </c>
      <c r="H21" s="14">
        <v>44119</v>
      </c>
      <c r="I21" s="73" t="s">
        <v>36</v>
      </c>
      <c r="J21" s="90" t="str">
        <f t="shared" si="1"/>
        <v>New</v>
      </c>
    </row>
    <row r="22" spans="1:10" x14ac:dyDescent="0.2">
      <c r="A22" s="47">
        <v>21</v>
      </c>
      <c r="B22" s="18">
        <v>20</v>
      </c>
      <c r="C22" s="18" t="s">
        <v>7</v>
      </c>
      <c r="D22" s="47" t="s">
        <v>16</v>
      </c>
      <c r="E22" s="12">
        <v>2387</v>
      </c>
      <c r="F22" s="12">
        <f>_xlfn.IFNA(VLOOKUP(D:D,'Week 41 Oct 5 - Oct 11 2020'!D:F,3,FALSE),"")+Table404243[[#This Row],[Week Sales]]</f>
        <v>309902</v>
      </c>
      <c r="G22" s="12" t="str">
        <f>(VLOOKUP(D:D,'Week 41 Oct 5 - Oct 11 2020'!D:G,4,FALSE))</f>
        <v>Nintendo</v>
      </c>
      <c r="H22" s="67">
        <f>(VLOOKUP(D:D,'Week 41 Oct 5 - Oct 11 2020'!D:H,5,FALSE))</f>
        <v>43826</v>
      </c>
      <c r="I22" s="55">
        <f>_xlfn.IFNA(SUMIFS('Week 41 Oct 5 - Oct 11 2020'!E:E,'Week 41 Oct 5 - Oct 11 2020'!D:D,'Week 42 Oct 12 - Oct 18 2020'!D:D,'Week 41 Oct 5 - Oct 11 2020'!C:C,'Week 42 Oct 12 - Oct 18 2020'!C:C),"New")</f>
        <v>2698</v>
      </c>
      <c r="J22" s="56">
        <f t="shared" si="1"/>
        <v>-0.11527057079318014</v>
      </c>
    </row>
    <row r="23" spans="1:10" x14ac:dyDescent="0.2">
      <c r="A23" s="47">
        <v>22</v>
      </c>
      <c r="B23" s="18">
        <v>18</v>
      </c>
      <c r="C23" s="18" t="s">
        <v>7</v>
      </c>
      <c r="D23" s="47" t="s">
        <v>19</v>
      </c>
      <c r="E23" s="12">
        <v>2314</v>
      </c>
      <c r="F23" s="12">
        <f>_xlfn.IFNA(VLOOKUP(D:D,'Week 41 Oct 5 - Oct 11 2020'!D:F,3,FALSE),"")+Table404243[[#This Row],[Week Sales]]</f>
        <v>976555</v>
      </c>
      <c r="G23" s="12" t="str">
        <f>(VLOOKUP(D:D,'Week 41 Oct 5 - Oct 11 2020'!D:G,4,FALSE))</f>
        <v>Nintendo</v>
      </c>
      <c r="H23" s="67">
        <f>(VLOOKUP(D:D,'Week 41 Oct 5 - Oct 11 2020'!D:H,5,FALSE))</f>
        <v>43644</v>
      </c>
      <c r="I23" s="55">
        <f>_xlfn.IFNA(SUMIFS('Week 41 Oct 5 - Oct 11 2020'!E:E,'Week 41 Oct 5 - Oct 11 2020'!D:D,'Week 42 Oct 12 - Oct 18 2020'!D:D,'Week 41 Oct 5 - Oct 11 2020'!C:C,'Week 42 Oct 12 - Oct 18 2020'!C:C),"New")</f>
        <v>2819</v>
      </c>
      <c r="J23" s="56">
        <f t="shared" si="1"/>
        <v>-0.179141539553033</v>
      </c>
    </row>
    <row r="24" spans="1:10" x14ac:dyDescent="0.2">
      <c r="A24" s="46">
        <v>23</v>
      </c>
      <c r="B24" s="9" t="s">
        <v>36</v>
      </c>
      <c r="C24" s="9" t="s">
        <v>8</v>
      </c>
      <c r="D24" s="9" t="s">
        <v>124</v>
      </c>
      <c r="E24" s="10">
        <v>2271</v>
      </c>
      <c r="F24" s="10">
        <v>2271</v>
      </c>
      <c r="G24" s="10" t="s">
        <v>127</v>
      </c>
      <c r="H24" s="14">
        <v>44119</v>
      </c>
      <c r="I24" s="73" t="s">
        <v>36</v>
      </c>
      <c r="J24" s="90" t="str">
        <f t="shared" si="1"/>
        <v>New</v>
      </c>
    </row>
    <row r="25" spans="1:10" x14ac:dyDescent="0.2">
      <c r="A25" s="47">
        <v>24</v>
      </c>
      <c r="B25" s="18">
        <v>25</v>
      </c>
      <c r="C25" s="18" t="s">
        <v>8</v>
      </c>
      <c r="D25" s="47" t="s">
        <v>11</v>
      </c>
      <c r="E25" s="12">
        <v>2101</v>
      </c>
      <c r="F25" s="12">
        <f>_xlfn.IFNA(VLOOKUP(D:D,'Week 41 Oct 5 - Oct 11 2020'!D:F,3,FALSE),"")+Table404243[[#This Row],[Week Sales]]</f>
        <v>405743</v>
      </c>
      <c r="G25" s="12" t="str">
        <f>(VLOOKUP(D:D,'Week 41 Oct 5 - Oct 11 2020'!D:G,4,FALSE))</f>
        <v>Sony</v>
      </c>
      <c r="H25" s="67">
        <f>(VLOOKUP(D:D,'Week 41 Oct 5 - Oct 11 2020'!D:H,5,FALSE))</f>
        <v>44029</v>
      </c>
      <c r="I25" s="55">
        <f>_xlfn.IFNA(SUMIFS('Week 41 Oct 5 - Oct 11 2020'!E:E,'Week 41 Oct 5 - Oct 11 2020'!D:D,'Week 42 Oct 12 - Oct 18 2020'!D:D,'Week 41 Oct 5 - Oct 11 2020'!C:C,'Week 42 Oct 12 - Oct 18 2020'!C:C),"New")</f>
        <v>2161</v>
      </c>
      <c r="J25" s="56">
        <f t="shared" si="1"/>
        <v>-2.7764923646459973E-2</v>
      </c>
    </row>
    <row r="26" spans="1:10" x14ac:dyDescent="0.2">
      <c r="A26" s="47">
        <v>25</v>
      </c>
      <c r="B26" s="18">
        <v>24</v>
      </c>
      <c r="C26" s="18" t="s">
        <v>7</v>
      </c>
      <c r="D26" s="47" t="s">
        <v>26</v>
      </c>
      <c r="E26" s="12">
        <v>2086</v>
      </c>
      <c r="F26" s="12">
        <f>_xlfn.IFNA(VLOOKUP(D:D,'Week 41 Oct 5 - Oct 11 2020'!D:F,3,FALSE),"")+Table404243[[#This Row],[Week Sales]]</f>
        <v>2134879</v>
      </c>
      <c r="G26" s="12" t="str">
        <f>(VLOOKUP(D:D,'Week 41 Oct 5 - Oct 11 2020'!D:G,4,FALSE))</f>
        <v>Nintendo</v>
      </c>
      <c r="H26" s="67">
        <f>(VLOOKUP(D:D,'Week 41 Oct 5 - Oct 11 2020'!D:H,5,FALSE))</f>
        <v>43035</v>
      </c>
      <c r="I26" s="55">
        <f>_xlfn.IFNA(SUMIFS('Week 41 Oct 5 - Oct 11 2020'!E:E,'Week 41 Oct 5 - Oct 11 2020'!D:D,'Week 42 Oct 12 - Oct 18 2020'!D:D,'Week 41 Oct 5 - Oct 11 2020'!C:C,'Week 42 Oct 12 - Oct 18 2020'!C:C),"New")</f>
        <v>2178</v>
      </c>
      <c r="J26" s="56">
        <f t="shared" si="1"/>
        <v>-4.2240587695133149E-2</v>
      </c>
    </row>
    <row r="27" spans="1:10" x14ac:dyDescent="0.2">
      <c r="A27" s="47">
        <v>26</v>
      </c>
      <c r="B27" s="18">
        <v>23</v>
      </c>
      <c r="C27" s="18" t="s">
        <v>7</v>
      </c>
      <c r="D27" s="47" t="s">
        <v>56</v>
      </c>
      <c r="E27" s="12">
        <v>2059</v>
      </c>
      <c r="F27" s="12">
        <f>_xlfn.IFNA(VLOOKUP(D:D,'Week 41 Oct 5 - Oct 11 2020'!D:F,3,FALSE),"")+Table404243[[#This Row],[Week Sales]]</f>
        <v>42165</v>
      </c>
      <c r="G27" s="12" t="str">
        <f>(VLOOKUP(D:D,'Week 41 Oct 5 - Oct 11 2020'!D:G,4,FALSE))</f>
        <v>Teyon Japan</v>
      </c>
      <c r="H27" s="67">
        <f>(VLOOKUP(D:D,'Week 41 Oct 5 - Oct 11 2020'!D:H,5,FALSE))</f>
        <v>44007</v>
      </c>
      <c r="I27" s="55">
        <f>_xlfn.IFNA(SUMIFS('Week 41 Oct 5 - Oct 11 2020'!E:E,'Week 41 Oct 5 - Oct 11 2020'!D:D,'Week 42 Oct 12 - Oct 18 2020'!D:D,'Week 41 Oct 5 - Oct 11 2020'!C:C,'Week 42 Oct 12 - Oct 18 2020'!C:C),"New")</f>
        <v>2433</v>
      </c>
      <c r="J27" s="56">
        <f t="shared" si="1"/>
        <v>-0.15371968762844226</v>
      </c>
    </row>
    <row r="28" spans="1:10" x14ac:dyDescent="0.2">
      <c r="A28" s="47">
        <v>27</v>
      </c>
      <c r="B28" s="18">
        <v>21</v>
      </c>
      <c r="C28" s="18" t="s">
        <v>7</v>
      </c>
      <c r="D28" s="47" t="s">
        <v>15</v>
      </c>
      <c r="E28" s="12">
        <v>2041</v>
      </c>
      <c r="F28" s="12">
        <f>_xlfn.IFNA(VLOOKUP(D:D,'Week 41 Oct 5 - Oct 11 2020'!D:F,3,FALSE),"")+Table404243[[#This Row],[Week Sales]]</f>
        <v>264411</v>
      </c>
      <c r="G28" s="12" t="str">
        <f>(VLOOKUP(D:D,'Week 41 Oct 5 - Oct 11 2020'!D:G,4,FALSE))</f>
        <v>Nintendo</v>
      </c>
      <c r="H28" s="67">
        <f>(VLOOKUP(D:D,'Week 41 Oct 5 - Oct 11 2020'!D:H,5,FALSE))</f>
        <v>44029</v>
      </c>
      <c r="I28" s="55">
        <f>_xlfn.IFNA(SUMIFS('Week 41 Oct 5 - Oct 11 2020'!E:E,'Week 41 Oct 5 - Oct 11 2020'!D:D,'Week 42 Oct 12 - Oct 18 2020'!D:D,'Week 41 Oct 5 - Oct 11 2020'!C:C,'Week 42 Oct 12 - Oct 18 2020'!C:C),"New")</f>
        <v>2625</v>
      </c>
      <c r="J28" s="56">
        <f t="shared" si="1"/>
        <v>-0.22247619047619047</v>
      </c>
    </row>
    <row r="29" spans="1:10" x14ac:dyDescent="0.2">
      <c r="A29" s="47">
        <v>28</v>
      </c>
      <c r="B29" s="18">
        <v>19</v>
      </c>
      <c r="C29" s="18" t="s">
        <v>7</v>
      </c>
      <c r="D29" s="47" t="s">
        <v>14</v>
      </c>
      <c r="E29" s="12">
        <v>2019</v>
      </c>
      <c r="F29" s="12">
        <f>_xlfn.IFNA(VLOOKUP(D:D,'Week 41 Oct 5 - Oct 11 2020'!D:F,3,FALSE),"")+Table404243[[#This Row],[Week Sales]]</f>
        <v>236075</v>
      </c>
      <c r="G29" s="12" t="str">
        <f>(VLOOKUP(D:D,'Week 41 Oct 5 - Oct 11 2020'!D:G,4,FALSE))</f>
        <v>Konami</v>
      </c>
      <c r="H29" s="67">
        <f>(VLOOKUP(D:D,'Week 41 Oct 5 - Oct 11 2020'!D:H,5,FALSE))</f>
        <v>44021</v>
      </c>
      <c r="I29" s="55">
        <f>_xlfn.IFNA(SUMIFS('Week 41 Oct 5 - Oct 11 2020'!E:E,'Week 41 Oct 5 - Oct 11 2020'!D:D,'Week 42 Oct 12 - Oct 18 2020'!D:D,'Week 41 Oct 5 - Oct 11 2020'!C:C,'Week 42 Oct 12 - Oct 18 2020'!C:C),"New")</f>
        <v>2745</v>
      </c>
      <c r="J29" s="56">
        <f t="shared" si="1"/>
        <v>-0.2644808743169399</v>
      </c>
    </row>
    <row r="30" spans="1:10" x14ac:dyDescent="0.2">
      <c r="A30" s="47">
        <v>29</v>
      </c>
      <c r="B30" s="18">
        <v>26</v>
      </c>
      <c r="C30" s="18" t="s">
        <v>7</v>
      </c>
      <c r="D30" s="47" t="s">
        <v>20</v>
      </c>
      <c r="E30" s="12">
        <v>1786</v>
      </c>
      <c r="F30" s="12">
        <f>_xlfn.IFNA(VLOOKUP(D:D,'Week 41 Oct 5 - Oct 11 2020'!D:F,3,FALSE),"")+Table404243[[#This Row],[Week Sales]]</f>
        <v>498956</v>
      </c>
      <c r="G30" s="12" t="str">
        <f>(VLOOKUP(D:D,'Week 41 Oct 5 - Oct 11 2020'!D:G,4,FALSE))</f>
        <v>Bandai Namco</v>
      </c>
      <c r="H30" s="67">
        <f>(VLOOKUP(D:D,'Week 41 Oct 5 - Oct 11 2020'!D:H,5,FALSE))</f>
        <v>43671</v>
      </c>
      <c r="I30" s="55">
        <f>_xlfn.IFNA(SUMIFS('Week 41 Oct 5 - Oct 11 2020'!E:E,'Week 41 Oct 5 - Oct 11 2020'!D:D,'Week 42 Oct 12 - Oct 18 2020'!D:D,'Week 41 Oct 5 - Oct 11 2020'!C:C,'Week 42 Oct 12 - Oct 18 2020'!C:C),"New")</f>
        <v>2159</v>
      </c>
      <c r="J30" s="56">
        <f t="shared" si="1"/>
        <v>-0.1727651690597499</v>
      </c>
    </row>
    <row r="31" spans="1:10" x14ac:dyDescent="0.2">
      <c r="A31" s="69">
        <v>30</v>
      </c>
      <c r="B31" s="18">
        <v>22</v>
      </c>
      <c r="C31" s="18" t="s">
        <v>8</v>
      </c>
      <c r="D31" s="47" t="s">
        <v>54</v>
      </c>
      <c r="E31" s="12">
        <v>1688</v>
      </c>
      <c r="F31" s="12">
        <f>_xlfn.IFNA(VLOOKUP(D:D,'Week 41 Oct 5 - Oct 11 2020'!D:F,3,FALSE),"")+Table404243[[#This Row],[Week Sales]]</f>
        <v>63175</v>
      </c>
      <c r="G31" s="12" t="str">
        <f>(VLOOKUP(D:D,'Week 41 Oct 5 - Oct 11 2020'!D:G,4,FALSE))</f>
        <v>Square Enix</v>
      </c>
      <c r="H31" s="67">
        <f>(VLOOKUP(D:D,'Week 41 Oct 5 - Oct 11 2020'!D:H,5,FALSE))</f>
        <v>44078</v>
      </c>
      <c r="I31" s="55">
        <f>_xlfn.IFNA(SUMIFS('Week 41 Oct 5 - Oct 11 2020'!E:E,'Week 41 Oct 5 - Oct 11 2020'!D:D,'Week 42 Oct 12 - Oct 18 2020'!D:D,'Week 41 Oct 5 - Oct 11 2020'!C:C,'Week 42 Oct 12 - Oct 18 2020'!C:C),"New")</f>
        <v>2574</v>
      </c>
      <c r="J31" s="56">
        <f t="shared" si="1"/>
        <v>-0.34421134421134419</v>
      </c>
    </row>
    <row r="33" spans="4:5" x14ac:dyDescent="0.2">
      <c r="D33" s="2" t="s">
        <v>59</v>
      </c>
      <c r="E33" s="2">
        <f>SUM(E2:E31)</f>
        <v>256023</v>
      </c>
    </row>
    <row r="34" spans="4:5" x14ac:dyDescent="0.2">
      <c r="D34" s="100" t="s">
        <v>178</v>
      </c>
      <c r="E34" s="101">
        <f>SUM('Week 41 Oct 5 - Oct 11 2020'!E34,'Week 42 Oct 12 - Oct 18 2020'!E33)</f>
        <v>18407115</v>
      </c>
    </row>
    <row r="35" spans="4:5" x14ac:dyDescent="0.2">
      <c r="D35" s="2" t="s">
        <v>60</v>
      </c>
      <c r="E35" s="2">
        <f>AVERAGE(E2:E31)</f>
        <v>8534.1</v>
      </c>
    </row>
    <row r="36" spans="4:5" x14ac:dyDescent="0.2">
      <c r="D36" s="9" t="s">
        <v>78</v>
      </c>
      <c r="E36" s="10">
        <f>COUNTIF(B:B,"New")</f>
        <v>5</v>
      </c>
    </row>
    <row r="37" spans="4:5" x14ac:dyDescent="0.2">
      <c r="E37" s="2"/>
    </row>
    <row r="38" spans="4:5" x14ac:dyDescent="0.2">
      <c r="D38" t="s">
        <v>66</v>
      </c>
      <c r="E38" s="2"/>
    </row>
    <row r="39" spans="4:5" x14ac:dyDescent="0.2">
      <c r="D39" s="8" t="s">
        <v>67</v>
      </c>
      <c r="E39" s="2"/>
    </row>
    <row r="40" spans="4:5" x14ac:dyDescent="0.2">
      <c r="D40" s="8" t="s">
        <v>65</v>
      </c>
      <c r="E40" s="2"/>
    </row>
    <row r="41" spans="4:5" x14ac:dyDescent="0.2">
      <c r="D41" s="8" t="s">
        <v>71</v>
      </c>
      <c r="E41" s="2"/>
    </row>
  </sheetData>
  <hyperlinks>
    <hyperlink ref="D40" r:id="rId1" xr:uid="{2E620E46-9DEC-D04B-875A-425A7D7A9E38}"/>
    <hyperlink ref="D39" r:id="rId2" xr:uid="{0F1EFFCA-34D3-3346-8A08-51B78077C800}"/>
    <hyperlink ref="D41" r:id="rId3" xr:uid="{33886728-6207-AD4E-B9A7-77B24C20082C}"/>
  </hyperlinks>
  <pageMargins left="0.7" right="0.7" top="0.75" bottom="0.75" header="0.3" footer="0.3"/>
  <pageSetup paperSize="9" orientation="portrait" horizontalDpi="0" verticalDpi="0"/>
  <ignoredErrors>
    <ignoredError sqref="F24 F20:F21 F7 F2 H2:J31" calculatedColumn="1"/>
  </ignoredErrors>
  <tableParts count="1">
    <tablePart r:id="rId4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FA1FE-3EE6-564A-B457-616781A10380}">
  <dimension ref="A1:L41"/>
  <sheetViews>
    <sheetView workbookViewId="0">
      <selection activeCell="D16" sqref="D16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6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2" x14ac:dyDescent="0.2">
      <c r="A1" s="41" t="s">
        <v>0</v>
      </c>
      <c r="B1" s="41" t="s">
        <v>35</v>
      </c>
      <c r="C1" s="42" t="s">
        <v>1</v>
      </c>
      <c r="D1" s="42" t="s">
        <v>2</v>
      </c>
      <c r="E1" s="43" t="s">
        <v>3</v>
      </c>
      <c r="F1" s="43" t="s">
        <v>4</v>
      </c>
      <c r="G1" s="42" t="s">
        <v>5</v>
      </c>
      <c r="H1" s="45" t="s">
        <v>6</v>
      </c>
      <c r="I1" s="43" t="s">
        <v>64</v>
      </c>
      <c r="J1" s="44" t="s">
        <v>63</v>
      </c>
    </row>
    <row r="2" spans="1:12" x14ac:dyDescent="0.2">
      <c r="A2" s="47">
        <v>1</v>
      </c>
      <c r="B2" s="18">
        <v>2</v>
      </c>
      <c r="C2" s="18" t="s">
        <v>7</v>
      </c>
      <c r="D2" s="47" t="s">
        <v>46</v>
      </c>
      <c r="E2" s="12">
        <v>23069</v>
      </c>
      <c r="F2" s="12">
        <f>_xlfn.IFNA(VLOOKUP(D:D,'Week 42 Oct 12 - Oct 18 2020'!D:F,3,FALSE),"")+Table40424347[[#This Row],[Week Sales]]</f>
        <v>5885737</v>
      </c>
      <c r="G2" s="12" t="str">
        <f>(VLOOKUP(D:D,'Week 42 Oct 12 - Oct 18 2020'!D:G,4,FALSE))</f>
        <v>Nintendo</v>
      </c>
      <c r="H2" s="60">
        <f>(VLOOKUP(D:D,'Week 42 Oct 12 - Oct 18 2020'!D:H,5,FALSE))</f>
        <v>43910</v>
      </c>
      <c r="I2" s="55">
        <f>_xlfn.IFNA(SUMIFS('Week 42 Oct 12 - Oct 18 2020'!E:E,'Week 42 Oct 12 - Oct 18 2020'!D:D,'Week 43 Oct 19 - Oct 25 2020'!D:D,'Week 42 Oct 12 - Oct 18 2020'!C:C,'Week 43 Oct 19 - Oct 25 2020'!C:C),"New")</f>
        <v>34547</v>
      </c>
      <c r="J2" s="56">
        <f>IFERROR((E2-I2)/I2,"New")</f>
        <v>-0.33224303123281329</v>
      </c>
    </row>
    <row r="3" spans="1:12" x14ac:dyDescent="0.2">
      <c r="A3" s="47">
        <v>2</v>
      </c>
      <c r="B3" s="18">
        <v>3</v>
      </c>
      <c r="C3" s="18" t="s">
        <v>7</v>
      </c>
      <c r="D3" s="47" t="s">
        <v>45</v>
      </c>
      <c r="E3" s="12">
        <v>21120</v>
      </c>
      <c r="F3" s="12">
        <f>_xlfn.IFNA(VLOOKUP(D:D,'Week 42 Oct 12 - Oct 18 2020'!D:F,3,FALSE),"")+Table40424347[[#This Row],[Week Sales]]</f>
        <v>1717266</v>
      </c>
      <c r="G3" s="12" t="str">
        <f>(VLOOKUP(D:D,'Week 42 Oct 12 - Oct 18 2020'!D:G,4,FALSE))</f>
        <v>Nintendo</v>
      </c>
      <c r="H3" s="60">
        <f>(VLOOKUP(D:D,'Week 42 Oct 12 - Oct 18 2020'!D:H,5,FALSE))</f>
        <v>43756</v>
      </c>
      <c r="I3" s="55">
        <f>_xlfn.IFNA(SUMIFS('Week 42 Oct 12 - Oct 18 2020'!E:E,'Week 42 Oct 12 - Oct 18 2020'!D:D,'Week 43 Oct 19 - Oct 25 2020'!D:D,'Week 42 Oct 12 - Oct 18 2020'!C:C,'Week 43 Oct 19 - Oct 25 2020'!C:C),"New")</f>
        <v>27303</v>
      </c>
      <c r="J3" s="56">
        <f t="shared" ref="J3:J24" si="0">IFERROR((E3-I3)/I3,"New")</f>
        <v>-0.22645863091967916</v>
      </c>
    </row>
    <row r="4" spans="1:12" x14ac:dyDescent="0.2">
      <c r="A4" s="47">
        <v>3</v>
      </c>
      <c r="B4" s="18">
        <v>4</v>
      </c>
      <c r="C4" s="18" t="s">
        <v>7</v>
      </c>
      <c r="D4" s="47" t="s">
        <v>40</v>
      </c>
      <c r="E4" s="12">
        <v>10383</v>
      </c>
      <c r="F4" s="12">
        <f>_xlfn.IFNA(VLOOKUP(D:D,'Week 42 Oct 12 - Oct 18 2020'!D:F,3,FALSE),"")+Table40424347[[#This Row],[Week Sales]]</f>
        <v>355428</v>
      </c>
      <c r="G4" s="12" t="str">
        <f>(VLOOKUP(D:D,'Week 42 Oct 12 - Oct 18 2020'!D:G,4,FALSE))</f>
        <v>Nintendo</v>
      </c>
      <c r="H4" s="60">
        <f>(VLOOKUP(D:D,'Week 42 Oct 12 - Oct 18 2020'!D:H,5,FALSE))</f>
        <v>44092</v>
      </c>
      <c r="I4" s="55">
        <f>_xlfn.IFNA(SUMIFS('Week 42 Oct 12 - Oct 18 2020'!E:E,'Week 42 Oct 12 - Oct 18 2020'!D:D,'Week 43 Oct 19 - Oct 25 2020'!D:D,'Week 42 Oct 12 - Oct 18 2020'!C:C,'Week 43 Oct 19 - Oct 25 2020'!C:C),"New")</f>
        <v>14797</v>
      </c>
      <c r="J4" s="56">
        <f t="shared" si="0"/>
        <v>-0.29830371021152935</v>
      </c>
    </row>
    <row r="5" spans="1:12" x14ac:dyDescent="0.2">
      <c r="A5" s="47">
        <v>4</v>
      </c>
      <c r="B5" s="18">
        <v>5</v>
      </c>
      <c r="C5" s="18" t="s">
        <v>7</v>
      </c>
      <c r="D5" s="47" t="s">
        <v>49</v>
      </c>
      <c r="E5" s="12">
        <v>8802</v>
      </c>
      <c r="F5" s="12">
        <f>_xlfn.IFNA(VLOOKUP(D:D,'Week 42 Oct 12 - Oct 18 2020'!D:F,3,FALSE),"")+Table40424347[[#This Row],[Week Sales]]</f>
        <v>3228948</v>
      </c>
      <c r="G5" s="12" t="str">
        <f>(VLOOKUP(D:D,'Week 42 Oct 12 - Oct 18 2020'!D:G,4,FALSE))</f>
        <v>Nintendo</v>
      </c>
      <c r="H5" s="60">
        <f>(VLOOKUP(D:D,'Week 42 Oct 12 - Oct 18 2020'!D:H,5,FALSE))</f>
        <v>42853</v>
      </c>
      <c r="I5" s="55">
        <f>_xlfn.IFNA(SUMIFS('Week 42 Oct 12 - Oct 18 2020'!E:E,'Week 42 Oct 12 - Oct 18 2020'!D:D,'Week 43 Oct 19 - Oct 25 2020'!D:D,'Week 42 Oct 12 - Oct 18 2020'!C:C,'Week 43 Oct 19 - Oct 25 2020'!C:C),"New")</f>
        <v>10928</v>
      </c>
      <c r="J5" s="56">
        <f t="shared" si="0"/>
        <v>-0.19454612005856514</v>
      </c>
    </row>
    <row r="6" spans="1:12" x14ac:dyDescent="0.2">
      <c r="A6" s="47">
        <v>5</v>
      </c>
      <c r="B6" s="18">
        <v>1</v>
      </c>
      <c r="C6" s="18" t="s">
        <v>7</v>
      </c>
      <c r="D6" s="18" t="s">
        <v>122</v>
      </c>
      <c r="E6" s="12">
        <v>7691</v>
      </c>
      <c r="F6" s="12">
        <f>_xlfn.IFNA(VLOOKUP(D:D,'Week 42 Oct 12 - Oct 18 2020'!D:F,3,FALSE),"")+Table40424347[[#This Row],[Week Sales]]</f>
        <v>81609</v>
      </c>
      <c r="G6" s="12" t="str">
        <f>(VLOOKUP(D:D,'Week 42 Oct 12 - Oct 18 2020'!D:G,4,FALSE))</f>
        <v>Nintendo</v>
      </c>
      <c r="H6" s="60">
        <f>(VLOOKUP(D:D,'Week 42 Oct 12 - Oct 18 2020'!D:H,5,FALSE))</f>
        <v>44120</v>
      </c>
      <c r="I6" s="55">
        <f>_xlfn.IFNA(SUMIFS('Week 42 Oct 12 - Oct 18 2020'!E:E,'Week 42 Oct 12 - Oct 18 2020'!D:D,'Week 43 Oct 19 - Oct 25 2020'!D:D,'Week 42 Oct 12 - Oct 18 2020'!C:C,'Week 43 Oct 19 - Oct 25 2020'!C:C),"New")</f>
        <v>73918</v>
      </c>
      <c r="J6" s="56">
        <f t="shared" si="0"/>
        <v>-0.89595227143591549</v>
      </c>
    </row>
    <row r="7" spans="1:12" x14ac:dyDescent="0.2">
      <c r="A7" s="47">
        <v>6</v>
      </c>
      <c r="B7" s="18">
        <v>8</v>
      </c>
      <c r="C7" s="18" t="s">
        <v>7</v>
      </c>
      <c r="D7" s="47" t="s">
        <v>62</v>
      </c>
      <c r="E7" s="12">
        <v>7088</v>
      </c>
      <c r="F7" s="12">
        <f>_xlfn.IFNA(VLOOKUP(D:D,'Week 42 Oct 12 - Oct 18 2020'!D:F,3,FALSE),"")+Table40424347[[#This Row],[Week Sales]]</f>
        <v>3773724</v>
      </c>
      <c r="G7" s="12" t="str">
        <f>(VLOOKUP(D:D,'Week 42 Oct 12 - Oct 18 2020'!D:G,4,FALSE))</f>
        <v>The Pokemon Company</v>
      </c>
      <c r="H7" s="60">
        <f>(VLOOKUP(D:D,'Week 42 Oct 12 - Oct 18 2020'!D:H,5,FALSE))</f>
        <v>43784</v>
      </c>
      <c r="I7" s="55">
        <f>_xlfn.IFNA(SUMIFS('Week 42 Oct 12 - Oct 18 2020'!E:E,'Week 42 Oct 12 - Oct 18 2020'!D:D,'Week 43 Oct 19 - Oct 25 2020'!D:D,'Week 42 Oct 12 - Oct 18 2020'!C:C,'Week 43 Oct 19 - Oct 25 2020'!C:C),"New")</f>
        <v>6720</v>
      </c>
      <c r="J7" s="56">
        <f t="shared" si="0"/>
        <v>5.4761904761904762E-2</v>
      </c>
      <c r="L7" t="s">
        <v>131</v>
      </c>
    </row>
    <row r="8" spans="1:12" x14ac:dyDescent="0.2">
      <c r="A8" s="47">
        <v>7</v>
      </c>
      <c r="B8" s="18">
        <v>9</v>
      </c>
      <c r="C8" s="18" t="s">
        <v>7</v>
      </c>
      <c r="D8" s="47" t="s">
        <v>12</v>
      </c>
      <c r="E8" s="12">
        <v>5863</v>
      </c>
      <c r="F8" s="12">
        <f>_xlfn.IFNA(VLOOKUP(D:D,'Week 42 Oct 12 - Oct 18 2020'!D:F,3,FALSE),"")+Table40424347[[#This Row],[Week Sales]]</f>
        <v>1537361</v>
      </c>
      <c r="G8" s="12" t="str">
        <f>(VLOOKUP(D:D,'Week 42 Oct 12 - Oct 18 2020'!D:G,4,FALSE))</f>
        <v>Microsoft</v>
      </c>
      <c r="H8" s="60">
        <f>(VLOOKUP(D:D,'Week 42 Oct 12 - Oct 18 2020'!D:H,5,FALSE))</f>
        <v>43272</v>
      </c>
      <c r="I8" s="55">
        <f>_xlfn.IFNA(SUMIFS('Week 42 Oct 12 - Oct 18 2020'!E:E,'Week 42 Oct 12 - Oct 18 2020'!D:D,'Week 43 Oct 19 - Oct 25 2020'!D:D,'Week 42 Oct 12 - Oct 18 2020'!C:C,'Week 43 Oct 19 - Oct 25 2020'!C:C),"New")</f>
        <v>6471</v>
      </c>
      <c r="J8" s="56">
        <f t="shared" si="0"/>
        <v>-9.3957657239993816E-2</v>
      </c>
    </row>
    <row r="9" spans="1:12" x14ac:dyDescent="0.2">
      <c r="A9" s="47">
        <v>8</v>
      </c>
      <c r="B9" s="18">
        <v>10</v>
      </c>
      <c r="C9" s="18" t="s">
        <v>7</v>
      </c>
      <c r="D9" s="47" t="s">
        <v>52</v>
      </c>
      <c r="E9" s="12">
        <v>4736</v>
      </c>
      <c r="F9" s="12">
        <f>_xlfn.IFNA(VLOOKUP(D:D,'Week 42 Oct 12 - Oct 18 2020'!D:F,3,FALSE),"")+Table40424347[[#This Row],[Week Sales]]</f>
        <v>3860637</v>
      </c>
      <c r="G9" s="12" t="str">
        <f>(VLOOKUP(D:D,'Week 42 Oct 12 - Oct 18 2020'!D:G,4,FALSE))</f>
        <v>Nintendo</v>
      </c>
      <c r="H9" s="60">
        <f>(VLOOKUP(D:D,'Week 42 Oct 12 - Oct 18 2020'!D:H,5,FALSE))</f>
        <v>43441</v>
      </c>
      <c r="I9" s="55">
        <f>_xlfn.IFNA(SUMIFS('Week 42 Oct 12 - Oct 18 2020'!E:E,'Week 42 Oct 12 - Oct 18 2020'!D:D,'Week 43 Oct 19 - Oct 25 2020'!D:D,'Week 42 Oct 12 - Oct 18 2020'!C:C,'Week 43 Oct 19 - Oct 25 2020'!C:C),"New")</f>
        <v>6301</v>
      </c>
      <c r="J9" s="56">
        <f t="shared" si="0"/>
        <v>-0.24837327408347881</v>
      </c>
    </row>
    <row r="10" spans="1:12" x14ac:dyDescent="0.2">
      <c r="A10" s="47">
        <v>9</v>
      </c>
      <c r="B10" s="18">
        <v>12</v>
      </c>
      <c r="C10" s="18" t="s">
        <v>7</v>
      </c>
      <c r="D10" s="47" t="s">
        <v>50</v>
      </c>
      <c r="E10" s="12">
        <v>4051</v>
      </c>
      <c r="F10" s="12">
        <f>_xlfn.IFNA(VLOOKUP(D:D,'Week 42 Oct 12 - Oct 18 2020'!D:F,3,FALSE),"")+Table40424347[[#This Row],[Week Sales]]</f>
        <v>411984</v>
      </c>
      <c r="G10" s="12" t="str">
        <f>(VLOOKUP(D:D,'Week 42 Oct 12 - Oct 18 2020'!D:G,4,FALSE))</f>
        <v>Nintendo</v>
      </c>
      <c r="H10" s="60">
        <f>(VLOOKUP(D:D,'Week 42 Oct 12 - Oct 18 2020'!D:H,5,FALSE))</f>
        <v>43987</v>
      </c>
      <c r="I10" s="55">
        <f>_xlfn.IFNA(SUMIFS('Week 42 Oct 12 - Oct 18 2020'!E:E,'Week 42 Oct 12 - Oct 18 2020'!D:D,'Week 43 Oct 19 - Oct 25 2020'!D:D,'Week 42 Oct 12 - Oct 18 2020'!C:C,'Week 43 Oct 19 - Oct 25 2020'!C:C),"New")</f>
        <v>4668</v>
      </c>
      <c r="J10" s="56">
        <f t="shared" si="0"/>
        <v>-0.13217652099400171</v>
      </c>
    </row>
    <row r="11" spans="1:12" x14ac:dyDescent="0.2">
      <c r="A11" s="47">
        <v>10</v>
      </c>
      <c r="B11" s="18">
        <v>11</v>
      </c>
      <c r="C11" s="18" t="s">
        <v>7</v>
      </c>
      <c r="D11" s="47" t="s">
        <v>13</v>
      </c>
      <c r="E11" s="12">
        <v>3739</v>
      </c>
      <c r="F11" s="12">
        <f>_xlfn.IFNA(VLOOKUP(D:D,'Week 42 Oct 12 - Oct 18 2020'!D:F,3,FALSE),"")+Table40424347[[#This Row],[Week Sales]]</f>
        <v>1580887</v>
      </c>
      <c r="G11" s="12" t="str">
        <f>(VLOOKUP(D:D,'Week 42 Oct 12 - Oct 18 2020'!D:G,4,FALSE))</f>
        <v>Nintendo</v>
      </c>
      <c r="H11" s="60">
        <f>(VLOOKUP(D:D,'Week 42 Oct 12 - Oct 18 2020'!D:H,5,FALSE))</f>
        <v>43378</v>
      </c>
      <c r="I11" s="55">
        <f>_xlfn.IFNA(SUMIFS('Week 42 Oct 12 - Oct 18 2020'!E:E,'Week 42 Oct 12 - Oct 18 2020'!D:D,'Week 43 Oct 19 - Oct 25 2020'!D:D,'Week 42 Oct 12 - Oct 18 2020'!C:C,'Week 43 Oct 19 - Oct 25 2020'!C:C),"New")</f>
        <v>5140</v>
      </c>
      <c r="J11" s="56">
        <f t="shared" si="0"/>
        <v>-0.27256809338521398</v>
      </c>
    </row>
    <row r="12" spans="1:12" x14ac:dyDescent="0.2">
      <c r="A12" s="47">
        <v>11</v>
      </c>
      <c r="B12" s="18">
        <v>13</v>
      </c>
      <c r="C12" s="18" t="s">
        <v>7</v>
      </c>
      <c r="D12" s="47" t="s">
        <v>10</v>
      </c>
      <c r="E12" s="12">
        <v>3651</v>
      </c>
      <c r="F12" s="12">
        <f>_xlfn.IFNA(VLOOKUP(D:D,'Week 42 Oct 12 - Oct 18 2020'!D:F,3,FALSE),"")+Table40424347[[#This Row],[Week Sales]]</f>
        <v>3588148</v>
      </c>
      <c r="G12" s="12" t="str">
        <f>(VLOOKUP(D:D,'Week 42 Oct 12 - Oct 18 2020'!D:G,4,FALSE))</f>
        <v>Nintendo</v>
      </c>
      <c r="H12" s="60">
        <f>(VLOOKUP(D:D,'Week 42 Oct 12 - Oct 18 2020'!D:H,5,FALSE))</f>
        <v>42937</v>
      </c>
      <c r="I12" s="55">
        <f>_xlfn.IFNA(SUMIFS('Week 42 Oct 12 - Oct 18 2020'!E:E,'Week 42 Oct 12 - Oct 18 2020'!D:D,'Week 43 Oct 19 - Oct 25 2020'!D:D,'Week 42 Oct 12 - Oct 18 2020'!C:C,'Week 43 Oct 19 - Oct 25 2020'!C:C),"New")</f>
        <v>4418</v>
      </c>
      <c r="J12" s="56">
        <f t="shared" si="0"/>
        <v>-0.1736079674060661</v>
      </c>
    </row>
    <row r="13" spans="1:12" x14ac:dyDescent="0.2">
      <c r="A13" s="47">
        <v>12</v>
      </c>
      <c r="B13" s="18">
        <v>7</v>
      </c>
      <c r="C13" s="18" t="s">
        <v>8</v>
      </c>
      <c r="D13" s="47" t="s">
        <v>115</v>
      </c>
      <c r="E13" s="12">
        <v>3382</v>
      </c>
      <c r="F13" s="12">
        <f>_xlfn.IFNA(VLOOKUP(D:D,'Week 42 Oct 12 - Oct 18 2020'!D:F,3,FALSE),"")+Table40424347[[#This Row],[Week Sales]]</f>
        <v>49645</v>
      </c>
      <c r="G13" s="12" t="str">
        <f>(VLOOKUP(D:D,'Week 42 Oct 12 - Oct 18 2020'!D:G,4,FALSE))</f>
        <v>Electronic Arts</v>
      </c>
      <c r="H13" s="60">
        <f>(VLOOKUP(D:D,'Week 42 Oct 12 - Oct 18 2020'!D:H,5,FALSE))</f>
        <v>44113</v>
      </c>
      <c r="I13" s="55">
        <f>_xlfn.IFNA(SUMIFS('Week 42 Oct 12 - Oct 18 2020'!E:E,'Week 42 Oct 12 - Oct 18 2020'!D:D,'Week 43 Oct 19 - Oct 25 2020'!D:D,'Week 42 Oct 12 - Oct 18 2020'!C:C,'Week 43 Oct 19 - Oct 25 2020'!C:C),"New")</f>
        <v>7111</v>
      </c>
      <c r="J13" s="56">
        <f t="shared" si="0"/>
        <v>-0.5243988187315427</v>
      </c>
    </row>
    <row r="14" spans="1:12" x14ac:dyDescent="0.2">
      <c r="A14" s="47">
        <v>13</v>
      </c>
      <c r="B14" s="18">
        <v>15</v>
      </c>
      <c r="C14" s="18" t="s">
        <v>7</v>
      </c>
      <c r="D14" s="47" t="s">
        <v>39</v>
      </c>
      <c r="E14" s="12">
        <v>3051</v>
      </c>
      <c r="F14" s="12">
        <f>_xlfn.IFNA(VLOOKUP(D:D,'Week 42 Oct 12 - Oct 18 2020'!D:F,3,FALSE),"")+Table40424347[[#This Row],[Week Sales]]</f>
        <v>1669679</v>
      </c>
      <c r="G14" s="12" t="str">
        <f>(VLOOKUP(D:D,'Week 42 Oct 12 - Oct 18 2020'!D:G,4,FALSE))</f>
        <v>Nintendo</v>
      </c>
      <c r="H14" s="60">
        <f>(VLOOKUP(D:D,'Week 42 Oct 12 - Oct 18 2020'!D:H,5,FALSE))</f>
        <v>42797</v>
      </c>
      <c r="I14" s="55">
        <f>_xlfn.IFNA(SUMIFS('Week 42 Oct 12 - Oct 18 2020'!E:E,'Week 42 Oct 12 - Oct 18 2020'!D:D,'Week 43 Oct 19 - Oct 25 2020'!D:D,'Week 42 Oct 12 - Oct 18 2020'!C:C,'Week 43 Oct 19 - Oct 25 2020'!C:C),"New")</f>
        <v>3662</v>
      </c>
      <c r="J14" s="56">
        <f t="shared" si="0"/>
        <v>-0.16684871654833425</v>
      </c>
    </row>
    <row r="15" spans="1:12" x14ac:dyDescent="0.2">
      <c r="A15" s="47">
        <v>14</v>
      </c>
      <c r="B15" s="18">
        <v>16</v>
      </c>
      <c r="C15" s="18" t="s">
        <v>7</v>
      </c>
      <c r="D15" s="47" t="s">
        <v>17</v>
      </c>
      <c r="E15" s="12">
        <v>2630</v>
      </c>
      <c r="F15" s="12">
        <f>_xlfn.IFNA(VLOOKUP(D:D,'Week 42 Oct 12 - Oct 18 2020'!D:F,3,FALSE),"")+Table40424347[[#This Row],[Week Sales]]</f>
        <v>916355</v>
      </c>
      <c r="G15" s="12" t="str">
        <f>(VLOOKUP(D:D,'Week 42 Oct 12 - Oct 18 2020'!D:G,4,FALSE))</f>
        <v>Nintendo</v>
      </c>
      <c r="H15" s="60">
        <f>(VLOOKUP(D:D,'Week 42 Oct 12 - Oct 18 2020'!D:H,5,FALSE))</f>
        <v>43476</v>
      </c>
      <c r="I15" s="55">
        <f>_xlfn.IFNA(SUMIFS('Week 42 Oct 12 - Oct 18 2020'!E:E,'Week 42 Oct 12 - Oct 18 2020'!D:D,'Week 43 Oct 19 - Oct 25 2020'!D:D,'Week 42 Oct 12 - Oct 18 2020'!C:C,'Week 43 Oct 19 - Oct 25 2020'!C:C),"New")</f>
        <v>3314</v>
      </c>
      <c r="J15" s="56">
        <f t="shared" si="0"/>
        <v>-0.20639710319855159</v>
      </c>
    </row>
    <row r="16" spans="1:12" x14ac:dyDescent="0.2">
      <c r="A16" s="47">
        <v>15</v>
      </c>
      <c r="B16" s="18">
        <v>17</v>
      </c>
      <c r="C16" s="18" t="s">
        <v>7</v>
      </c>
      <c r="D16" s="47" t="s">
        <v>58</v>
      </c>
      <c r="E16" s="12">
        <v>2590</v>
      </c>
      <c r="F16" s="12">
        <f>_xlfn.IFNA(VLOOKUP(D:D,'Week 42 Oct 12 - Oct 18 2020'!D:F,3,FALSE),"")+Table40424347[[#This Row],[Week Sales]]</f>
        <v>36857</v>
      </c>
      <c r="G16" s="12" t="str">
        <f>(VLOOKUP(D:D,'Week 42 Oct 12 - Oct 18 2020'!D:G,4,FALSE))</f>
        <v>Microsoft</v>
      </c>
      <c r="H16" s="60">
        <f>(VLOOKUP(D:D,'Week 42 Oct 12 - Oct 18 2020'!D:H,5,FALSE))</f>
        <v>44082</v>
      </c>
      <c r="I16" s="55">
        <f>_xlfn.IFNA(SUMIFS('Week 42 Oct 12 - Oct 18 2020'!E:E,'Week 42 Oct 12 - Oct 18 2020'!D:D,'Week 43 Oct 19 - Oct 25 2020'!D:D,'Week 42 Oct 12 - Oct 18 2020'!C:C,'Week 43 Oct 19 - Oct 25 2020'!C:C),"New")</f>
        <v>3159</v>
      </c>
      <c r="J16" s="56">
        <f t="shared" si="0"/>
        <v>-0.18012029123140233</v>
      </c>
    </row>
    <row r="17" spans="1:10" x14ac:dyDescent="0.2">
      <c r="A17" s="47">
        <v>16</v>
      </c>
      <c r="B17" s="18">
        <v>24</v>
      </c>
      <c r="C17" s="18" t="s">
        <v>8</v>
      </c>
      <c r="D17" s="47" t="s">
        <v>11</v>
      </c>
      <c r="E17" s="12">
        <v>2569</v>
      </c>
      <c r="F17" s="12">
        <f>_xlfn.IFNA(VLOOKUP(D:D,'Week 42 Oct 12 - Oct 18 2020'!D:F,3,FALSE),"")+Table40424347[[#This Row],[Week Sales]]</f>
        <v>408312</v>
      </c>
      <c r="G17" s="12" t="str">
        <f>(VLOOKUP(D:D,'Week 42 Oct 12 - Oct 18 2020'!D:G,4,FALSE))</f>
        <v>Sony</v>
      </c>
      <c r="H17" s="60">
        <f>(VLOOKUP(D:D,'Week 42 Oct 12 - Oct 18 2020'!D:H,5,FALSE))</f>
        <v>44029</v>
      </c>
      <c r="I17" s="55">
        <f>_xlfn.IFNA(SUMIFS('Week 42 Oct 12 - Oct 18 2020'!E:E,'Week 42 Oct 12 - Oct 18 2020'!D:D,'Week 43 Oct 19 - Oct 25 2020'!D:D,'Week 42 Oct 12 - Oct 18 2020'!C:C,'Week 43 Oct 19 - Oct 25 2020'!C:C),"New")</f>
        <v>2101</v>
      </c>
      <c r="J17" s="56">
        <f t="shared" si="0"/>
        <v>0.22275107091861018</v>
      </c>
    </row>
    <row r="18" spans="1:10" x14ac:dyDescent="0.2">
      <c r="A18" s="47">
        <v>17</v>
      </c>
      <c r="B18" s="18">
        <v>14</v>
      </c>
      <c r="C18" s="18" t="s">
        <v>7</v>
      </c>
      <c r="D18" s="47" t="s">
        <v>114</v>
      </c>
      <c r="E18" s="12">
        <v>2403</v>
      </c>
      <c r="F18" s="12">
        <f>_xlfn.IFNA(VLOOKUP(D:D,'Week 42 Oct 12 - Oct 18 2020'!D:F,3,FALSE),"")+Table40424347[[#This Row],[Week Sales]]</f>
        <v>18671</v>
      </c>
      <c r="G18" s="12" t="str">
        <f>(VLOOKUP(D:D,'Week 42 Oct 12 - Oct 18 2020'!D:G,4,FALSE))</f>
        <v>Electronic Arts</v>
      </c>
      <c r="H18" s="60">
        <f>(VLOOKUP(D:D,'Week 42 Oct 12 - Oct 18 2020'!D:H,5,FALSE))</f>
        <v>44113</v>
      </c>
      <c r="I18" s="55">
        <f>_xlfn.IFNA(SUMIFS('Week 42 Oct 12 - Oct 18 2020'!E:E,'Week 42 Oct 12 - Oct 18 2020'!D:D,'Week 43 Oct 19 - Oct 25 2020'!D:D,'Week 42 Oct 12 - Oct 18 2020'!C:C,'Week 43 Oct 19 - Oct 25 2020'!C:C),"New")</f>
        <v>4278</v>
      </c>
      <c r="J18" s="56">
        <f t="shared" si="0"/>
        <v>-0.43828892005610098</v>
      </c>
    </row>
    <row r="19" spans="1:10" x14ac:dyDescent="0.2">
      <c r="A19" s="47">
        <v>18</v>
      </c>
      <c r="B19" s="18">
        <v>18</v>
      </c>
      <c r="C19" s="18" t="s">
        <v>8</v>
      </c>
      <c r="D19" s="47" t="s">
        <v>47</v>
      </c>
      <c r="E19" s="12">
        <v>2255</v>
      </c>
      <c r="F19" s="12">
        <f>_xlfn.IFNA(VLOOKUP(D:D,'Week 42 Oct 12 - Oct 18 2020'!D:F,3,FALSE),"")+Table40424347[[#This Row],[Week Sales]]</f>
        <v>50939</v>
      </c>
      <c r="G19" s="12" t="str">
        <f>(VLOOKUP(D:D,'Week 42 Oct 12 - Oct 18 2020'!D:G,4,FALSE))</f>
        <v>Konami</v>
      </c>
      <c r="H19" s="60">
        <f>(VLOOKUP(D:D,'Week 42 Oct 12 - Oct 18 2020'!D:H,5,FALSE))</f>
        <v>44091</v>
      </c>
      <c r="I19" s="55">
        <f>_xlfn.IFNA(SUMIFS('Week 42 Oct 12 - Oct 18 2020'!E:E,'Week 42 Oct 12 - Oct 18 2020'!D:D,'Week 43 Oct 19 - Oct 25 2020'!D:D,'Week 42 Oct 12 - Oct 18 2020'!C:C,'Week 43 Oct 19 - Oct 25 2020'!C:C),"New")</f>
        <v>3043</v>
      </c>
      <c r="J19" s="56">
        <f t="shared" si="0"/>
        <v>-0.25895497863950051</v>
      </c>
    </row>
    <row r="20" spans="1:10" x14ac:dyDescent="0.2">
      <c r="A20" s="47">
        <v>19</v>
      </c>
      <c r="B20" s="18">
        <v>21</v>
      </c>
      <c r="C20" s="18" t="s">
        <v>7</v>
      </c>
      <c r="D20" s="47" t="s">
        <v>16</v>
      </c>
      <c r="E20" s="12">
        <v>1969</v>
      </c>
      <c r="F20" s="12">
        <f>_xlfn.IFNA(VLOOKUP(D:D,'Week 42 Oct 12 - Oct 18 2020'!D:F,3,FALSE),"")+Table40424347[[#This Row],[Week Sales]]</f>
        <v>311871</v>
      </c>
      <c r="G20" s="12" t="str">
        <f>(VLOOKUP(D:D,'Week 42 Oct 12 - Oct 18 2020'!D:G,4,FALSE))</f>
        <v>Nintendo</v>
      </c>
      <c r="H20" s="60">
        <f>(VLOOKUP(D:D,'Week 42 Oct 12 - Oct 18 2020'!D:H,5,FALSE))</f>
        <v>43826</v>
      </c>
      <c r="I20" s="55">
        <f>_xlfn.IFNA(SUMIFS('Week 42 Oct 12 - Oct 18 2020'!E:E,'Week 42 Oct 12 - Oct 18 2020'!D:D,'Week 43 Oct 19 - Oct 25 2020'!D:D,'Week 42 Oct 12 - Oct 18 2020'!C:C,'Week 43 Oct 19 - Oct 25 2020'!C:C),"New")</f>
        <v>2387</v>
      </c>
      <c r="J20" s="56">
        <f t="shared" si="0"/>
        <v>-0.17511520737327188</v>
      </c>
    </row>
    <row r="21" spans="1:10" x14ac:dyDescent="0.2">
      <c r="A21" s="47">
        <v>20</v>
      </c>
      <c r="B21" s="18">
        <v>22</v>
      </c>
      <c r="C21" s="18" t="s">
        <v>7</v>
      </c>
      <c r="D21" s="47" t="s">
        <v>19</v>
      </c>
      <c r="E21" s="12">
        <v>1836</v>
      </c>
      <c r="F21" s="12">
        <f>_xlfn.IFNA(VLOOKUP(D:D,'Week 42 Oct 12 - Oct 18 2020'!D:F,3,FALSE),"")+Table40424347[[#This Row],[Week Sales]]</f>
        <v>978391</v>
      </c>
      <c r="G21" s="12" t="str">
        <f>(VLOOKUP(D:D,'Week 42 Oct 12 - Oct 18 2020'!D:G,4,FALSE))</f>
        <v>Nintendo</v>
      </c>
      <c r="H21" s="60">
        <f>(VLOOKUP(D:D,'Week 42 Oct 12 - Oct 18 2020'!D:H,5,FALSE))</f>
        <v>43644</v>
      </c>
      <c r="I21" s="55">
        <f>_xlfn.IFNA(SUMIFS('Week 42 Oct 12 - Oct 18 2020'!E:E,'Week 42 Oct 12 - Oct 18 2020'!D:D,'Week 43 Oct 19 - Oct 25 2020'!D:D,'Week 42 Oct 12 - Oct 18 2020'!C:C,'Week 43 Oct 19 - Oct 25 2020'!C:C),"New")</f>
        <v>2314</v>
      </c>
      <c r="J21" s="56">
        <f t="shared" si="0"/>
        <v>-0.20656871218668971</v>
      </c>
    </row>
    <row r="22" spans="1:10" x14ac:dyDescent="0.2">
      <c r="A22" s="47">
        <v>21</v>
      </c>
      <c r="B22" s="18">
        <v>26</v>
      </c>
      <c r="C22" s="18" t="s">
        <v>7</v>
      </c>
      <c r="D22" s="47" t="s">
        <v>56</v>
      </c>
      <c r="E22" s="12">
        <v>1778</v>
      </c>
      <c r="F22" s="12">
        <f>_xlfn.IFNA(VLOOKUP(D:D,'Week 42 Oct 12 - Oct 18 2020'!D:F,3,FALSE),"")+Table40424347[[#This Row],[Week Sales]]</f>
        <v>43943</v>
      </c>
      <c r="G22" s="12" t="str">
        <f>(VLOOKUP(D:D,'Week 42 Oct 12 - Oct 18 2020'!D:G,4,FALSE))</f>
        <v>Teyon Japan</v>
      </c>
      <c r="H22" s="60">
        <f>(VLOOKUP(D:D,'Week 42 Oct 12 - Oct 18 2020'!D:H,5,FALSE))</f>
        <v>44007</v>
      </c>
      <c r="I22" s="55">
        <f>_xlfn.IFNA(SUMIFS('Week 42 Oct 12 - Oct 18 2020'!E:E,'Week 42 Oct 12 - Oct 18 2020'!D:D,'Week 43 Oct 19 - Oct 25 2020'!D:D,'Week 42 Oct 12 - Oct 18 2020'!C:C,'Week 43 Oct 19 - Oct 25 2020'!C:C),"New")</f>
        <v>2059</v>
      </c>
      <c r="J22" s="56">
        <f t="shared" si="0"/>
        <v>-0.13647401651287033</v>
      </c>
    </row>
    <row r="23" spans="1:10" x14ac:dyDescent="0.2">
      <c r="A23" s="47">
        <v>22</v>
      </c>
      <c r="B23" s="18">
        <v>27</v>
      </c>
      <c r="C23" s="18" t="s">
        <v>7</v>
      </c>
      <c r="D23" s="47" t="s">
        <v>15</v>
      </c>
      <c r="E23" s="12">
        <v>1630</v>
      </c>
      <c r="F23" s="12">
        <f>_xlfn.IFNA(VLOOKUP(D:D,'Week 42 Oct 12 - Oct 18 2020'!D:F,3,FALSE),"")+Table40424347[[#This Row],[Week Sales]]</f>
        <v>266041</v>
      </c>
      <c r="G23" s="12" t="str">
        <f>(VLOOKUP(D:D,'Week 42 Oct 12 - Oct 18 2020'!D:G,4,FALSE))</f>
        <v>Nintendo</v>
      </c>
      <c r="H23" s="60">
        <f>(VLOOKUP(D:D,'Week 42 Oct 12 - Oct 18 2020'!D:H,5,FALSE))</f>
        <v>44029</v>
      </c>
      <c r="I23" s="55">
        <f>_xlfn.IFNA(SUMIFS('Week 42 Oct 12 - Oct 18 2020'!E:E,'Week 42 Oct 12 - Oct 18 2020'!D:D,'Week 43 Oct 19 - Oct 25 2020'!D:D,'Week 42 Oct 12 - Oct 18 2020'!C:C,'Week 43 Oct 19 - Oct 25 2020'!C:C),"New")</f>
        <v>2041</v>
      </c>
      <c r="J23" s="56">
        <f t="shared" si="0"/>
        <v>-0.20137187653111219</v>
      </c>
    </row>
    <row r="24" spans="1:10" x14ac:dyDescent="0.2">
      <c r="A24" s="47">
        <v>23</v>
      </c>
      <c r="B24" s="18">
        <v>25</v>
      </c>
      <c r="C24" s="18" t="s">
        <v>7</v>
      </c>
      <c r="D24" s="47" t="s">
        <v>26</v>
      </c>
      <c r="E24" s="12">
        <v>1605</v>
      </c>
      <c r="F24" s="12">
        <f>_xlfn.IFNA(VLOOKUP(D:D,'Week 42 Oct 12 - Oct 18 2020'!D:F,3,FALSE),"")+Table40424347[[#This Row],[Week Sales]]</f>
        <v>2136484</v>
      </c>
      <c r="G24" s="12" t="str">
        <f>(VLOOKUP(D:D,'Week 42 Oct 12 - Oct 18 2020'!D:G,4,FALSE))</f>
        <v>Nintendo</v>
      </c>
      <c r="H24" s="60">
        <f>(VLOOKUP(D:D,'Week 42 Oct 12 - Oct 18 2020'!D:H,5,FALSE))</f>
        <v>43035</v>
      </c>
      <c r="I24" s="55">
        <f>_xlfn.IFNA(SUMIFS('Week 42 Oct 12 - Oct 18 2020'!E:E,'Week 42 Oct 12 - Oct 18 2020'!D:D,'Week 43 Oct 19 - Oct 25 2020'!D:D,'Week 42 Oct 12 - Oct 18 2020'!C:C,'Week 43 Oct 19 - Oct 25 2020'!C:C),"New")</f>
        <v>2086</v>
      </c>
      <c r="J24" s="56">
        <f t="shared" si="0"/>
        <v>-0.23058485139022053</v>
      </c>
    </row>
    <row r="25" spans="1:10" x14ac:dyDescent="0.2">
      <c r="A25" s="46">
        <v>24</v>
      </c>
      <c r="B25" s="9" t="s">
        <v>36</v>
      </c>
      <c r="C25" s="9" t="s">
        <v>7</v>
      </c>
      <c r="D25" s="9" t="s">
        <v>128</v>
      </c>
      <c r="E25" s="10">
        <v>1539</v>
      </c>
      <c r="F25" s="10">
        <v>1539</v>
      </c>
      <c r="G25" s="10" t="s">
        <v>130</v>
      </c>
      <c r="H25" s="72">
        <v>44126</v>
      </c>
      <c r="I25" s="73" t="s">
        <v>36</v>
      </c>
      <c r="J25" s="90" t="str">
        <f>IFERROR((E25-I25)/I25,"New")</f>
        <v>New</v>
      </c>
    </row>
    <row r="26" spans="1:10" x14ac:dyDescent="0.2">
      <c r="A26" s="47">
        <v>25</v>
      </c>
      <c r="B26" s="18">
        <v>29</v>
      </c>
      <c r="C26" s="18" t="s">
        <v>7</v>
      </c>
      <c r="D26" s="47" t="s">
        <v>20</v>
      </c>
      <c r="E26" s="12">
        <v>1537</v>
      </c>
      <c r="F26" s="12">
        <f>_xlfn.IFNA(VLOOKUP(D:D,'Week 42 Oct 12 - Oct 18 2020'!D:F,3,FALSE),"")+Table40424347[[#This Row],[Week Sales]]</f>
        <v>500493</v>
      </c>
      <c r="G26" s="12" t="str">
        <f>(VLOOKUP(D:D,'Week 42 Oct 12 - Oct 18 2020'!D:G,4,FALSE))</f>
        <v>Bandai Namco</v>
      </c>
      <c r="H26" s="60">
        <f>(VLOOKUP(D:D,'Week 42 Oct 12 - Oct 18 2020'!D:H,5,FALSE))</f>
        <v>43671</v>
      </c>
      <c r="I26" s="55">
        <f>_xlfn.IFNA(SUMIFS('Week 42 Oct 12 - Oct 18 2020'!E:E,'Week 42 Oct 12 - Oct 18 2020'!D:D,'Week 43 Oct 19 - Oct 25 2020'!D:D,'Week 42 Oct 12 - Oct 18 2020'!C:C,'Week 43 Oct 19 - Oct 25 2020'!C:C),"New")</f>
        <v>1786</v>
      </c>
      <c r="J26" s="56">
        <f t="shared" ref="J26:J31" si="1">(E26-I26)/I26</f>
        <v>-0.13941769316909294</v>
      </c>
    </row>
    <row r="27" spans="1:10" x14ac:dyDescent="0.2">
      <c r="A27" s="47">
        <v>26</v>
      </c>
      <c r="B27" s="18">
        <v>28</v>
      </c>
      <c r="C27" s="18" t="s">
        <v>7</v>
      </c>
      <c r="D27" s="47" t="s">
        <v>14</v>
      </c>
      <c r="E27" s="12">
        <v>1475</v>
      </c>
      <c r="F27" s="12">
        <f>_xlfn.IFNA(VLOOKUP(D:D,'Week 42 Oct 12 - Oct 18 2020'!D:F,3,FALSE),"")+Table40424347[[#This Row],[Week Sales]]</f>
        <v>237550</v>
      </c>
      <c r="G27" s="12" t="str">
        <f>(VLOOKUP(D:D,'Week 42 Oct 12 - Oct 18 2020'!D:G,4,FALSE))</f>
        <v>Konami</v>
      </c>
      <c r="H27" s="60">
        <f>(VLOOKUP(D:D,'Week 42 Oct 12 - Oct 18 2020'!D:H,5,FALSE))</f>
        <v>44021</v>
      </c>
      <c r="I27" s="55">
        <f>_xlfn.IFNA(SUMIFS('Week 42 Oct 12 - Oct 18 2020'!E:E,'Week 42 Oct 12 - Oct 18 2020'!D:D,'Week 43 Oct 19 - Oct 25 2020'!D:D,'Week 42 Oct 12 - Oct 18 2020'!C:C,'Week 43 Oct 19 - Oct 25 2020'!C:C),"New")</f>
        <v>2019</v>
      </c>
      <c r="J27" s="56">
        <f t="shared" si="1"/>
        <v>-0.26944031698860821</v>
      </c>
    </row>
    <row r="28" spans="1:10" x14ac:dyDescent="0.2">
      <c r="A28" s="52">
        <v>27</v>
      </c>
      <c r="B28" s="31" t="s">
        <v>53</v>
      </c>
      <c r="C28" s="31" t="s">
        <v>7</v>
      </c>
      <c r="D28" s="31" t="s">
        <v>129</v>
      </c>
      <c r="E28" s="33">
        <v>1421</v>
      </c>
      <c r="F28" s="33">
        <v>102216</v>
      </c>
      <c r="G28" s="33" t="s">
        <v>121</v>
      </c>
      <c r="H28" s="74">
        <v>43419</v>
      </c>
      <c r="I28" s="75"/>
      <c r="J28" s="76"/>
    </row>
    <row r="29" spans="1:10" x14ac:dyDescent="0.2">
      <c r="A29" s="52">
        <v>28</v>
      </c>
      <c r="B29" s="31" t="s">
        <v>53</v>
      </c>
      <c r="C29" s="31" t="s">
        <v>7</v>
      </c>
      <c r="D29" s="52" t="s">
        <v>25</v>
      </c>
      <c r="E29" s="33">
        <v>1391</v>
      </c>
      <c r="F29" s="33">
        <v>522289</v>
      </c>
      <c r="G29" s="33" t="s">
        <v>34</v>
      </c>
      <c r="H29" s="74">
        <v>43300</v>
      </c>
      <c r="I29" s="75">
        <v>1487</v>
      </c>
      <c r="J29" s="76">
        <f t="shared" si="1"/>
        <v>-6.4559515803631479E-2</v>
      </c>
    </row>
    <row r="30" spans="1:10" x14ac:dyDescent="0.2">
      <c r="A30" s="52">
        <v>29</v>
      </c>
      <c r="B30" s="31" t="s">
        <v>53</v>
      </c>
      <c r="C30" s="31" t="s">
        <v>7</v>
      </c>
      <c r="D30" s="31" t="s">
        <v>79</v>
      </c>
      <c r="E30" s="33">
        <v>1257</v>
      </c>
      <c r="F30" s="33">
        <v>693048</v>
      </c>
      <c r="G30" s="33" t="s">
        <v>9</v>
      </c>
      <c r="H30" s="74">
        <v>43769</v>
      </c>
      <c r="I30" s="75">
        <v>1395</v>
      </c>
      <c r="J30" s="76">
        <f t="shared" si="1"/>
        <v>-9.8924731182795697E-2</v>
      </c>
    </row>
    <row r="31" spans="1:10" x14ac:dyDescent="0.2">
      <c r="A31" s="69">
        <v>30</v>
      </c>
      <c r="B31" s="18">
        <v>30</v>
      </c>
      <c r="C31" s="18" t="s">
        <v>8</v>
      </c>
      <c r="D31" s="47" t="s">
        <v>54</v>
      </c>
      <c r="E31" s="12">
        <v>1080</v>
      </c>
      <c r="F31" s="12">
        <f>_xlfn.IFNA(VLOOKUP(D:D,'Week 42 Oct 12 - Oct 18 2020'!D:F,3,FALSE),"")+Table40424347[[#This Row],[Week Sales]]</f>
        <v>64255</v>
      </c>
      <c r="G31" s="12" t="str">
        <f>(VLOOKUP(D:D,'Week 42 Oct 12 - Oct 18 2020'!D:G,4,FALSE))</f>
        <v>Square Enix</v>
      </c>
      <c r="H31" s="60">
        <f>(VLOOKUP(D:D,'Week 42 Oct 12 - Oct 18 2020'!D:H,5,FALSE))</f>
        <v>44078</v>
      </c>
      <c r="I31" s="55">
        <f>_xlfn.IFNA(SUMIFS('Week 42 Oct 12 - Oct 18 2020'!E:E,'Week 42 Oct 12 - Oct 18 2020'!D:D,'Week 43 Oct 19 - Oct 25 2020'!D:D,'Week 42 Oct 12 - Oct 18 2020'!C:C,'Week 43 Oct 19 - Oct 25 2020'!C:C),"New")</f>
        <v>1688</v>
      </c>
      <c r="J31" s="56">
        <f t="shared" si="1"/>
        <v>-0.36018957345971564</v>
      </c>
    </row>
    <row r="33" spans="4:5" x14ac:dyDescent="0.2">
      <c r="D33" s="2" t="s">
        <v>59</v>
      </c>
      <c r="E33" s="2">
        <f>SUM(E2:E31)</f>
        <v>137591</v>
      </c>
    </row>
    <row r="34" spans="4:5" x14ac:dyDescent="0.2">
      <c r="D34" s="100" t="s">
        <v>178</v>
      </c>
      <c r="E34" s="101">
        <f>SUM('Week 42 Oct 12 - Oct 18 2020'!E34,'Week 43 Oct 19 - Oct 25 2020'!E33)</f>
        <v>18544706</v>
      </c>
    </row>
    <row r="35" spans="4:5" x14ac:dyDescent="0.2">
      <c r="D35" s="2" t="s">
        <v>60</v>
      </c>
      <c r="E35" s="2">
        <f>AVERAGE(E2:E31)</f>
        <v>4586.3666666666668</v>
      </c>
    </row>
    <row r="36" spans="4:5" x14ac:dyDescent="0.2">
      <c r="D36" s="9" t="s">
        <v>78</v>
      </c>
      <c r="E36" s="10">
        <f>COUNTIF(B:B,"New")</f>
        <v>1</v>
      </c>
    </row>
    <row r="37" spans="4:5" x14ac:dyDescent="0.2">
      <c r="E37" s="2"/>
    </row>
    <row r="38" spans="4:5" x14ac:dyDescent="0.2">
      <c r="D38" t="s">
        <v>66</v>
      </c>
      <c r="E38" s="2"/>
    </row>
    <row r="39" spans="4:5" x14ac:dyDescent="0.2">
      <c r="D39" s="8" t="s">
        <v>67</v>
      </c>
      <c r="E39" s="2"/>
    </row>
    <row r="40" spans="4:5" x14ac:dyDescent="0.2">
      <c r="D40" s="8" t="s">
        <v>65</v>
      </c>
      <c r="E40" s="2"/>
    </row>
    <row r="41" spans="4:5" x14ac:dyDescent="0.2">
      <c r="D41" s="8" t="s">
        <v>71</v>
      </c>
      <c r="E41" s="2"/>
    </row>
  </sheetData>
  <hyperlinks>
    <hyperlink ref="D40" r:id="rId1" xr:uid="{2340A816-E809-9B4F-B423-AA67B5A4013F}"/>
    <hyperlink ref="D39" r:id="rId2" xr:uid="{0EBF0347-7E27-2741-88B6-15942E1138B2}"/>
    <hyperlink ref="D41" r:id="rId3" xr:uid="{47EC0BAE-F50F-C647-92E4-884225D62F2B}"/>
  </hyperlinks>
  <pageMargins left="0.7" right="0.7" top="0.75" bottom="0.75" header="0.3" footer="0.3"/>
  <pageSetup paperSize="9" orientation="portrait" horizontalDpi="0" verticalDpi="0"/>
  <ignoredErrors>
    <ignoredError sqref="F1:J1 F28:H30 F2:H2 J2 F3:H27 J3:J27 J28:J30 I28:I30 I2:I25 I31 I26:I27" calculatedColumn="1"/>
  </ignoredErrors>
  <tableParts count="1">
    <tablePart r:id="rId4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57631-BF4E-7146-9CAC-6F63AA6F8F54}">
  <dimension ref="A1:O42"/>
  <sheetViews>
    <sheetView workbookViewId="0">
      <selection activeCell="D2" sqref="D2"/>
    </sheetView>
  </sheetViews>
  <sheetFormatPr baseColWidth="10" defaultRowHeight="16" x14ac:dyDescent="0.2"/>
  <cols>
    <col min="4" max="4" width="47" bestFit="1" customWidth="1"/>
    <col min="7" max="7" width="24.83203125" bestFit="1" customWidth="1"/>
    <col min="8" max="8" width="12.1640625" bestFit="1" customWidth="1"/>
    <col min="10" max="10" width="16.83203125" bestFit="1" customWidth="1"/>
  </cols>
  <sheetData>
    <row r="1" spans="1:15" x14ac:dyDescent="0.2">
      <c r="A1" s="41" t="s">
        <v>0</v>
      </c>
      <c r="B1" s="41" t="s">
        <v>35</v>
      </c>
      <c r="C1" s="42" t="s">
        <v>1</v>
      </c>
      <c r="D1" s="42" t="s">
        <v>2</v>
      </c>
      <c r="E1" s="43" t="s">
        <v>3</v>
      </c>
      <c r="F1" s="43" t="s">
        <v>4</v>
      </c>
      <c r="G1" s="42" t="s">
        <v>5</v>
      </c>
      <c r="H1" s="45" t="s">
        <v>6</v>
      </c>
      <c r="I1" s="43" t="s">
        <v>64</v>
      </c>
      <c r="J1" s="44" t="s">
        <v>63</v>
      </c>
    </row>
    <row r="2" spans="1:15" x14ac:dyDescent="0.2">
      <c r="A2" s="46">
        <v>1</v>
      </c>
      <c r="B2" s="9" t="s">
        <v>36</v>
      </c>
      <c r="C2" s="9" t="s">
        <v>7</v>
      </c>
      <c r="D2" s="9" t="s">
        <v>132</v>
      </c>
      <c r="E2" s="10">
        <v>171349</v>
      </c>
      <c r="F2" s="10">
        <v>171349</v>
      </c>
      <c r="G2" s="9" t="s">
        <v>9</v>
      </c>
      <c r="H2" s="72">
        <v>44134</v>
      </c>
      <c r="I2" s="73" t="str">
        <f>_xlfn.IFNA(VLOOKUP(D2,'Week 43 Oct 19 - Oct 25 2020'!D:E,2,FALSE),"New")</f>
        <v>New</v>
      </c>
      <c r="J2" s="90" t="str">
        <f>IFERROR((E2-I2)/I2,"New")</f>
        <v>New</v>
      </c>
    </row>
    <row r="3" spans="1:15" x14ac:dyDescent="0.2">
      <c r="A3" s="46">
        <v>2</v>
      </c>
      <c r="B3" s="9" t="s">
        <v>36</v>
      </c>
      <c r="C3" s="9" t="s">
        <v>7</v>
      </c>
      <c r="D3" s="46" t="s">
        <v>133</v>
      </c>
      <c r="E3" s="10">
        <v>52481</v>
      </c>
      <c r="F3" s="10">
        <v>52481</v>
      </c>
      <c r="G3" s="9" t="s">
        <v>118</v>
      </c>
      <c r="H3" s="72">
        <v>44133</v>
      </c>
      <c r="I3" s="73" t="str">
        <f>_xlfn.IFNA(VLOOKUP(D3,'Week 43 Oct 19 - Oct 25 2020'!D:E,2,FALSE),"New")</f>
        <v>New</v>
      </c>
      <c r="J3" s="90" t="str">
        <f t="shared" ref="J3:J31" si="0">IFERROR((E3-I3)/I3,"New")</f>
        <v>New</v>
      </c>
    </row>
    <row r="4" spans="1:15" x14ac:dyDescent="0.2">
      <c r="A4" s="46">
        <v>3</v>
      </c>
      <c r="B4" s="9" t="s">
        <v>36</v>
      </c>
      <c r="C4" s="9" t="s">
        <v>8</v>
      </c>
      <c r="D4" s="46" t="s">
        <v>133</v>
      </c>
      <c r="E4" s="10">
        <v>48830</v>
      </c>
      <c r="F4" s="10">
        <v>48830</v>
      </c>
      <c r="G4" s="9" t="s">
        <v>118</v>
      </c>
      <c r="H4" s="72">
        <v>44133</v>
      </c>
      <c r="I4" s="73" t="str">
        <f>_xlfn.IFNA(VLOOKUP(D4,'Week 43 Oct 19 - Oct 25 2020'!D:E,2,FALSE),"New")</f>
        <v>New</v>
      </c>
      <c r="J4" s="90" t="str">
        <f t="shared" si="0"/>
        <v>New</v>
      </c>
    </row>
    <row r="5" spans="1:15" x14ac:dyDescent="0.2">
      <c r="A5" s="46">
        <v>4</v>
      </c>
      <c r="B5" s="9" t="s">
        <v>36</v>
      </c>
      <c r="C5" s="9" t="s">
        <v>8</v>
      </c>
      <c r="D5" s="46" t="s">
        <v>134</v>
      </c>
      <c r="E5" s="10">
        <v>40962</v>
      </c>
      <c r="F5" s="10">
        <v>40962</v>
      </c>
      <c r="G5" s="9" t="s">
        <v>140</v>
      </c>
      <c r="H5" s="72">
        <v>44133</v>
      </c>
      <c r="I5" s="73" t="str">
        <f>_xlfn.IFNA(VLOOKUP(D5,'Week 43 Oct 19 - Oct 25 2020'!D:E,2,FALSE),"New")</f>
        <v>New</v>
      </c>
      <c r="J5" s="90" t="str">
        <f t="shared" si="0"/>
        <v>New</v>
      </c>
    </row>
    <row r="6" spans="1:15" x14ac:dyDescent="0.2">
      <c r="A6" s="47">
        <v>5</v>
      </c>
      <c r="B6" s="18">
        <v>2</v>
      </c>
      <c r="C6" s="18" t="s">
        <v>7</v>
      </c>
      <c r="D6" t="s">
        <v>45</v>
      </c>
      <c r="E6" s="12">
        <v>29086</v>
      </c>
      <c r="F6" s="12">
        <f>_xlfn.IFNA(VLOOKUP(D:D,'Week 43 Oct 19 - Oct 25 2020'!D:F,3,FALSE),"New")+Table40424345[[#This Row],[Week Sales]]</f>
        <v>1746352</v>
      </c>
      <c r="G6" s="18" t="str">
        <f>(VLOOKUP(D:D,'Week 43 Oct 19 - Oct 25 2020'!D:G,4,FALSE))</f>
        <v>Nintendo</v>
      </c>
      <c r="H6" s="60">
        <f>(VLOOKUP(D:D,'Week 43 Oct 19 - Oct 25 2020'!D:H,5,FALSE))</f>
        <v>43756</v>
      </c>
      <c r="I6" s="55">
        <f>_xlfn.IFNA(SUMIFS('Week 43 Oct 19 - Oct 25 2020'!E:E,'Week 43 Oct 19 - Oct 25 2020'!D:D,'Week 44 Oct 26 - Nov 1 2020'!D:D,'Week 43 Oct 19 - Oct 25 2020'!C:C,'Week 44 Oct 26 - Nov 1 2020'!C:C),"New")</f>
        <v>21120</v>
      </c>
      <c r="J6" s="56">
        <f t="shared" si="0"/>
        <v>0.37717803030303032</v>
      </c>
      <c r="L6" s="77"/>
      <c r="M6" s="1"/>
      <c r="N6" s="1"/>
    </row>
    <row r="7" spans="1:15" x14ac:dyDescent="0.2">
      <c r="A7" s="47">
        <v>6</v>
      </c>
      <c r="B7" s="18">
        <v>1</v>
      </c>
      <c r="C7" s="18" t="s">
        <v>7</v>
      </c>
      <c r="D7" t="s">
        <v>46</v>
      </c>
      <c r="E7" s="12">
        <v>24009</v>
      </c>
      <c r="F7" s="12">
        <f>_xlfn.IFNA(VLOOKUP(D:D,'Week 43 Oct 19 - Oct 25 2020'!D:F,3,FALSE),"New")+Table40424345[[#This Row],[Week Sales]]</f>
        <v>5909746</v>
      </c>
      <c r="G7" s="18" t="str">
        <f>(VLOOKUP(D:D,'Week 43 Oct 19 - Oct 25 2020'!D:G,4,FALSE))</f>
        <v>Nintendo</v>
      </c>
      <c r="H7" s="60">
        <f>(VLOOKUP(D:D,'Week 43 Oct 19 - Oct 25 2020'!D:H,5,FALSE))</f>
        <v>43910</v>
      </c>
      <c r="I7" s="55">
        <f>_xlfn.IFNA(SUMIFS('Week 43 Oct 19 - Oct 25 2020'!E:E,'Week 43 Oct 19 - Oct 25 2020'!D:D,'Week 44 Oct 26 - Nov 1 2020'!D:D,'Week 43 Oct 19 - Oct 25 2020'!C:C,'Week 44 Oct 26 - Nov 1 2020'!C:C),"New")</f>
        <v>23069</v>
      </c>
      <c r="J7" s="56">
        <f t="shared" si="0"/>
        <v>4.0747323247648362E-2</v>
      </c>
      <c r="L7" s="1"/>
      <c r="M7" s="1"/>
      <c r="O7" s="1"/>
    </row>
    <row r="8" spans="1:15" x14ac:dyDescent="0.2">
      <c r="A8" s="46">
        <v>7</v>
      </c>
      <c r="B8" s="9" t="s">
        <v>36</v>
      </c>
      <c r="C8" s="9" t="s">
        <v>8</v>
      </c>
      <c r="D8" s="46" t="s">
        <v>135</v>
      </c>
      <c r="E8" s="10">
        <v>13292</v>
      </c>
      <c r="F8" s="10">
        <v>13292</v>
      </c>
      <c r="G8" s="46" t="s">
        <v>100</v>
      </c>
      <c r="H8" s="72">
        <v>44133</v>
      </c>
      <c r="I8" s="73" t="str">
        <f>_xlfn.IFNA(VLOOKUP(D8,'Week 43 Oct 19 - Oct 25 2020'!D:E,2,FALSE),"New")</f>
        <v>New</v>
      </c>
      <c r="J8" s="90" t="str">
        <f t="shared" si="0"/>
        <v>New</v>
      </c>
    </row>
    <row r="9" spans="1:15" x14ac:dyDescent="0.2">
      <c r="A9" s="46">
        <v>8</v>
      </c>
      <c r="B9" s="9" t="s">
        <v>36</v>
      </c>
      <c r="C9" s="9" t="s">
        <v>7</v>
      </c>
      <c r="D9" s="46" t="s">
        <v>136</v>
      </c>
      <c r="E9" s="10">
        <v>11683</v>
      </c>
      <c r="F9" s="10">
        <v>11683</v>
      </c>
      <c r="G9" s="9" t="s">
        <v>34</v>
      </c>
      <c r="H9" s="72">
        <v>44133</v>
      </c>
      <c r="I9" s="73" t="str">
        <f>_xlfn.IFNA(VLOOKUP(D9,'Week 43 Oct 19 - Oct 25 2020'!D:E,2,FALSE),"New")</f>
        <v>New</v>
      </c>
      <c r="J9" s="90" t="str">
        <f t="shared" si="0"/>
        <v>New</v>
      </c>
    </row>
    <row r="10" spans="1:15" x14ac:dyDescent="0.2">
      <c r="A10" s="47">
        <v>9</v>
      </c>
      <c r="B10" s="18">
        <v>4</v>
      </c>
      <c r="C10" s="18" t="s">
        <v>7</v>
      </c>
      <c r="D10" t="s">
        <v>49</v>
      </c>
      <c r="E10" s="12">
        <v>9569</v>
      </c>
      <c r="F10" s="12">
        <f>_xlfn.IFNA(VLOOKUP(D:D,'Week 43 Oct 19 - Oct 25 2020'!D:F,3,FALSE),"New")+Table40424345[[#This Row],[Week Sales]]</f>
        <v>3238517</v>
      </c>
      <c r="G10" s="18" t="str">
        <f>(VLOOKUP(D:D,'Week 43 Oct 19 - Oct 25 2020'!D:G,4,FALSE))</f>
        <v>Nintendo</v>
      </c>
      <c r="H10" s="60">
        <f>(VLOOKUP(D:D,'Week 43 Oct 19 - Oct 25 2020'!D:H,5,FALSE))</f>
        <v>42853</v>
      </c>
      <c r="I10" s="55">
        <f>_xlfn.IFNA(SUMIFS('Week 43 Oct 19 - Oct 25 2020'!E:E,'Week 43 Oct 19 - Oct 25 2020'!D:D,'Week 44 Oct 26 - Nov 1 2020'!D:D,'Week 43 Oct 19 - Oct 25 2020'!C:C,'Week 44 Oct 26 - Nov 1 2020'!C:C),"New")</f>
        <v>8802</v>
      </c>
      <c r="J10" s="56">
        <f t="shared" si="0"/>
        <v>8.7139286525789589E-2</v>
      </c>
    </row>
    <row r="11" spans="1:15" x14ac:dyDescent="0.2">
      <c r="A11" s="47">
        <v>10</v>
      </c>
      <c r="B11" s="18">
        <v>6</v>
      </c>
      <c r="C11" s="18" t="s">
        <v>7</v>
      </c>
      <c r="D11" s="47" t="s">
        <v>62</v>
      </c>
      <c r="E11" s="12">
        <v>9421</v>
      </c>
      <c r="F11" s="12">
        <f>_xlfn.IFNA(VLOOKUP(D:D,'Week 43 Oct 19 - Oct 25 2020'!D:F,3,FALSE),"New")+Table40424345[[#This Row],[Week Sales]]</f>
        <v>3783145</v>
      </c>
      <c r="G11" s="64" t="str">
        <f>(VLOOKUP(D:D,'Week 43 Oct 19 - Oct 25 2020'!D:G,4,FALSE))</f>
        <v>The Pokemon Company</v>
      </c>
      <c r="H11" s="60">
        <f>(VLOOKUP(D:D,'Week 43 Oct 19 - Oct 25 2020'!D:H,5,FALSE))</f>
        <v>43784</v>
      </c>
      <c r="I11" s="55">
        <f>_xlfn.IFNA(SUMIFS('Week 43 Oct 19 - Oct 25 2020'!E:E,'Week 43 Oct 19 - Oct 25 2020'!D:D,'Week 44 Oct 26 - Nov 1 2020'!D:D,'Week 43 Oct 19 - Oct 25 2020'!C:C,'Week 44 Oct 26 - Nov 1 2020'!C:C),"New")</f>
        <v>7088</v>
      </c>
      <c r="J11" s="56">
        <f t="shared" si="0"/>
        <v>0.32914785553047404</v>
      </c>
    </row>
    <row r="12" spans="1:15" x14ac:dyDescent="0.2">
      <c r="A12" s="46">
        <v>11</v>
      </c>
      <c r="B12" s="9" t="s">
        <v>36</v>
      </c>
      <c r="C12" s="9" t="s">
        <v>8</v>
      </c>
      <c r="D12" s="46" t="s">
        <v>136</v>
      </c>
      <c r="E12" s="10">
        <v>9286</v>
      </c>
      <c r="F12" s="10">
        <v>9286</v>
      </c>
      <c r="G12" s="9" t="s">
        <v>34</v>
      </c>
      <c r="H12" s="72">
        <v>44133</v>
      </c>
      <c r="I12" s="73" t="str">
        <f>_xlfn.IFNA(VLOOKUP(D12,'Week 43 Oct 19 - Oct 25 2020'!D:E,2,FALSE),"New")</f>
        <v>New</v>
      </c>
      <c r="J12" s="90" t="str">
        <f t="shared" si="0"/>
        <v>New</v>
      </c>
    </row>
    <row r="13" spans="1:15" x14ac:dyDescent="0.2">
      <c r="A13" s="47">
        <v>12</v>
      </c>
      <c r="B13" s="18">
        <v>3</v>
      </c>
      <c r="C13" s="18" t="s">
        <v>7</v>
      </c>
      <c r="D13" t="s">
        <v>40</v>
      </c>
      <c r="E13" s="12">
        <v>9207</v>
      </c>
      <c r="F13" s="12">
        <f>_xlfn.IFNA(VLOOKUP(D:D,'Week 43 Oct 19 - Oct 25 2020'!D:F,3,FALSE),"New")+Table40424345[[#This Row],[Week Sales]]</f>
        <v>364635</v>
      </c>
      <c r="G13" s="64" t="str">
        <f>(VLOOKUP(D:D,'Week 43 Oct 19 - Oct 25 2020'!D:G,4,FALSE))</f>
        <v>Nintendo</v>
      </c>
      <c r="H13" s="60">
        <f>(VLOOKUP(D:D,'Week 43 Oct 19 - Oct 25 2020'!D:H,5,FALSE))</f>
        <v>44092</v>
      </c>
      <c r="I13" s="55">
        <f>_xlfn.IFNA(SUMIFS('Week 43 Oct 19 - Oct 25 2020'!E:E,'Week 43 Oct 19 - Oct 25 2020'!D:D,'Week 44 Oct 26 - Nov 1 2020'!D:D,'Week 43 Oct 19 - Oct 25 2020'!C:C,'Week 44 Oct 26 - Nov 1 2020'!C:C),"New")</f>
        <v>10383</v>
      </c>
      <c r="J13" s="56">
        <f t="shared" si="0"/>
        <v>-0.11326206298757585</v>
      </c>
    </row>
    <row r="14" spans="1:15" x14ac:dyDescent="0.2">
      <c r="A14" s="47">
        <v>13</v>
      </c>
      <c r="B14" s="18">
        <v>7</v>
      </c>
      <c r="C14" s="18" t="s">
        <v>7</v>
      </c>
      <c r="D14" s="47" t="s">
        <v>12</v>
      </c>
      <c r="E14" s="12">
        <v>6390</v>
      </c>
      <c r="F14" s="12">
        <f>_xlfn.IFNA(VLOOKUP(D:D,'Week 43 Oct 19 - Oct 25 2020'!D:F,3,FALSE),"New")+Table40424345[[#This Row],[Week Sales]]</f>
        <v>1543751</v>
      </c>
      <c r="G14" s="18" t="str">
        <f>(VLOOKUP(D:D,'Week 43 Oct 19 - Oct 25 2020'!D:G,4,FALSE))</f>
        <v>Microsoft</v>
      </c>
      <c r="H14" s="60">
        <f>(VLOOKUP(D:D,'Week 43 Oct 19 - Oct 25 2020'!D:H,5,FALSE))</f>
        <v>43272</v>
      </c>
      <c r="I14" s="55">
        <f>_xlfn.IFNA(SUMIFS('Week 43 Oct 19 - Oct 25 2020'!E:E,'Week 43 Oct 19 - Oct 25 2020'!D:D,'Week 44 Oct 26 - Nov 1 2020'!D:D,'Week 43 Oct 19 - Oct 25 2020'!C:C,'Week 44 Oct 26 - Nov 1 2020'!C:C),"New")</f>
        <v>5863</v>
      </c>
      <c r="J14" s="56">
        <f t="shared" si="0"/>
        <v>8.9885724032065489E-2</v>
      </c>
    </row>
    <row r="15" spans="1:15" x14ac:dyDescent="0.2">
      <c r="A15" s="46">
        <v>14</v>
      </c>
      <c r="B15" s="9" t="s">
        <v>36</v>
      </c>
      <c r="C15" s="9" t="s">
        <v>8</v>
      </c>
      <c r="D15" s="46" t="s">
        <v>137</v>
      </c>
      <c r="E15" s="10">
        <v>5826</v>
      </c>
      <c r="F15" s="10">
        <v>5826</v>
      </c>
      <c r="G15" s="9" t="s">
        <v>141</v>
      </c>
      <c r="H15" s="72">
        <v>44133</v>
      </c>
      <c r="I15" s="73" t="str">
        <f>_xlfn.IFNA(VLOOKUP(D15,'Week 43 Oct 19 - Oct 25 2020'!D:E,2,FALSE),"New")</f>
        <v>New</v>
      </c>
      <c r="J15" s="90" t="str">
        <f t="shared" si="0"/>
        <v>New</v>
      </c>
    </row>
    <row r="16" spans="1:15" x14ac:dyDescent="0.2">
      <c r="A16" s="47">
        <v>15</v>
      </c>
      <c r="B16" s="18">
        <v>8</v>
      </c>
      <c r="C16" s="18" t="s">
        <v>7</v>
      </c>
      <c r="D16" t="s">
        <v>52</v>
      </c>
      <c r="E16" s="12">
        <v>5231</v>
      </c>
      <c r="F16" s="12">
        <f>_xlfn.IFNA(VLOOKUP(D:D,'Week 43 Oct 19 - Oct 25 2020'!D:F,3,FALSE),"New")+Table40424345[[#This Row],[Week Sales]]</f>
        <v>3865868</v>
      </c>
      <c r="G16" s="18" t="str">
        <f>(VLOOKUP(D:D,'Week 43 Oct 19 - Oct 25 2020'!D:G,4,FALSE))</f>
        <v>Nintendo</v>
      </c>
      <c r="H16" s="60">
        <f>(VLOOKUP(D:D,'Week 43 Oct 19 - Oct 25 2020'!D:H,5,FALSE))</f>
        <v>43441</v>
      </c>
      <c r="I16" s="55">
        <f>_xlfn.IFNA(SUMIFS('Week 43 Oct 19 - Oct 25 2020'!E:E,'Week 43 Oct 19 - Oct 25 2020'!D:D,'Week 44 Oct 26 - Nov 1 2020'!D:D,'Week 43 Oct 19 - Oct 25 2020'!C:C,'Week 44 Oct 26 - Nov 1 2020'!C:C),"New")</f>
        <v>4736</v>
      </c>
      <c r="J16" s="56">
        <f t="shared" si="0"/>
        <v>0.10451858108108109</v>
      </c>
    </row>
    <row r="17" spans="1:10" x14ac:dyDescent="0.2">
      <c r="A17" s="47">
        <v>16</v>
      </c>
      <c r="B17" s="18">
        <v>10</v>
      </c>
      <c r="C17" s="18" t="s">
        <v>7</v>
      </c>
      <c r="D17" t="s">
        <v>13</v>
      </c>
      <c r="E17" s="12">
        <v>4735</v>
      </c>
      <c r="F17" s="12">
        <f>_xlfn.IFNA(VLOOKUP(D:D,'Week 43 Oct 19 - Oct 25 2020'!D:F,3,FALSE),"New")+Table40424345[[#This Row],[Week Sales]]</f>
        <v>1585622</v>
      </c>
      <c r="G17" s="64" t="str">
        <f>(VLOOKUP(D:D,'Week 43 Oct 19 - Oct 25 2020'!D:G,4,FALSE))</f>
        <v>Nintendo</v>
      </c>
      <c r="H17" s="60">
        <f>(VLOOKUP(D:D,'Week 43 Oct 19 - Oct 25 2020'!D:H,5,FALSE))</f>
        <v>43378</v>
      </c>
      <c r="I17" s="55">
        <f>_xlfn.IFNA(SUMIFS('Week 43 Oct 19 - Oct 25 2020'!E:E,'Week 43 Oct 19 - Oct 25 2020'!D:D,'Week 44 Oct 26 - Nov 1 2020'!D:D,'Week 43 Oct 19 - Oct 25 2020'!C:C,'Week 44 Oct 26 - Nov 1 2020'!C:C),"New")</f>
        <v>3739</v>
      </c>
      <c r="J17" s="56">
        <f t="shared" si="0"/>
        <v>0.26638138539716499</v>
      </c>
    </row>
    <row r="18" spans="1:10" x14ac:dyDescent="0.2">
      <c r="A18" s="47">
        <v>17</v>
      </c>
      <c r="B18" s="18">
        <v>9</v>
      </c>
      <c r="C18" s="18" t="s">
        <v>7</v>
      </c>
      <c r="D18" t="s">
        <v>50</v>
      </c>
      <c r="E18" s="12">
        <v>4171</v>
      </c>
      <c r="F18" s="12">
        <f>_xlfn.IFNA(VLOOKUP(D:D,'Week 43 Oct 19 - Oct 25 2020'!D:F,3,FALSE),"New")+Table40424345[[#This Row],[Week Sales]]</f>
        <v>416155</v>
      </c>
      <c r="G18" s="64" t="str">
        <f>(VLOOKUP(D:D,'Week 43 Oct 19 - Oct 25 2020'!D:G,4,FALSE))</f>
        <v>Nintendo</v>
      </c>
      <c r="H18" s="60">
        <f>(VLOOKUP(D:D,'Week 43 Oct 19 - Oct 25 2020'!D:H,5,FALSE))</f>
        <v>43987</v>
      </c>
      <c r="I18" s="55">
        <f>_xlfn.IFNA(SUMIFS('Week 43 Oct 19 - Oct 25 2020'!E:E,'Week 43 Oct 19 - Oct 25 2020'!D:D,'Week 44 Oct 26 - Nov 1 2020'!D:D,'Week 43 Oct 19 - Oct 25 2020'!C:C,'Week 44 Oct 26 - Nov 1 2020'!C:C),"New")</f>
        <v>4051</v>
      </c>
      <c r="J18" s="56">
        <f t="shared" si="0"/>
        <v>2.9622315477659839E-2</v>
      </c>
    </row>
    <row r="19" spans="1:10" x14ac:dyDescent="0.2">
      <c r="A19" s="47">
        <v>18</v>
      </c>
      <c r="B19" s="18">
        <v>11</v>
      </c>
      <c r="C19" s="18" t="s">
        <v>7</v>
      </c>
      <c r="D19" s="47" t="s">
        <v>10</v>
      </c>
      <c r="E19" s="12">
        <v>3955</v>
      </c>
      <c r="F19" s="12">
        <f>_xlfn.IFNA(VLOOKUP(D:D,'Week 43 Oct 19 - Oct 25 2020'!D:F,3,FALSE),"New")+Table40424345[[#This Row],[Week Sales]]</f>
        <v>3592103</v>
      </c>
      <c r="G19" s="64" t="str">
        <f>(VLOOKUP(D:D,'Week 43 Oct 19 - Oct 25 2020'!D:G,4,FALSE))</f>
        <v>Nintendo</v>
      </c>
      <c r="H19" s="60">
        <f>(VLOOKUP(D:D,'Week 43 Oct 19 - Oct 25 2020'!D:H,5,FALSE))</f>
        <v>42937</v>
      </c>
      <c r="I19" s="55">
        <f>_xlfn.IFNA(SUMIFS('Week 43 Oct 19 - Oct 25 2020'!E:E,'Week 43 Oct 19 - Oct 25 2020'!D:D,'Week 44 Oct 26 - Nov 1 2020'!D:D,'Week 43 Oct 19 - Oct 25 2020'!C:C,'Week 44 Oct 26 - Nov 1 2020'!C:C),"New")</f>
        <v>3651</v>
      </c>
      <c r="J19" s="56">
        <f t="shared" si="0"/>
        <v>8.3264858942755413E-2</v>
      </c>
    </row>
    <row r="20" spans="1:10" x14ac:dyDescent="0.2">
      <c r="A20" s="47">
        <v>19</v>
      </c>
      <c r="B20" s="18">
        <v>5</v>
      </c>
      <c r="C20" s="18" t="s">
        <v>7</v>
      </c>
      <c r="D20" s="18" t="s">
        <v>122</v>
      </c>
      <c r="E20" s="12">
        <v>3583</v>
      </c>
      <c r="F20" s="12">
        <f>_xlfn.IFNA(VLOOKUP(D:D,'Week 43 Oct 19 - Oct 25 2020'!D:F,3,FALSE),"New")+Table40424345[[#This Row],[Week Sales]]</f>
        <v>85192</v>
      </c>
      <c r="G20" s="64" t="str">
        <f>(VLOOKUP(D:D,'Week 43 Oct 19 - Oct 25 2020'!D:G,4,FALSE))</f>
        <v>Nintendo</v>
      </c>
      <c r="H20" s="60">
        <f>(VLOOKUP(D:D,'Week 43 Oct 19 - Oct 25 2020'!D:H,5,FALSE))</f>
        <v>44120</v>
      </c>
      <c r="I20" s="55">
        <f>_xlfn.IFNA(SUMIFS('Week 43 Oct 19 - Oct 25 2020'!E:E,'Week 43 Oct 19 - Oct 25 2020'!D:D,'Week 44 Oct 26 - Nov 1 2020'!D:D,'Week 43 Oct 19 - Oct 25 2020'!C:C,'Week 44 Oct 26 - Nov 1 2020'!C:C),"New")</f>
        <v>7691</v>
      </c>
      <c r="J20" s="56">
        <f t="shared" si="0"/>
        <v>-0.53413080223638021</v>
      </c>
    </row>
    <row r="21" spans="1:10" x14ac:dyDescent="0.2">
      <c r="A21" s="46">
        <v>20</v>
      </c>
      <c r="B21" s="9" t="s">
        <v>36</v>
      </c>
      <c r="C21" s="9" t="s">
        <v>7</v>
      </c>
      <c r="D21" s="46" t="s">
        <v>138</v>
      </c>
      <c r="E21" s="10">
        <v>3212</v>
      </c>
      <c r="F21" s="10">
        <v>3212</v>
      </c>
      <c r="G21" s="63" t="s">
        <v>142</v>
      </c>
      <c r="H21" s="72">
        <v>44133</v>
      </c>
      <c r="I21" s="73" t="str">
        <f>_xlfn.IFNA(VLOOKUP(D21,'Week 43 Oct 19 - Oct 25 2020'!D:E,2,FALSE),"New")</f>
        <v>New</v>
      </c>
      <c r="J21" s="90" t="str">
        <f t="shared" si="0"/>
        <v>New</v>
      </c>
    </row>
    <row r="22" spans="1:10" x14ac:dyDescent="0.2">
      <c r="A22" s="47">
        <v>21</v>
      </c>
      <c r="B22" s="18">
        <v>13</v>
      </c>
      <c r="C22" s="18" t="s">
        <v>7</v>
      </c>
      <c r="D22" t="s">
        <v>39</v>
      </c>
      <c r="E22" s="12">
        <v>3168</v>
      </c>
      <c r="F22" s="12">
        <f>_xlfn.IFNA(VLOOKUP(D:D,'Week 43 Oct 19 - Oct 25 2020'!D:F,3,FALSE),"New")+Table40424345[[#This Row],[Week Sales]]</f>
        <v>1672847</v>
      </c>
      <c r="G22" s="18" t="str">
        <f>(VLOOKUP(D:D,'Week 43 Oct 19 - Oct 25 2020'!D:G,4,FALSE))</f>
        <v>Nintendo</v>
      </c>
      <c r="H22" s="60">
        <f>(VLOOKUP(D:D,'Week 43 Oct 19 - Oct 25 2020'!D:H,5,FALSE))</f>
        <v>42797</v>
      </c>
      <c r="I22" s="55">
        <f>_xlfn.IFNA(SUMIFS('Week 43 Oct 19 - Oct 25 2020'!E:E,'Week 43 Oct 19 - Oct 25 2020'!D:D,'Week 44 Oct 26 - Nov 1 2020'!D:D,'Week 43 Oct 19 - Oct 25 2020'!C:C,'Week 44 Oct 26 - Nov 1 2020'!C:C),"New")</f>
        <v>3051</v>
      </c>
      <c r="J22" s="56">
        <f t="shared" si="0"/>
        <v>3.8348082595870206E-2</v>
      </c>
    </row>
    <row r="23" spans="1:10" x14ac:dyDescent="0.2">
      <c r="A23" s="47">
        <v>22</v>
      </c>
      <c r="B23" s="18">
        <v>14</v>
      </c>
      <c r="C23" s="18" t="s">
        <v>7</v>
      </c>
      <c r="D23" t="s">
        <v>17</v>
      </c>
      <c r="E23" s="12">
        <v>3007</v>
      </c>
      <c r="F23" s="12">
        <f>_xlfn.IFNA(VLOOKUP(D:D,'Week 43 Oct 19 - Oct 25 2020'!D:F,3,FALSE),"New")+Table40424345[[#This Row],[Week Sales]]</f>
        <v>919362</v>
      </c>
      <c r="G23" s="64" t="str">
        <f>(VLOOKUP(D:D,'Week 43 Oct 19 - Oct 25 2020'!D:G,4,FALSE))</f>
        <v>Nintendo</v>
      </c>
      <c r="H23" s="60">
        <f>(VLOOKUP(D:D,'Week 43 Oct 19 - Oct 25 2020'!D:H,5,FALSE))</f>
        <v>43476</v>
      </c>
      <c r="I23" s="55">
        <f>_xlfn.IFNA(SUMIFS('Week 43 Oct 19 - Oct 25 2020'!E:E,'Week 43 Oct 19 - Oct 25 2020'!D:D,'Week 44 Oct 26 - Nov 1 2020'!D:D,'Week 43 Oct 19 - Oct 25 2020'!C:C,'Week 44 Oct 26 - Nov 1 2020'!C:C),"New")</f>
        <v>2630</v>
      </c>
      <c r="J23" s="56">
        <f t="shared" si="0"/>
        <v>0.14334600760456273</v>
      </c>
    </row>
    <row r="24" spans="1:10" x14ac:dyDescent="0.2">
      <c r="A24" s="47">
        <v>23</v>
      </c>
      <c r="B24" s="18">
        <v>16</v>
      </c>
      <c r="C24" s="18" t="s">
        <v>8</v>
      </c>
      <c r="D24" t="s">
        <v>11</v>
      </c>
      <c r="E24" s="12">
        <v>2390</v>
      </c>
      <c r="F24" s="12">
        <f>_xlfn.IFNA(VLOOKUP(D:D,'Week 43 Oct 19 - Oct 25 2020'!D:F,3,FALSE),"New")+Table40424345[[#This Row],[Week Sales]]</f>
        <v>410702</v>
      </c>
      <c r="G24" s="18" t="str">
        <f>(VLOOKUP(D:D,'Week 43 Oct 19 - Oct 25 2020'!D:G,4,FALSE))</f>
        <v>Sony</v>
      </c>
      <c r="H24" s="60">
        <f>(VLOOKUP(D:D,'Week 43 Oct 19 - Oct 25 2020'!D:H,5,FALSE))</f>
        <v>44029</v>
      </c>
      <c r="I24" s="55">
        <f>_xlfn.IFNA(SUMIFS('Week 43 Oct 19 - Oct 25 2020'!E:E,'Week 43 Oct 19 - Oct 25 2020'!D:D,'Week 44 Oct 26 - Nov 1 2020'!D:D,'Week 43 Oct 19 - Oct 25 2020'!C:C,'Week 44 Oct 26 - Nov 1 2020'!C:C),"New")</f>
        <v>2569</v>
      </c>
      <c r="J24" s="56">
        <f t="shared" si="0"/>
        <v>-6.9676917088361226E-2</v>
      </c>
    </row>
    <row r="25" spans="1:10" x14ac:dyDescent="0.2">
      <c r="A25" s="47">
        <v>24</v>
      </c>
      <c r="B25" s="18">
        <v>12</v>
      </c>
      <c r="C25" s="18" t="s">
        <v>8</v>
      </c>
      <c r="D25" s="47" t="s">
        <v>115</v>
      </c>
      <c r="E25" s="12">
        <v>2239</v>
      </c>
      <c r="F25" s="12">
        <f>_xlfn.IFNA(VLOOKUP(D:D,'Week 43 Oct 19 - Oct 25 2020'!D:F,3,FALSE),"New")+Table40424345[[#This Row],[Week Sales]]</f>
        <v>51884</v>
      </c>
      <c r="G25" s="18" t="str">
        <f>(VLOOKUP(D:D,'Week 43 Oct 19 - Oct 25 2020'!D:G,4,FALSE))</f>
        <v>Electronic Arts</v>
      </c>
      <c r="H25" s="60">
        <f>(VLOOKUP(D:D,'Week 43 Oct 19 - Oct 25 2020'!D:H,5,FALSE))</f>
        <v>44113</v>
      </c>
      <c r="I25" s="55">
        <f>_xlfn.IFNA(SUMIFS('Week 43 Oct 19 - Oct 25 2020'!E:E,'Week 43 Oct 19 - Oct 25 2020'!D:D,'Week 44 Oct 26 - Nov 1 2020'!D:D,'Week 43 Oct 19 - Oct 25 2020'!C:C,'Week 44 Oct 26 - Nov 1 2020'!C:C),"New")</f>
        <v>3382</v>
      </c>
      <c r="J25" s="56">
        <f t="shared" si="0"/>
        <v>-0.33796570076877586</v>
      </c>
    </row>
    <row r="26" spans="1:10" x14ac:dyDescent="0.2">
      <c r="A26" s="46">
        <v>25</v>
      </c>
      <c r="B26" s="9" t="s">
        <v>36</v>
      </c>
      <c r="C26" s="9" t="s">
        <v>8</v>
      </c>
      <c r="D26" s="46" t="s">
        <v>139</v>
      </c>
      <c r="E26" s="10">
        <v>2234</v>
      </c>
      <c r="F26" s="10">
        <v>2234</v>
      </c>
      <c r="G26" s="9" t="s">
        <v>143</v>
      </c>
      <c r="H26" s="72">
        <v>44133</v>
      </c>
      <c r="I26" s="73" t="str">
        <f>_xlfn.IFNA(VLOOKUP(D26,'Week 43 Oct 19 - Oct 25 2020'!D:E,2,FALSE),"New")</f>
        <v>New</v>
      </c>
      <c r="J26" s="90" t="str">
        <f t="shared" si="0"/>
        <v>New</v>
      </c>
    </row>
    <row r="27" spans="1:10" x14ac:dyDescent="0.2">
      <c r="A27" s="47">
        <v>26</v>
      </c>
      <c r="B27" s="18">
        <v>15</v>
      </c>
      <c r="C27" s="18" t="s">
        <v>7</v>
      </c>
      <c r="D27" s="47" t="s">
        <v>58</v>
      </c>
      <c r="E27" s="12">
        <v>2104</v>
      </c>
      <c r="F27" s="12">
        <f>_xlfn.IFNA(VLOOKUP(D:D,'Week 43 Oct 19 - Oct 25 2020'!D:F,3,FALSE),"New")+Table40424345[[#This Row],[Week Sales]]</f>
        <v>38961</v>
      </c>
      <c r="G27" s="68" t="str">
        <f>(VLOOKUP(D:D,'Week 43 Oct 19 - Oct 25 2020'!D:G,4,FALSE))</f>
        <v>Microsoft</v>
      </c>
      <c r="H27" s="60">
        <f>(VLOOKUP(D:D,'Week 43 Oct 19 - Oct 25 2020'!D:H,5,FALSE))</f>
        <v>44082</v>
      </c>
      <c r="I27" s="55">
        <f>_xlfn.IFNA(SUMIFS('Week 43 Oct 19 - Oct 25 2020'!E:E,'Week 43 Oct 19 - Oct 25 2020'!D:D,'Week 44 Oct 26 - Nov 1 2020'!D:D,'Week 43 Oct 19 - Oct 25 2020'!C:C,'Week 44 Oct 26 - Nov 1 2020'!C:C),"New")</f>
        <v>2590</v>
      </c>
      <c r="J27" s="56">
        <f t="shared" si="0"/>
        <v>-0.18764478764478765</v>
      </c>
    </row>
    <row r="28" spans="1:10" x14ac:dyDescent="0.2">
      <c r="A28" s="47">
        <v>27</v>
      </c>
      <c r="B28" s="18">
        <v>20</v>
      </c>
      <c r="C28" s="18" t="s">
        <v>7</v>
      </c>
      <c r="D28" t="s">
        <v>19</v>
      </c>
      <c r="E28" s="12">
        <v>2054</v>
      </c>
      <c r="F28" s="12">
        <f>_xlfn.IFNA(VLOOKUP(D:D,'Week 43 Oct 19 - Oct 25 2020'!D:F,3,FALSE),"New")+Table40424345[[#This Row],[Week Sales]]</f>
        <v>980445</v>
      </c>
      <c r="G28" s="64" t="str">
        <f>(VLOOKUP(D:D,'Week 43 Oct 19 - Oct 25 2020'!D:G,4,FALSE))</f>
        <v>Nintendo</v>
      </c>
      <c r="H28" s="60">
        <f>(VLOOKUP(D:D,'Week 43 Oct 19 - Oct 25 2020'!D:H,5,FALSE))</f>
        <v>43644</v>
      </c>
      <c r="I28" s="55">
        <f>_xlfn.IFNA(SUMIFS('Week 43 Oct 19 - Oct 25 2020'!E:E,'Week 43 Oct 19 - Oct 25 2020'!D:D,'Week 44 Oct 26 - Nov 1 2020'!D:D,'Week 43 Oct 19 - Oct 25 2020'!C:C,'Week 44 Oct 26 - Nov 1 2020'!C:C),"New")</f>
        <v>1836</v>
      </c>
      <c r="J28" s="56">
        <f t="shared" si="0"/>
        <v>0.11873638344226579</v>
      </c>
    </row>
    <row r="29" spans="1:10" x14ac:dyDescent="0.2">
      <c r="A29" s="47">
        <v>28</v>
      </c>
      <c r="B29" s="18">
        <v>19</v>
      </c>
      <c r="C29" s="18" t="s">
        <v>7</v>
      </c>
      <c r="D29" s="47" t="s">
        <v>16</v>
      </c>
      <c r="E29" s="12">
        <v>2037</v>
      </c>
      <c r="F29" s="12">
        <f>_xlfn.IFNA(VLOOKUP(D:D,'Week 43 Oct 19 - Oct 25 2020'!D:F,3,FALSE),"New")+Table40424345[[#This Row],[Week Sales]]</f>
        <v>313908</v>
      </c>
      <c r="G29" s="64" t="str">
        <f>(VLOOKUP(D:D,'Week 43 Oct 19 - Oct 25 2020'!D:G,4,FALSE))</f>
        <v>Nintendo</v>
      </c>
      <c r="H29" s="60">
        <f>(VLOOKUP(D:D,'Week 43 Oct 19 - Oct 25 2020'!D:H,5,FALSE))</f>
        <v>43826</v>
      </c>
      <c r="I29" s="55">
        <f>_xlfn.IFNA(SUMIFS('Week 43 Oct 19 - Oct 25 2020'!E:E,'Week 43 Oct 19 - Oct 25 2020'!D:D,'Week 44 Oct 26 - Nov 1 2020'!D:D,'Week 43 Oct 19 - Oct 25 2020'!C:C,'Week 44 Oct 26 - Nov 1 2020'!C:C),"New")</f>
        <v>1969</v>
      </c>
      <c r="J29" s="56">
        <f t="shared" si="0"/>
        <v>3.4535297105129509E-2</v>
      </c>
    </row>
    <row r="30" spans="1:10" x14ac:dyDescent="0.2">
      <c r="A30" s="47">
        <v>29</v>
      </c>
      <c r="B30" s="18">
        <v>17</v>
      </c>
      <c r="C30" s="18" t="s">
        <v>7</v>
      </c>
      <c r="D30" s="47" t="s">
        <v>114</v>
      </c>
      <c r="E30" s="12">
        <v>1719</v>
      </c>
      <c r="F30" s="12">
        <f>_xlfn.IFNA(VLOOKUP(D:D,'Week 43 Oct 19 - Oct 25 2020'!D:F,3,FALSE),"New")+Table40424345[[#This Row],[Week Sales]]</f>
        <v>20390</v>
      </c>
      <c r="G30" s="64" t="str">
        <f>(VLOOKUP(D:D,'Week 43 Oct 19 - Oct 25 2020'!D:G,4,FALSE))</f>
        <v>Electronic Arts</v>
      </c>
      <c r="H30" s="60">
        <f>(VLOOKUP(D:D,'Week 43 Oct 19 - Oct 25 2020'!D:H,5,FALSE))</f>
        <v>44113</v>
      </c>
      <c r="I30" s="55">
        <f>_xlfn.IFNA(SUMIFS('Week 43 Oct 19 - Oct 25 2020'!E:E,'Week 43 Oct 19 - Oct 25 2020'!D:D,'Week 44 Oct 26 - Nov 1 2020'!D:D,'Week 43 Oct 19 - Oct 25 2020'!C:C,'Week 44 Oct 26 - Nov 1 2020'!C:C),"New")</f>
        <v>2403</v>
      </c>
      <c r="J30" s="56">
        <f t="shared" si="0"/>
        <v>-0.28464419475655428</v>
      </c>
    </row>
    <row r="31" spans="1:10" x14ac:dyDescent="0.2">
      <c r="A31" s="69">
        <v>30</v>
      </c>
      <c r="B31" s="18">
        <v>22</v>
      </c>
      <c r="C31" s="18" t="s">
        <v>7</v>
      </c>
      <c r="D31" t="s">
        <v>15</v>
      </c>
      <c r="E31" s="12">
        <v>1702</v>
      </c>
      <c r="F31" s="12">
        <f>_xlfn.IFNA(VLOOKUP(D:D,'Week 43 Oct 19 - Oct 25 2020'!D:F,3,FALSE),"New")+Table40424345[[#This Row],[Week Sales]]</f>
        <v>267743</v>
      </c>
      <c r="G31" s="68" t="str">
        <f>(VLOOKUP(D:D,'Week 43 Oct 19 - Oct 25 2020'!D:G,4,FALSE))</f>
        <v>Nintendo</v>
      </c>
      <c r="H31" s="60">
        <f>(VLOOKUP(D:D,'Week 43 Oct 19 - Oct 25 2020'!D:H,5,FALSE))</f>
        <v>44029</v>
      </c>
      <c r="I31" s="55">
        <f>_xlfn.IFNA(SUMIFS('Week 43 Oct 19 - Oct 25 2020'!E:E,'Week 43 Oct 19 - Oct 25 2020'!D:D,'Week 44 Oct 26 - Nov 1 2020'!D:D,'Week 43 Oct 19 - Oct 25 2020'!C:C,'Week 44 Oct 26 - Nov 1 2020'!C:C),"New")</f>
        <v>1630</v>
      </c>
      <c r="J31" s="56">
        <f t="shared" si="0"/>
        <v>4.4171779141104296E-2</v>
      </c>
    </row>
    <row r="33" spans="4:5" x14ac:dyDescent="0.2">
      <c r="D33" s="2" t="s">
        <v>59</v>
      </c>
      <c r="E33" s="2">
        <f>SUM(E2:E31)</f>
        <v>488932</v>
      </c>
    </row>
    <row r="34" spans="4:5" x14ac:dyDescent="0.2">
      <c r="D34" s="100" t="s">
        <v>178</v>
      </c>
      <c r="E34" s="101">
        <f>SUM('Week 43 Oct 19 - Oct 25 2020'!E34,'Week 44 Oct 26 - Nov 1 2020'!E33)</f>
        <v>19033638</v>
      </c>
    </row>
    <row r="35" spans="4:5" x14ac:dyDescent="0.2">
      <c r="D35" s="99" t="s">
        <v>300</v>
      </c>
      <c r="E35" s="99">
        <f>E33+'Week 43 Oct 19 - Oct 25 2020'!E33+'Week 42 Oct 12 - Oct 18 2020'!E33+'Week 41 Oct 5 - Oct 11 2020'!E33+'Week 40 Sept 28 - Oct 4 2020'!E33</f>
        <v>1346017</v>
      </c>
    </row>
    <row r="36" spans="4:5" x14ac:dyDescent="0.2">
      <c r="D36" s="2" t="s">
        <v>60</v>
      </c>
      <c r="E36" s="2">
        <f>AVERAGE(E2:E31)</f>
        <v>16297.733333333334</v>
      </c>
    </row>
    <row r="37" spans="4:5" x14ac:dyDescent="0.2">
      <c r="D37" s="9" t="s">
        <v>78</v>
      </c>
      <c r="E37" s="10">
        <f>COUNTIF(B:B,"New")</f>
        <v>10</v>
      </c>
    </row>
    <row r="38" spans="4:5" x14ac:dyDescent="0.2">
      <c r="E38" s="2"/>
    </row>
    <row r="39" spans="4:5" x14ac:dyDescent="0.2">
      <c r="D39" t="s">
        <v>66</v>
      </c>
      <c r="E39" s="2"/>
    </row>
    <row r="40" spans="4:5" x14ac:dyDescent="0.2">
      <c r="D40" s="8" t="s">
        <v>67</v>
      </c>
      <c r="E40" s="2"/>
    </row>
    <row r="41" spans="4:5" x14ac:dyDescent="0.2">
      <c r="D41" s="8" t="s">
        <v>65</v>
      </c>
      <c r="E41" s="2"/>
    </row>
    <row r="42" spans="4:5" x14ac:dyDescent="0.2">
      <c r="D42" s="8" t="s">
        <v>71</v>
      </c>
      <c r="E42" s="2"/>
    </row>
  </sheetData>
  <hyperlinks>
    <hyperlink ref="D41" r:id="rId1" xr:uid="{ED389687-C737-234A-A79C-3A19BED5631E}"/>
    <hyperlink ref="D40" r:id="rId2" xr:uid="{31FFD35F-5BA5-4741-B808-A8F384A6EDE7}"/>
    <hyperlink ref="D42" r:id="rId3" xr:uid="{6848FAE6-F950-F844-B761-FD747AC4FAB3}"/>
  </hyperlinks>
  <pageMargins left="0.7" right="0.7" top="0.75" bottom="0.75" header="0.3" footer="0.3"/>
  <pageSetup paperSize="9" orientation="portrait" horizontalDpi="0" verticalDpi="0"/>
  <ignoredErrors>
    <ignoredError sqref="J2 I2:I31 F2:H31" calculatedColumn="1"/>
  </ignoredErrors>
  <tableParts count="1">
    <tablePart r:id="rId4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87F0-893B-534D-95B5-C4D2598DE768}">
  <dimension ref="A1:L41"/>
  <sheetViews>
    <sheetView workbookViewId="0">
      <selection activeCell="D11" sqref="D2:E11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46.83203125" bestFit="1" customWidth="1"/>
    <col min="6" max="6" width="10.1640625" bestFit="1" customWidth="1"/>
    <col min="7" max="7" width="20.66406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41" t="s">
        <v>0</v>
      </c>
      <c r="B1" s="41" t="s">
        <v>35</v>
      </c>
      <c r="C1" s="42" t="s">
        <v>1</v>
      </c>
      <c r="D1" s="42" t="s">
        <v>2</v>
      </c>
      <c r="E1" s="43" t="s">
        <v>3</v>
      </c>
      <c r="F1" s="43" t="s">
        <v>4</v>
      </c>
      <c r="G1" s="42" t="s">
        <v>5</v>
      </c>
      <c r="H1" s="45" t="s">
        <v>6</v>
      </c>
      <c r="I1" s="43" t="s">
        <v>64</v>
      </c>
      <c r="J1" s="44" t="s">
        <v>63</v>
      </c>
    </row>
    <row r="2" spans="1:10" x14ac:dyDescent="0.2">
      <c r="A2" s="47">
        <v>1</v>
      </c>
      <c r="B2" s="18">
        <v>1</v>
      </c>
      <c r="C2" s="18" t="s">
        <v>7</v>
      </c>
      <c r="D2" s="18" t="s">
        <v>132</v>
      </c>
      <c r="E2" s="12">
        <v>67925</v>
      </c>
      <c r="F2" s="12">
        <f>_xlfn.IFNA(VLOOKUP(D:D,'Week 44 Oct 26 - Nov 1 2020'!D:F,3,FALSE),"")+Table40424346[[#This Row],[Week Sales]]</f>
        <v>239274</v>
      </c>
      <c r="G2" s="18" t="str">
        <f>(VLOOKUP(D:D,'Week 44 Oct 26 - Nov 1 2020'!D:G,4,FALSE))</f>
        <v>Nintendo</v>
      </c>
      <c r="H2" s="60">
        <f>(VLOOKUP(D:D,'Week 44 Oct 26 - Nov 1 2020'!D:H,5,FALSE))</f>
        <v>44134</v>
      </c>
      <c r="I2" s="55">
        <f>_xlfn.IFNA(VLOOKUP(D2,'Week 44 Oct 26 - Nov 1 2020'!D:E,2,FALSE),"New")</f>
        <v>171349</v>
      </c>
      <c r="J2" s="56">
        <f>IFERROR((E2-I2)/I2,"New")</f>
        <v>-0.60358683155431314</v>
      </c>
    </row>
    <row r="3" spans="1:10" x14ac:dyDescent="0.2">
      <c r="A3" s="47">
        <v>2</v>
      </c>
      <c r="B3" s="18">
        <v>5</v>
      </c>
      <c r="C3" s="18" t="s">
        <v>7</v>
      </c>
      <c r="D3" s="47" t="s">
        <v>45</v>
      </c>
      <c r="E3" s="12">
        <v>37256</v>
      </c>
      <c r="F3" s="12">
        <f>_xlfn.IFNA(VLOOKUP(D:D,'Week 44 Oct 26 - Nov 1 2020'!D:F,3,FALSE),"")+Table40424346[[#This Row],[Week Sales]]</f>
        <v>1783608</v>
      </c>
      <c r="G3" s="18" t="str">
        <f>(VLOOKUP(D:D,'Week 44 Oct 26 - Nov 1 2020'!D:G,4,FALSE))</f>
        <v>Nintendo</v>
      </c>
      <c r="H3" s="60">
        <f>(VLOOKUP(D:D,'Week 44 Oct 26 - Nov 1 2020'!D:H,5,FALSE))</f>
        <v>43756</v>
      </c>
      <c r="I3" s="55">
        <f>_xlfn.IFNA(VLOOKUP(D3,'Week 44 Oct 26 - Nov 1 2020'!D:E,2,FALSE),"New")</f>
        <v>29086</v>
      </c>
      <c r="J3" s="56">
        <f t="shared" ref="J3:J31" si="0">IFERROR((E3-I3)/I3,"New")</f>
        <v>0.28089115038162688</v>
      </c>
    </row>
    <row r="4" spans="1:10" x14ac:dyDescent="0.2">
      <c r="A4" s="47">
        <v>3</v>
      </c>
      <c r="B4" s="18">
        <v>6</v>
      </c>
      <c r="C4" s="18" t="s">
        <v>7</v>
      </c>
      <c r="D4" s="47" t="s">
        <v>46</v>
      </c>
      <c r="E4" s="12">
        <v>31687</v>
      </c>
      <c r="F4" s="12">
        <f>_xlfn.IFNA(VLOOKUP(D:D,'Week 44 Oct 26 - Nov 1 2020'!D:F,3,FALSE),"")+Table40424346[[#This Row],[Week Sales]]</f>
        <v>5941433</v>
      </c>
      <c r="G4" s="18" t="str">
        <f>(VLOOKUP(D:D,'Week 44 Oct 26 - Nov 1 2020'!D:G,4,FALSE))</f>
        <v>Nintendo</v>
      </c>
      <c r="H4" s="60">
        <f>(VLOOKUP(D:D,'Week 44 Oct 26 - Nov 1 2020'!D:H,5,FALSE))</f>
        <v>43910</v>
      </c>
      <c r="I4" s="55">
        <f>_xlfn.IFNA(VLOOKUP(D4,'Week 44 Oct 26 - Nov 1 2020'!D:E,2,FALSE),"New")</f>
        <v>24009</v>
      </c>
      <c r="J4" s="56">
        <f t="shared" si="0"/>
        <v>0.31979674288808363</v>
      </c>
    </row>
    <row r="5" spans="1:10" x14ac:dyDescent="0.2">
      <c r="A5" s="46">
        <v>4</v>
      </c>
      <c r="B5" s="9" t="s">
        <v>36</v>
      </c>
      <c r="C5" s="9" t="s">
        <v>7</v>
      </c>
      <c r="D5" s="46" t="s">
        <v>145</v>
      </c>
      <c r="E5" s="10">
        <v>18638</v>
      </c>
      <c r="F5" s="10">
        <v>18638</v>
      </c>
      <c r="G5" s="9" t="s">
        <v>42</v>
      </c>
      <c r="H5" s="72">
        <v>43784</v>
      </c>
      <c r="I5" s="73" t="str">
        <f>_xlfn.IFNA(VLOOKUP(D5,'Week 44 Oct 26 - Nov 1 2020'!D:E,2,FALSE),"New")</f>
        <v>New</v>
      </c>
      <c r="J5" s="90" t="str">
        <f t="shared" si="0"/>
        <v>New</v>
      </c>
    </row>
    <row r="6" spans="1:10" x14ac:dyDescent="0.2">
      <c r="A6" s="46">
        <v>5</v>
      </c>
      <c r="B6" s="9" t="s">
        <v>36</v>
      </c>
      <c r="C6" s="9" t="s">
        <v>7</v>
      </c>
      <c r="D6" s="46" t="s">
        <v>144</v>
      </c>
      <c r="E6" s="10">
        <v>13871</v>
      </c>
      <c r="F6" s="10">
        <v>13871</v>
      </c>
      <c r="G6" s="9" t="s">
        <v>148</v>
      </c>
      <c r="H6" s="72">
        <v>44140</v>
      </c>
      <c r="I6" s="73" t="str">
        <f>_xlfn.IFNA(VLOOKUP(D6,'Week 44 Oct 26 - Nov 1 2020'!D:E,2,FALSE),"New")</f>
        <v>New</v>
      </c>
      <c r="J6" s="90" t="str">
        <f t="shared" si="0"/>
        <v>New</v>
      </c>
    </row>
    <row r="7" spans="1:10" x14ac:dyDescent="0.2">
      <c r="A7" s="47">
        <v>6</v>
      </c>
      <c r="B7" s="18">
        <v>9</v>
      </c>
      <c r="C7" s="18" t="s">
        <v>7</v>
      </c>
      <c r="D7" s="18" t="s">
        <v>49</v>
      </c>
      <c r="E7" s="12">
        <v>12318</v>
      </c>
      <c r="F7" s="12">
        <f>_xlfn.IFNA(VLOOKUP(D:D,'Week 44 Oct 26 - Nov 1 2020'!D:F,3,FALSE),"")+Table40424346[[#This Row],[Week Sales]]</f>
        <v>3250835</v>
      </c>
      <c r="G7" s="18" t="str">
        <f>(VLOOKUP(D:D,'Week 44 Oct 26 - Nov 1 2020'!D:G,4,FALSE))</f>
        <v>Nintendo</v>
      </c>
      <c r="H7" s="60">
        <f>(VLOOKUP(D:D,'Week 44 Oct 26 - Nov 1 2020'!D:H,5,FALSE))</f>
        <v>42853</v>
      </c>
      <c r="I7" s="55">
        <f>_xlfn.IFNA(VLOOKUP(D7,'Week 44 Oct 26 - Nov 1 2020'!D:E,2,FALSE),"New")</f>
        <v>9569</v>
      </c>
      <c r="J7" s="56">
        <f t="shared" si="0"/>
        <v>0.28728184763298148</v>
      </c>
    </row>
    <row r="8" spans="1:10" x14ac:dyDescent="0.2">
      <c r="A8" s="47">
        <v>7</v>
      </c>
      <c r="B8" s="18">
        <v>4</v>
      </c>
      <c r="C8" s="18" t="s">
        <v>8</v>
      </c>
      <c r="D8" s="47" t="s">
        <v>134</v>
      </c>
      <c r="E8" s="12">
        <v>8723</v>
      </c>
      <c r="F8" s="12">
        <f>_xlfn.IFNA(VLOOKUP(D:D,'Week 44 Oct 26 - Nov 1 2020'!D:F,3,FALSE),"")+Table40424346[[#This Row],[Week Sales]]</f>
        <v>49685</v>
      </c>
      <c r="G8" s="47" t="str">
        <f>(VLOOKUP(D:D,'Week 44 Oct 26 - Nov 1 2020'!D:G,4,FALSE))</f>
        <v>Ubisoft</v>
      </c>
      <c r="H8" s="60">
        <f>(VLOOKUP(D:D,'Week 44 Oct 26 - Nov 1 2020'!D:H,5,FALSE))</f>
        <v>44133</v>
      </c>
      <c r="I8" s="55">
        <f>_xlfn.IFNA(VLOOKUP(D8,'Week 44 Oct 26 - Nov 1 2020'!D:E,2,FALSE),"New")</f>
        <v>40962</v>
      </c>
      <c r="J8" s="56">
        <f t="shared" si="0"/>
        <v>-0.78704653093110688</v>
      </c>
    </row>
    <row r="9" spans="1:10" x14ac:dyDescent="0.2">
      <c r="A9" s="47">
        <v>8</v>
      </c>
      <c r="B9" s="18">
        <v>12</v>
      </c>
      <c r="C9" s="18" t="s">
        <v>7</v>
      </c>
      <c r="D9" s="47" t="s">
        <v>40</v>
      </c>
      <c r="E9" s="12">
        <v>8536</v>
      </c>
      <c r="F9" s="12">
        <f>_xlfn.IFNA(VLOOKUP(D:D,'Week 44 Oct 26 - Nov 1 2020'!D:F,3,FALSE),"")+Table40424346[[#This Row],[Week Sales]]</f>
        <v>373171</v>
      </c>
      <c r="G9" s="18" t="str">
        <f>(VLOOKUP(D:D,'Week 44 Oct 26 - Nov 1 2020'!D:G,4,FALSE))</f>
        <v>Nintendo</v>
      </c>
      <c r="H9" s="60">
        <f>(VLOOKUP(D:D,'Week 44 Oct 26 - Nov 1 2020'!D:H,5,FALSE))</f>
        <v>44092</v>
      </c>
      <c r="I9" s="55">
        <f>_xlfn.IFNA(VLOOKUP(D9,'Week 44 Oct 26 - Nov 1 2020'!D:E,2,FALSE),"New")</f>
        <v>9207</v>
      </c>
      <c r="J9" s="56">
        <f t="shared" si="0"/>
        <v>-7.2879330943847076E-2</v>
      </c>
    </row>
    <row r="10" spans="1:10" x14ac:dyDescent="0.2">
      <c r="A10" s="47">
        <v>9</v>
      </c>
      <c r="B10" s="18">
        <v>13</v>
      </c>
      <c r="C10" s="18" t="s">
        <v>7</v>
      </c>
      <c r="D10" s="47" t="s">
        <v>12</v>
      </c>
      <c r="E10" s="12">
        <v>8091</v>
      </c>
      <c r="F10" s="12">
        <f>_xlfn.IFNA(VLOOKUP(D:D,'Week 44 Oct 26 - Nov 1 2020'!D:F,3,FALSE),"")+Table40424346[[#This Row],[Week Sales]]</f>
        <v>1551842</v>
      </c>
      <c r="G10" s="18" t="str">
        <f>(VLOOKUP(D:D,'Week 44 Oct 26 - Nov 1 2020'!D:G,4,FALSE))</f>
        <v>Microsoft</v>
      </c>
      <c r="H10" s="60">
        <f>(VLOOKUP(D:D,'Week 44 Oct 26 - Nov 1 2020'!D:H,5,FALSE))</f>
        <v>43272</v>
      </c>
      <c r="I10" s="55">
        <f>_xlfn.IFNA(VLOOKUP(D10,'Week 44 Oct 26 - Nov 1 2020'!D:E,2,FALSE),"New")</f>
        <v>6390</v>
      </c>
      <c r="J10" s="56">
        <f t="shared" si="0"/>
        <v>0.26619718309859153</v>
      </c>
    </row>
    <row r="11" spans="1:10" x14ac:dyDescent="0.2">
      <c r="A11" s="47">
        <v>10</v>
      </c>
      <c r="B11" s="18">
        <v>10</v>
      </c>
      <c r="C11" s="18" t="s">
        <v>7</v>
      </c>
      <c r="D11" s="47" t="s">
        <v>62</v>
      </c>
      <c r="E11" s="12">
        <v>7638</v>
      </c>
      <c r="F11" s="12">
        <f>_xlfn.IFNA(VLOOKUP(D:D,'Week 44 Oct 26 - Nov 1 2020'!D:F,3,FALSE),"")+Table40424346[[#This Row],[Week Sales]]</f>
        <v>3790783</v>
      </c>
      <c r="G11" s="64" t="str">
        <f>(VLOOKUP(D:D,'Week 44 Oct 26 - Nov 1 2020'!D:G,4,FALSE))</f>
        <v>The Pokemon Company</v>
      </c>
      <c r="H11" s="60">
        <f>(VLOOKUP(D:D,'Week 44 Oct 26 - Nov 1 2020'!D:H,5,FALSE))</f>
        <v>43784</v>
      </c>
      <c r="I11" s="55">
        <f>_xlfn.IFNA(VLOOKUP(D11,'Week 44 Oct 26 - Nov 1 2020'!D:E,2,FALSE),"New")</f>
        <v>9421</v>
      </c>
      <c r="J11" s="56">
        <f t="shared" si="0"/>
        <v>-0.18925804054771256</v>
      </c>
    </row>
    <row r="12" spans="1:10" x14ac:dyDescent="0.2">
      <c r="A12" s="47">
        <v>11</v>
      </c>
      <c r="B12" s="18">
        <v>2</v>
      </c>
      <c r="C12" s="18" t="s">
        <v>7</v>
      </c>
      <c r="D12" s="47" t="s">
        <v>133</v>
      </c>
      <c r="E12" s="12">
        <v>7068</v>
      </c>
      <c r="F12" s="12">
        <f>_xlfn.IFNA(VLOOKUP(D:D,'Week 44 Oct 26 - Nov 1 2020'!D:F,3,FALSE),"")+Table40424346[[#This Row],[Week Sales]]</f>
        <v>59549</v>
      </c>
      <c r="G12" s="18" t="str">
        <f>(VLOOKUP(D:D,'Week 44 Oct 26 - Nov 1 2020'!D:G,4,FALSE))</f>
        <v>Atlus</v>
      </c>
      <c r="H12" s="60">
        <f>(VLOOKUP(D:D,'Week 44 Oct 26 - Nov 1 2020'!D:H,5,FALSE))</f>
        <v>44133</v>
      </c>
      <c r="I12" s="55">
        <f>_xlfn.IFNA(VLOOKUP(D12,'Week 44 Oct 26 - Nov 1 2020'!D:E,2,FALSE),"New")</f>
        <v>52481</v>
      </c>
      <c r="J12" s="56">
        <f t="shared" si="0"/>
        <v>-0.86532268821097158</v>
      </c>
    </row>
    <row r="13" spans="1:10" x14ac:dyDescent="0.2">
      <c r="A13" s="46">
        <v>12</v>
      </c>
      <c r="B13" s="9" t="s">
        <v>36</v>
      </c>
      <c r="C13" s="9" t="s">
        <v>8</v>
      </c>
      <c r="D13" s="46" t="s">
        <v>146</v>
      </c>
      <c r="E13" s="10">
        <v>6819</v>
      </c>
      <c r="F13" s="10">
        <v>6819</v>
      </c>
      <c r="G13" s="63" t="s">
        <v>41</v>
      </c>
      <c r="H13" s="72">
        <v>44140</v>
      </c>
      <c r="I13" s="73" t="str">
        <f>_xlfn.IFNA(VLOOKUP(D13,'Week 44 Oct 26 - Nov 1 2020'!D:E,2,FALSE),"New")</f>
        <v>New</v>
      </c>
      <c r="J13" s="90" t="str">
        <f t="shared" si="0"/>
        <v>New</v>
      </c>
    </row>
    <row r="14" spans="1:10" x14ac:dyDescent="0.2">
      <c r="A14" s="47">
        <v>13</v>
      </c>
      <c r="B14" s="18">
        <v>3</v>
      </c>
      <c r="C14" s="18" t="s">
        <v>8</v>
      </c>
      <c r="D14" s="47" t="s">
        <v>133</v>
      </c>
      <c r="E14" s="12">
        <v>6671</v>
      </c>
      <c r="F14" s="12">
        <f>_xlfn.IFNA(VLOOKUP(D:D,'Week 44 Oct 26 - Nov 1 2020'!D:F,3,FALSE),"")+Table40424346[[#This Row],[Week Sales]]</f>
        <v>59152</v>
      </c>
      <c r="G14" s="18" t="str">
        <f>(VLOOKUP(D:D,'Week 44 Oct 26 - Nov 1 2020'!D:G,4,FALSE))</f>
        <v>Atlus</v>
      </c>
      <c r="H14" s="60">
        <f>(VLOOKUP(D:D,'Week 44 Oct 26 - Nov 1 2020'!D:H,5,FALSE))</f>
        <v>44133</v>
      </c>
      <c r="I14" s="55">
        <f>_xlfn.IFNA(VLOOKUP(D14,'Week 44 Oct 26 - Nov 1 2020'!D:E,2,FALSE),"New")</f>
        <v>52481</v>
      </c>
      <c r="J14" s="56">
        <f t="shared" si="0"/>
        <v>-0.87288733065299828</v>
      </c>
    </row>
    <row r="15" spans="1:10" x14ac:dyDescent="0.2">
      <c r="A15" s="47">
        <v>14</v>
      </c>
      <c r="B15" s="18">
        <v>15</v>
      </c>
      <c r="C15" s="18" t="s">
        <v>7</v>
      </c>
      <c r="D15" s="47" t="s">
        <v>52</v>
      </c>
      <c r="E15" s="12">
        <v>6046</v>
      </c>
      <c r="F15" s="12">
        <f>_xlfn.IFNA(VLOOKUP(D:D,'Week 44 Oct 26 - Nov 1 2020'!D:F,3,FALSE),"")+Table40424346[[#This Row],[Week Sales]]</f>
        <v>3871914</v>
      </c>
      <c r="G15" s="18" t="str">
        <f>(VLOOKUP(D:D,'Week 44 Oct 26 - Nov 1 2020'!D:G,4,FALSE))</f>
        <v>Nintendo</v>
      </c>
      <c r="H15" s="60">
        <f>(VLOOKUP(D:D,'Week 44 Oct 26 - Nov 1 2020'!D:H,5,FALSE))</f>
        <v>43441</v>
      </c>
      <c r="I15" s="55">
        <f>_xlfn.IFNA(VLOOKUP(D15,'Week 44 Oct 26 - Nov 1 2020'!D:E,2,FALSE),"New")</f>
        <v>5231</v>
      </c>
      <c r="J15" s="56">
        <f t="shared" si="0"/>
        <v>0.15580194991397439</v>
      </c>
    </row>
    <row r="16" spans="1:10" x14ac:dyDescent="0.2">
      <c r="A16" s="47">
        <v>15</v>
      </c>
      <c r="B16" s="18">
        <v>16</v>
      </c>
      <c r="C16" s="18" t="s">
        <v>7</v>
      </c>
      <c r="D16" s="47" t="s">
        <v>13</v>
      </c>
      <c r="E16" s="12">
        <v>5783</v>
      </c>
      <c r="F16" s="12">
        <f>_xlfn.IFNA(VLOOKUP(D:D,'Week 44 Oct 26 - Nov 1 2020'!D:F,3,FALSE),"")+Table40424346[[#This Row],[Week Sales]]</f>
        <v>1591405</v>
      </c>
      <c r="G16" s="18" t="str">
        <f>(VLOOKUP(D:D,'Week 44 Oct 26 - Nov 1 2020'!D:G,4,FALSE))</f>
        <v>Nintendo</v>
      </c>
      <c r="H16" s="60">
        <f>(VLOOKUP(D:D,'Week 44 Oct 26 - Nov 1 2020'!D:H,5,FALSE))</f>
        <v>43378</v>
      </c>
      <c r="I16" s="55">
        <f>_xlfn.IFNA(VLOOKUP(D16,'Week 44 Oct 26 - Nov 1 2020'!D:E,2,FALSE),"New")</f>
        <v>4735</v>
      </c>
      <c r="J16" s="56">
        <f t="shared" si="0"/>
        <v>0.22133051742344245</v>
      </c>
    </row>
    <row r="17" spans="1:12" x14ac:dyDescent="0.2">
      <c r="A17" s="47">
        <v>16</v>
      </c>
      <c r="B17" s="18">
        <v>18</v>
      </c>
      <c r="C17" s="18" t="s">
        <v>7</v>
      </c>
      <c r="D17" s="47" t="s">
        <v>10</v>
      </c>
      <c r="E17" s="12">
        <v>4807</v>
      </c>
      <c r="F17" s="12">
        <f>_xlfn.IFNA(VLOOKUP(D:D,'Week 44 Oct 26 - Nov 1 2020'!D:F,3,FALSE),"")+Table40424346[[#This Row],[Week Sales]]</f>
        <v>3596910</v>
      </c>
      <c r="G17" s="64" t="str">
        <f>(VLOOKUP(D:D,'Week 44 Oct 26 - Nov 1 2020'!D:G,4,FALSE))</f>
        <v>Nintendo</v>
      </c>
      <c r="H17" s="60">
        <f>(VLOOKUP(D:D,'Week 44 Oct 26 - Nov 1 2020'!D:H,5,FALSE))</f>
        <v>42937</v>
      </c>
      <c r="I17" s="55">
        <f>_xlfn.IFNA(VLOOKUP(D17,'Week 44 Oct 26 - Nov 1 2020'!D:E,2,FALSE),"New")</f>
        <v>3955</v>
      </c>
      <c r="J17" s="56">
        <f t="shared" si="0"/>
        <v>0.21542351453855879</v>
      </c>
    </row>
    <row r="18" spans="1:12" x14ac:dyDescent="0.2">
      <c r="A18" s="47">
        <v>17</v>
      </c>
      <c r="B18" s="18">
        <v>17</v>
      </c>
      <c r="C18" s="18" t="s">
        <v>7</v>
      </c>
      <c r="D18" t="s">
        <v>50</v>
      </c>
      <c r="E18" s="12">
        <v>4571</v>
      </c>
      <c r="F18" s="12">
        <f>_xlfn.IFNA(VLOOKUP(D:D,'Week 44 Oct 26 - Nov 1 2020'!D:F,3,FALSE),"")+Table40424346[[#This Row],[Week Sales]]</f>
        <v>420726</v>
      </c>
      <c r="G18" s="64" t="str">
        <f>(VLOOKUP(D:D,'Week 44 Oct 26 - Nov 1 2020'!D:G,4,FALSE))</f>
        <v>Nintendo</v>
      </c>
      <c r="H18" s="60">
        <f>(VLOOKUP(D:D,'Week 44 Oct 26 - Nov 1 2020'!D:H,5,FALSE))</f>
        <v>43987</v>
      </c>
      <c r="I18" s="55">
        <f>_xlfn.IFNA(VLOOKUP(D18,'Week 44 Oct 26 - Nov 1 2020'!D:E,2,FALSE),"New")</f>
        <v>4171</v>
      </c>
      <c r="J18" s="56">
        <f t="shared" si="0"/>
        <v>9.5900263725725243E-2</v>
      </c>
    </row>
    <row r="19" spans="1:12" x14ac:dyDescent="0.2">
      <c r="A19" s="46">
        <v>18</v>
      </c>
      <c r="B19" s="9" t="s">
        <v>36</v>
      </c>
      <c r="C19" s="9" t="s">
        <v>7</v>
      </c>
      <c r="D19" s="46" t="s">
        <v>146</v>
      </c>
      <c r="E19" s="10">
        <v>4544</v>
      </c>
      <c r="F19" s="10">
        <v>4544</v>
      </c>
      <c r="G19" s="63" t="s">
        <v>41</v>
      </c>
      <c r="H19" s="72">
        <v>44140</v>
      </c>
      <c r="I19" s="73" t="str">
        <f>_xlfn.IFNA(VLOOKUP(D19,'Week 44 Oct 26 - Nov 1 2020'!D:E,2,FALSE),"New")</f>
        <v>New</v>
      </c>
      <c r="J19" s="90" t="str">
        <f t="shared" si="0"/>
        <v>New</v>
      </c>
    </row>
    <row r="20" spans="1:12" x14ac:dyDescent="0.2">
      <c r="A20" s="47">
        <v>19</v>
      </c>
      <c r="B20" s="18">
        <v>21</v>
      </c>
      <c r="C20" s="18" t="s">
        <v>7</v>
      </c>
      <c r="D20" s="47" t="s">
        <v>39</v>
      </c>
      <c r="E20" s="12">
        <v>4056</v>
      </c>
      <c r="F20" s="12">
        <f>_xlfn.IFNA(VLOOKUP(D:D,'Week 44 Oct 26 - Nov 1 2020'!D:F,3,FALSE),"")+Table40424346[[#This Row],[Week Sales]]</f>
        <v>1676903</v>
      </c>
      <c r="G20" s="64" t="str">
        <f>(VLOOKUP(D:D,'Week 44 Oct 26 - Nov 1 2020'!D:G,4,FALSE))</f>
        <v>Nintendo</v>
      </c>
      <c r="H20" s="60">
        <f>(VLOOKUP(D:D,'Week 44 Oct 26 - Nov 1 2020'!D:H,5,FALSE))</f>
        <v>42797</v>
      </c>
      <c r="I20" s="55">
        <f>_xlfn.IFNA(VLOOKUP(D20,'Week 44 Oct 26 - Nov 1 2020'!D:E,2,FALSE),"New")</f>
        <v>3168</v>
      </c>
      <c r="J20" s="56">
        <f t="shared" si="0"/>
        <v>0.28030303030303028</v>
      </c>
    </row>
    <row r="21" spans="1:12" x14ac:dyDescent="0.2">
      <c r="A21" s="47">
        <v>20</v>
      </c>
      <c r="B21" s="18">
        <v>22</v>
      </c>
      <c r="C21" s="18" t="s">
        <v>7</v>
      </c>
      <c r="D21" s="47" t="s">
        <v>17</v>
      </c>
      <c r="E21" s="12">
        <v>3633</v>
      </c>
      <c r="F21" s="12">
        <f>_xlfn.IFNA(VLOOKUP(D:D,'Week 44 Oct 26 - Nov 1 2020'!D:F,3,FALSE),"")+Table40424346[[#This Row],[Week Sales]]</f>
        <v>922995</v>
      </c>
      <c r="G21" s="64" t="str">
        <f>(VLOOKUP(D:D,'Week 44 Oct 26 - Nov 1 2020'!D:G,4,FALSE))</f>
        <v>Nintendo</v>
      </c>
      <c r="H21" s="60">
        <f>(VLOOKUP(D:D,'Week 44 Oct 26 - Nov 1 2020'!D:H,5,FALSE))</f>
        <v>43476</v>
      </c>
      <c r="I21" s="55">
        <f>_xlfn.IFNA(VLOOKUP(D21,'Week 44 Oct 26 - Nov 1 2020'!D:E,2,FALSE),"New")</f>
        <v>3007</v>
      </c>
      <c r="J21" s="56">
        <f t="shared" si="0"/>
        <v>0.20818091120718324</v>
      </c>
    </row>
    <row r="22" spans="1:12" x14ac:dyDescent="0.2">
      <c r="A22" s="47">
        <v>21</v>
      </c>
      <c r="B22" s="18">
        <v>27</v>
      </c>
      <c r="C22" s="18" t="s">
        <v>7</v>
      </c>
      <c r="D22" s="47" t="s">
        <v>19</v>
      </c>
      <c r="E22" s="12">
        <v>2728</v>
      </c>
      <c r="F22" s="12">
        <f>_xlfn.IFNA(VLOOKUP(D:D,'Week 44 Oct 26 - Nov 1 2020'!D:F,3,FALSE),"")+Table40424346[[#This Row],[Week Sales]]</f>
        <v>983173</v>
      </c>
      <c r="G22" s="18" t="str">
        <f>(VLOOKUP(D:D,'Week 44 Oct 26 - Nov 1 2020'!D:G,4,FALSE))</f>
        <v>Nintendo</v>
      </c>
      <c r="H22" s="60">
        <f>(VLOOKUP(D:D,'Week 44 Oct 26 - Nov 1 2020'!D:H,5,FALSE))</f>
        <v>43644</v>
      </c>
      <c r="I22" s="55">
        <f>_xlfn.IFNA(VLOOKUP(D22,'Week 44 Oct 26 - Nov 1 2020'!D:E,2,FALSE),"New")</f>
        <v>2054</v>
      </c>
      <c r="J22" s="56">
        <f t="shared" si="0"/>
        <v>0.32814021421616357</v>
      </c>
    </row>
    <row r="23" spans="1:12" x14ac:dyDescent="0.2">
      <c r="A23" s="46">
        <v>22</v>
      </c>
      <c r="B23" s="9" t="s">
        <v>36</v>
      </c>
      <c r="C23" s="9" t="s">
        <v>7</v>
      </c>
      <c r="D23" s="46" t="s">
        <v>147</v>
      </c>
      <c r="E23" s="10">
        <v>2673</v>
      </c>
      <c r="F23" s="10">
        <v>2673</v>
      </c>
      <c r="G23" s="63" t="s">
        <v>149</v>
      </c>
      <c r="H23" s="72">
        <v>44140</v>
      </c>
      <c r="I23" s="73" t="str">
        <f>_xlfn.IFNA(VLOOKUP(D23,'Week 44 Oct 26 - Nov 1 2020'!D:E,2,FALSE),"New")</f>
        <v>New</v>
      </c>
      <c r="J23" s="90" t="str">
        <f t="shared" si="0"/>
        <v>New</v>
      </c>
    </row>
    <row r="24" spans="1:12" x14ac:dyDescent="0.2">
      <c r="A24" s="47">
        <v>23</v>
      </c>
      <c r="B24" s="18">
        <v>26</v>
      </c>
      <c r="C24" s="18" t="s">
        <v>7</v>
      </c>
      <c r="D24" s="47" t="s">
        <v>58</v>
      </c>
      <c r="E24" s="12">
        <v>2476</v>
      </c>
      <c r="F24" s="12">
        <f>_xlfn.IFNA(VLOOKUP(D:D,'Week 44 Oct 26 - Nov 1 2020'!D:F,3,FALSE),"")+Table40424346[[#This Row],[Week Sales]]</f>
        <v>41437</v>
      </c>
      <c r="G24" s="18" t="str">
        <f>(VLOOKUP(D:D,'Week 44 Oct 26 - Nov 1 2020'!D:G,4,FALSE))</f>
        <v>Microsoft</v>
      </c>
      <c r="H24" s="60">
        <f>(VLOOKUP(D:D,'Week 44 Oct 26 - Nov 1 2020'!D:H,5,FALSE))</f>
        <v>44082</v>
      </c>
      <c r="I24" s="55">
        <f>_xlfn.IFNA(VLOOKUP(D24,'Week 44 Oct 26 - Nov 1 2020'!D:E,2,FALSE),"New")</f>
        <v>2104</v>
      </c>
      <c r="J24" s="56">
        <f t="shared" si="0"/>
        <v>0.17680608365019013</v>
      </c>
    </row>
    <row r="25" spans="1:12" x14ac:dyDescent="0.2">
      <c r="A25" s="47">
        <v>24</v>
      </c>
      <c r="B25" s="18">
        <v>8</v>
      </c>
      <c r="C25" s="18" t="s">
        <v>7</v>
      </c>
      <c r="D25" s="47" t="s">
        <v>136</v>
      </c>
      <c r="E25" s="12">
        <v>2468</v>
      </c>
      <c r="F25" s="12">
        <f>_xlfn.IFNA(VLOOKUP(D:D,'Week 44 Oct 26 - Nov 1 2020'!D:F,3,FALSE),"")+Table40424346[[#This Row],[Week Sales]]</f>
        <v>14151</v>
      </c>
      <c r="G25" s="18" t="str">
        <f>(VLOOKUP(D:D,'Week 44 Oct 26 - Nov 1 2020'!D:G,4,FALSE))</f>
        <v>Bandai Namco</v>
      </c>
      <c r="H25" s="60">
        <f>(VLOOKUP(D:D,'Week 44 Oct 26 - Nov 1 2020'!D:H,5,FALSE))</f>
        <v>44133</v>
      </c>
      <c r="I25" s="55">
        <f>_xlfn.IFNA(VLOOKUP(D25,'Week 44 Oct 26 - Nov 1 2020'!D:E,2,FALSE),"New")</f>
        <v>11683</v>
      </c>
      <c r="J25" s="56">
        <f t="shared" si="0"/>
        <v>-0.78875288881280492</v>
      </c>
    </row>
    <row r="26" spans="1:12" x14ac:dyDescent="0.2">
      <c r="A26" s="47">
        <v>25</v>
      </c>
      <c r="B26" s="18">
        <v>19</v>
      </c>
      <c r="C26" s="18" t="s">
        <v>7</v>
      </c>
      <c r="D26" s="18" t="s">
        <v>122</v>
      </c>
      <c r="E26" s="12">
        <v>2371</v>
      </c>
      <c r="F26" s="12">
        <f>_xlfn.IFNA(VLOOKUP(D:D,'Week 44 Oct 26 - Nov 1 2020'!D:F,3,FALSE),"")+Table40424346[[#This Row],[Week Sales]]</f>
        <v>87563</v>
      </c>
      <c r="G26" s="18" t="str">
        <f>(VLOOKUP(D:D,'Week 44 Oct 26 - Nov 1 2020'!D:G,4,FALSE))</f>
        <v>Nintendo</v>
      </c>
      <c r="H26" s="60">
        <f>(VLOOKUP(D:D,'Week 44 Oct 26 - Nov 1 2020'!D:H,5,FALSE))</f>
        <v>44120</v>
      </c>
      <c r="I26" s="55">
        <f>_xlfn.IFNA(VLOOKUP(D26,'Week 44 Oct 26 - Nov 1 2020'!D:E,2,FALSE),"New")</f>
        <v>3583</v>
      </c>
      <c r="J26" s="56">
        <f t="shared" si="0"/>
        <v>-0.3382640245604242</v>
      </c>
    </row>
    <row r="27" spans="1:12" x14ac:dyDescent="0.2">
      <c r="A27" s="47">
        <v>26</v>
      </c>
      <c r="B27" s="18">
        <v>28</v>
      </c>
      <c r="C27" s="18" t="s">
        <v>7</v>
      </c>
      <c r="D27" s="47" t="s">
        <v>16</v>
      </c>
      <c r="E27" s="12">
        <v>2323</v>
      </c>
      <c r="F27" s="12">
        <f>_xlfn.IFNA(VLOOKUP(D:D,'Week 44 Oct 26 - Nov 1 2020'!D:F,3,FALSE),"")+Table40424346[[#This Row],[Week Sales]]</f>
        <v>316231</v>
      </c>
      <c r="G27" s="68" t="str">
        <f>(VLOOKUP(D:D,'Week 44 Oct 26 - Nov 1 2020'!D:G,4,FALSE))</f>
        <v>Nintendo</v>
      </c>
      <c r="H27" s="60">
        <f>(VLOOKUP(D:D,'Week 44 Oct 26 - Nov 1 2020'!D:H,5,FALSE))</f>
        <v>43826</v>
      </c>
      <c r="I27" s="55">
        <f>_xlfn.IFNA(VLOOKUP(D27,'Week 44 Oct 26 - Nov 1 2020'!D:E,2,FALSE),"New")</f>
        <v>2037</v>
      </c>
      <c r="J27" s="56">
        <f t="shared" si="0"/>
        <v>0.1404025527736868</v>
      </c>
    </row>
    <row r="28" spans="1:12" x14ac:dyDescent="0.2">
      <c r="A28" s="47">
        <v>27</v>
      </c>
      <c r="B28" s="18">
        <v>23</v>
      </c>
      <c r="C28" s="18" t="s">
        <v>8</v>
      </c>
      <c r="D28" s="47" t="s">
        <v>11</v>
      </c>
      <c r="E28" s="12">
        <v>2166</v>
      </c>
      <c r="F28" s="12">
        <f>_xlfn.IFNA(VLOOKUP(D:D,'Week 44 Oct 26 - Nov 1 2020'!D:F,3,FALSE),"")+Table40424346[[#This Row],[Week Sales]]</f>
        <v>412868</v>
      </c>
      <c r="G28" s="64" t="str">
        <f>(VLOOKUP(D:D,'Week 44 Oct 26 - Nov 1 2020'!D:G,4,FALSE))</f>
        <v>Sony</v>
      </c>
      <c r="H28" s="60">
        <f>(VLOOKUP(D:D,'Week 44 Oct 26 - Nov 1 2020'!D:H,5,FALSE))</f>
        <v>44029</v>
      </c>
      <c r="I28" s="55">
        <f>_xlfn.IFNA(VLOOKUP(D28,'Week 44 Oct 26 - Nov 1 2020'!D:E,2,FALSE),"New")</f>
        <v>2390</v>
      </c>
      <c r="J28" s="56">
        <f t="shared" si="0"/>
        <v>-9.372384937238494E-2</v>
      </c>
    </row>
    <row r="29" spans="1:12" x14ac:dyDescent="0.2">
      <c r="A29" s="52">
        <v>28</v>
      </c>
      <c r="B29" s="31" t="s">
        <v>53</v>
      </c>
      <c r="C29" s="31" t="s">
        <v>7</v>
      </c>
      <c r="D29" s="52" t="s">
        <v>56</v>
      </c>
      <c r="E29" s="33">
        <v>2130</v>
      </c>
      <c r="F29" s="33">
        <v>47736</v>
      </c>
      <c r="G29" s="66" t="str">
        <f>(VLOOKUP(D:D,'Week 43 Oct 19 - Oct 25 2020'!D:G,4,FALSE))</f>
        <v>Teyon Japan</v>
      </c>
      <c r="H29" s="74">
        <f>(VLOOKUP(D:D,'Week 43 Oct 19 - Oct 25 2020'!D:H,5,FALSE))</f>
        <v>44007</v>
      </c>
      <c r="I29" s="75">
        <v>1663</v>
      </c>
      <c r="J29" s="76">
        <f t="shared" si="0"/>
        <v>0.28081779915814792</v>
      </c>
      <c r="L29" s="55"/>
    </row>
    <row r="30" spans="1:12" x14ac:dyDescent="0.2">
      <c r="A30" s="52">
        <v>29</v>
      </c>
      <c r="B30" s="31" t="s">
        <v>53</v>
      </c>
      <c r="C30" s="31" t="s">
        <v>7</v>
      </c>
      <c r="D30" s="52" t="s">
        <v>20</v>
      </c>
      <c r="E30" s="33">
        <v>2102</v>
      </c>
      <c r="F30" s="33">
        <v>504241</v>
      </c>
      <c r="G30" s="66" t="str">
        <f>(VLOOKUP(D:D,'Week 43 Oct 19 - Oct 25 2020'!D:G,4,FALSE))</f>
        <v>Bandai Namco</v>
      </c>
      <c r="H30" s="74">
        <f>(VLOOKUP(D:D,'Week 43 Oct 19 - Oct 25 2020'!D:H,5,FALSE))</f>
        <v>43671</v>
      </c>
      <c r="I30" s="75">
        <v>1646</v>
      </c>
      <c r="J30" s="76">
        <f t="shared" si="0"/>
        <v>0.27703523693803161</v>
      </c>
      <c r="L30" s="55"/>
    </row>
    <row r="31" spans="1:12" x14ac:dyDescent="0.2">
      <c r="A31" s="58">
        <v>30</v>
      </c>
      <c r="B31" s="31" t="s">
        <v>53</v>
      </c>
      <c r="C31" s="31" t="s">
        <v>7</v>
      </c>
      <c r="D31" s="31" t="s">
        <v>26</v>
      </c>
      <c r="E31" s="33">
        <v>2030</v>
      </c>
      <c r="F31" s="33">
        <v>2140133</v>
      </c>
      <c r="G31" s="66" t="str">
        <f>(VLOOKUP(D:D,'Week 43 Oct 19 - Oct 25 2020'!D:G,4,FALSE))</f>
        <v>Nintendo</v>
      </c>
      <c r="H31" s="74">
        <f>(VLOOKUP(D:D,'Week 43 Oct 19 - Oct 25 2020'!D:H,5,FALSE))</f>
        <v>43035</v>
      </c>
      <c r="I31" s="75">
        <v>1619</v>
      </c>
      <c r="J31" s="76">
        <f t="shared" si="0"/>
        <v>0.25386040765904877</v>
      </c>
    </row>
    <row r="33" spans="4:5" x14ac:dyDescent="0.2">
      <c r="D33" s="2" t="s">
        <v>59</v>
      </c>
      <c r="E33" s="2">
        <f>SUM(E2:E31)</f>
        <v>292148</v>
      </c>
    </row>
    <row r="34" spans="4:5" x14ac:dyDescent="0.2">
      <c r="D34" s="100" t="s">
        <v>178</v>
      </c>
      <c r="E34" s="101">
        <f>SUM('Week 44 Oct 26 - Nov 1 2020'!E34,'Week 45 Nov 2 - Nov 8 2020'!E33)</f>
        <v>19325786</v>
      </c>
    </row>
    <row r="35" spans="4:5" x14ac:dyDescent="0.2">
      <c r="D35" s="2" t="s">
        <v>60</v>
      </c>
      <c r="E35" s="2">
        <f>AVERAGE(E2:E31)</f>
        <v>9738.2666666666664</v>
      </c>
    </row>
    <row r="36" spans="4:5" x14ac:dyDescent="0.2">
      <c r="D36" s="9" t="s">
        <v>78</v>
      </c>
      <c r="E36" s="10">
        <f>COUNTIF(B:B,"New")</f>
        <v>5</v>
      </c>
    </row>
    <row r="37" spans="4:5" x14ac:dyDescent="0.2">
      <c r="E37" s="2"/>
    </row>
    <row r="38" spans="4:5" x14ac:dyDescent="0.2">
      <c r="D38" t="s">
        <v>66</v>
      </c>
      <c r="E38" s="2"/>
    </row>
    <row r="39" spans="4:5" x14ac:dyDescent="0.2">
      <c r="D39" s="8" t="s">
        <v>67</v>
      </c>
      <c r="E39" s="2"/>
    </row>
    <row r="40" spans="4:5" x14ac:dyDescent="0.2">
      <c r="D40" s="8" t="s">
        <v>65</v>
      </c>
      <c r="E40" s="2"/>
    </row>
    <row r="41" spans="4:5" x14ac:dyDescent="0.2">
      <c r="D41" s="8" t="s">
        <v>71</v>
      </c>
      <c r="E41" s="2"/>
    </row>
  </sheetData>
  <hyperlinks>
    <hyperlink ref="D40" r:id="rId1" xr:uid="{E3E2A346-66B3-E149-B2C6-D7385EB069E5}"/>
    <hyperlink ref="D39" r:id="rId2" xr:uid="{4000F270-97DC-6344-8A9B-229C35613C7C}"/>
    <hyperlink ref="D41" r:id="rId3" xr:uid="{5AE2F37A-0B05-B242-B751-6BF4706AB9FE}"/>
  </hyperlinks>
  <pageMargins left="0.7" right="0.7" top="0.75" bottom="0.75" header="0.3" footer="0.3"/>
  <pageSetup paperSize="9" orientation="portrait" horizontalDpi="0" verticalDpi="0"/>
  <ignoredErrors>
    <ignoredError sqref="H29:H30 H23 F5:I22 F24:I28 F23:G23 I23 F31:I31 F29:G30 I29:I30" calculatedColumn="1"/>
  </ignoredErrors>
  <tableParts count="1">
    <tablePart r:id="rId4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79656-C221-3C4D-A50C-238EA6E5162E}">
  <dimension ref="A1:J41"/>
  <sheetViews>
    <sheetView workbookViewId="0">
      <selection activeCell="D9" sqref="D9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46.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78" t="s">
        <v>0</v>
      </c>
      <c r="B1" s="78" t="s">
        <v>35</v>
      </c>
      <c r="C1" s="79" t="s">
        <v>1</v>
      </c>
      <c r="D1" s="79" t="s">
        <v>2</v>
      </c>
      <c r="E1" s="80" t="s">
        <v>3</v>
      </c>
      <c r="F1" s="80" t="s">
        <v>4</v>
      </c>
      <c r="G1" s="79" t="s">
        <v>5</v>
      </c>
      <c r="H1" s="81" t="s">
        <v>6</v>
      </c>
      <c r="I1" s="80" t="s">
        <v>64</v>
      </c>
      <c r="J1" s="82" t="s">
        <v>63</v>
      </c>
    </row>
    <row r="2" spans="1:10" x14ac:dyDescent="0.2">
      <c r="A2" s="46">
        <v>1</v>
      </c>
      <c r="B2" s="46" t="s">
        <v>36</v>
      </c>
      <c r="C2" s="46" t="s">
        <v>8</v>
      </c>
      <c r="D2" s="9" t="s">
        <v>153</v>
      </c>
      <c r="E2" s="73">
        <v>84475</v>
      </c>
      <c r="F2" s="73">
        <v>84475</v>
      </c>
      <c r="G2" s="46" t="s">
        <v>30</v>
      </c>
      <c r="H2" s="72">
        <v>44148</v>
      </c>
      <c r="I2" s="73" t="str">
        <f>_xlfn.IFNA(VLOOKUP(D:D,'Week 45 Nov 2 - Nov 8 2020'!D:E,2,FALSE),"New")</f>
        <v>New</v>
      </c>
      <c r="J2" s="90" t="str">
        <f>IFERROR((E2-I2)/I2,"New")</f>
        <v>New</v>
      </c>
    </row>
    <row r="3" spans="1:10" x14ac:dyDescent="0.2">
      <c r="A3" s="46">
        <v>2</v>
      </c>
      <c r="B3" s="46" t="s">
        <v>36</v>
      </c>
      <c r="C3" s="46" t="s">
        <v>8</v>
      </c>
      <c r="D3" s="9" t="s">
        <v>151</v>
      </c>
      <c r="E3" s="73">
        <v>45055</v>
      </c>
      <c r="F3" s="73">
        <v>45055</v>
      </c>
      <c r="G3" s="46" t="s">
        <v>140</v>
      </c>
      <c r="H3" s="72">
        <v>44145</v>
      </c>
      <c r="I3" s="73" t="str">
        <f>_xlfn.IFNA(VLOOKUP(D:D,'Week 45 Nov 2 - Nov 8 2020'!D:E,2,FALSE),"New")</f>
        <v>New</v>
      </c>
      <c r="J3" s="90" t="str">
        <f t="shared" ref="J3:J31" si="0">IFERROR((E3-I3)/I3,"New")</f>
        <v>New</v>
      </c>
    </row>
    <row r="4" spans="1:10" x14ac:dyDescent="0.2">
      <c r="A4" s="46">
        <v>3</v>
      </c>
      <c r="B4" s="46" t="s">
        <v>36</v>
      </c>
      <c r="C4" s="46" t="s">
        <v>7</v>
      </c>
      <c r="D4" s="9" t="s">
        <v>154</v>
      </c>
      <c r="E4" s="73">
        <v>32906</v>
      </c>
      <c r="F4" s="73">
        <v>32906</v>
      </c>
      <c r="G4" s="46" t="s">
        <v>97</v>
      </c>
      <c r="H4" s="72">
        <v>44147</v>
      </c>
      <c r="I4" s="73" t="str">
        <f>_xlfn.IFNA(VLOOKUP(D:D,'Week 45 Nov 2 - Nov 8 2020'!D:E,2,FALSE),"New")</f>
        <v>New</v>
      </c>
      <c r="J4" s="90" t="str">
        <f t="shared" si="0"/>
        <v>New</v>
      </c>
    </row>
    <row r="5" spans="1:10" x14ac:dyDescent="0.2">
      <c r="A5" s="47">
        <v>4</v>
      </c>
      <c r="B5" s="47">
        <v>3</v>
      </c>
      <c r="C5" s="47" t="s">
        <v>7</v>
      </c>
      <c r="D5" s="47" t="s">
        <v>46</v>
      </c>
      <c r="E5" s="55">
        <v>32585</v>
      </c>
      <c r="F5" s="55">
        <f>_xlfn.IFNA(VLOOKUP(D:D,'Week 45 Nov 2 - Nov 8 2020'!D:F,3,FALSE),"")+Table4042434650[[#This Row],[Week Sales]]</f>
        <v>5974018</v>
      </c>
      <c r="G5" s="47" t="str">
        <f>(VLOOKUP(D:D,'Week 45 Nov 2 - Nov 8 2020'!D:G,4,FALSE))</f>
        <v>Nintendo</v>
      </c>
      <c r="H5" s="60">
        <f>(VLOOKUP(D:D,'Week 45 Nov 2 - Nov 8 2020'!D:H,5,FALSE))</f>
        <v>43910</v>
      </c>
      <c r="I5" s="55">
        <f>_xlfn.IFNA(VLOOKUP(D:D,'Week 45 Nov 2 - Nov 8 2020'!D:E,2,FALSE),"New")</f>
        <v>31687</v>
      </c>
      <c r="J5" s="56">
        <f t="shared" si="0"/>
        <v>2.8339697667813298E-2</v>
      </c>
    </row>
    <row r="6" spans="1:10" x14ac:dyDescent="0.2">
      <c r="A6" s="47">
        <v>5</v>
      </c>
      <c r="B6" s="47">
        <v>1</v>
      </c>
      <c r="C6" s="47" t="s">
        <v>7</v>
      </c>
      <c r="D6" s="47" t="s">
        <v>132</v>
      </c>
      <c r="E6" s="55">
        <v>31073</v>
      </c>
      <c r="F6" s="55">
        <f>_xlfn.IFNA(VLOOKUP(D:D,'Week 45 Nov 2 - Nov 8 2020'!D:F,3,FALSE),"")+Table4042434650[[#This Row],[Week Sales]]</f>
        <v>270347</v>
      </c>
      <c r="G6" s="47" t="str">
        <f>(VLOOKUP(D:D,'Week 45 Nov 2 - Nov 8 2020'!D:G,4,FALSE))</f>
        <v>Nintendo</v>
      </c>
      <c r="H6" s="60">
        <f>(VLOOKUP(D:D,'Week 45 Nov 2 - Nov 8 2020'!D:H,5,FALSE))</f>
        <v>44134</v>
      </c>
      <c r="I6" s="55">
        <f>_xlfn.IFNA(VLOOKUP(D:D,'Week 45 Nov 2 - Nov 8 2020'!D:E,2,FALSE),"New")</f>
        <v>67925</v>
      </c>
      <c r="J6" s="56">
        <f t="shared" si="0"/>
        <v>-0.54253956569746042</v>
      </c>
    </row>
    <row r="7" spans="1:10" x14ac:dyDescent="0.2">
      <c r="A7" s="47">
        <v>6</v>
      </c>
      <c r="B7" s="47">
        <v>2</v>
      </c>
      <c r="C7" s="47" t="s">
        <v>7</v>
      </c>
      <c r="D7" s="47" t="s">
        <v>45</v>
      </c>
      <c r="E7" s="55">
        <v>24115</v>
      </c>
      <c r="F7" s="55">
        <f>_xlfn.IFNA(VLOOKUP(D:D,'Week 45 Nov 2 - Nov 8 2020'!D:F,3,FALSE),"")+Table4042434650[[#This Row],[Week Sales]]</f>
        <v>1807723</v>
      </c>
      <c r="G7" s="47" t="str">
        <f>(VLOOKUP(D:D,'Week 45 Nov 2 - Nov 8 2020'!D:G,4,FALSE))</f>
        <v>Nintendo</v>
      </c>
      <c r="H7" s="60">
        <f>(VLOOKUP(D:D,'Week 45 Nov 2 - Nov 8 2020'!D:H,5,FALSE))</f>
        <v>43756</v>
      </c>
      <c r="I7" s="55">
        <f>_xlfn.IFNA(VLOOKUP(D:D,'Week 45 Nov 2 - Nov 8 2020'!D:E,2,FALSE),"New")</f>
        <v>37256</v>
      </c>
      <c r="J7" s="56">
        <f t="shared" si="0"/>
        <v>-0.35272170925488511</v>
      </c>
    </row>
    <row r="8" spans="1:10" x14ac:dyDescent="0.2">
      <c r="A8" s="46">
        <v>7</v>
      </c>
      <c r="B8" s="46" t="s">
        <v>36</v>
      </c>
      <c r="C8" s="46" t="s">
        <v>8</v>
      </c>
      <c r="D8" s="9" t="s">
        <v>154</v>
      </c>
      <c r="E8" s="73">
        <v>22955</v>
      </c>
      <c r="F8" s="73">
        <v>22955</v>
      </c>
      <c r="G8" s="46" t="s">
        <v>97</v>
      </c>
      <c r="H8" s="72">
        <v>44147</v>
      </c>
      <c r="I8" s="73" t="str">
        <f>_xlfn.IFNA(VLOOKUP(D:D,'Week 45 Nov 2 - Nov 8 2020'!D:E,2,FALSE),"New")</f>
        <v>New</v>
      </c>
      <c r="J8" s="90" t="str">
        <f t="shared" si="0"/>
        <v>New</v>
      </c>
    </row>
    <row r="9" spans="1:10" x14ac:dyDescent="0.2">
      <c r="A9" s="46">
        <v>8</v>
      </c>
      <c r="B9" s="46" t="s">
        <v>36</v>
      </c>
      <c r="C9" s="46" t="s">
        <v>8</v>
      </c>
      <c r="D9" s="9" t="s">
        <v>155</v>
      </c>
      <c r="E9" s="73">
        <v>22882</v>
      </c>
      <c r="F9" s="73">
        <v>22882</v>
      </c>
      <c r="G9" s="46" t="s">
        <v>30</v>
      </c>
      <c r="H9" s="72">
        <v>44147</v>
      </c>
      <c r="I9" s="73" t="str">
        <f>_xlfn.IFNA(VLOOKUP(D:D,'Week 45 Nov 2 - Nov 8 2020'!D:E,2,FALSE),"New")</f>
        <v>New</v>
      </c>
      <c r="J9" s="90" t="str">
        <f t="shared" si="0"/>
        <v>New</v>
      </c>
    </row>
    <row r="10" spans="1:10" x14ac:dyDescent="0.2">
      <c r="A10" s="46">
        <v>9</v>
      </c>
      <c r="B10" s="46" t="s">
        <v>36</v>
      </c>
      <c r="C10" s="46" t="s">
        <v>7</v>
      </c>
      <c r="D10" s="9" t="s">
        <v>152</v>
      </c>
      <c r="E10" s="73">
        <v>22813</v>
      </c>
      <c r="F10" s="73">
        <v>22813</v>
      </c>
      <c r="G10" s="46" t="s">
        <v>27</v>
      </c>
      <c r="H10" s="72">
        <v>44147</v>
      </c>
      <c r="I10" s="73" t="str">
        <f>_xlfn.IFNA(VLOOKUP(D:D,'Week 45 Nov 2 - Nov 8 2020'!D:E,2,FALSE),"New")</f>
        <v>New</v>
      </c>
      <c r="J10" s="90" t="str">
        <f t="shared" si="0"/>
        <v>New</v>
      </c>
    </row>
    <row r="11" spans="1:10" x14ac:dyDescent="0.2">
      <c r="A11" s="46">
        <v>10</v>
      </c>
      <c r="B11" s="46" t="s">
        <v>36</v>
      </c>
      <c r="C11" s="46" t="s">
        <v>150</v>
      </c>
      <c r="D11" s="9" t="s">
        <v>159</v>
      </c>
      <c r="E11" s="73">
        <v>18640</v>
      </c>
      <c r="F11" s="73">
        <v>18640</v>
      </c>
      <c r="G11" s="46" t="s">
        <v>30</v>
      </c>
      <c r="H11" s="72">
        <v>44147</v>
      </c>
      <c r="I11" s="73" t="str">
        <f>_xlfn.IFNA(VLOOKUP(D:D,'Week 45 Nov 2 - Nov 8 2020'!D:E,2,FALSE),"New")</f>
        <v>New</v>
      </c>
      <c r="J11" s="90" t="str">
        <f t="shared" si="0"/>
        <v>New</v>
      </c>
    </row>
    <row r="12" spans="1:10" x14ac:dyDescent="0.2">
      <c r="A12" s="46">
        <v>11</v>
      </c>
      <c r="B12" s="46" t="s">
        <v>36</v>
      </c>
      <c r="C12" s="46" t="s">
        <v>150</v>
      </c>
      <c r="D12" s="46" t="s">
        <v>156</v>
      </c>
      <c r="E12" s="73">
        <v>18607</v>
      </c>
      <c r="F12" s="73">
        <v>18607</v>
      </c>
      <c r="G12" s="46" t="s">
        <v>30</v>
      </c>
      <c r="H12" s="72">
        <v>44147</v>
      </c>
      <c r="I12" s="73" t="str">
        <f>_xlfn.IFNA(VLOOKUP(D:D,'Week 45 Nov 2 - Nov 8 2020'!D:E,2,FALSE),"New")</f>
        <v>New</v>
      </c>
      <c r="J12" s="90" t="str">
        <f t="shared" si="0"/>
        <v>New</v>
      </c>
    </row>
    <row r="13" spans="1:10" x14ac:dyDescent="0.2">
      <c r="A13" s="46">
        <v>12</v>
      </c>
      <c r="B13" s="46" t="s">
        <v>36</v>
      </c>
      <c r="C13" s="46" t="s">
        <v>7</v>
      </c>
      <c r="D13" s="46" t="s">
        <v>161</v>
      </c>
      <c r="E13" s="73">
        <v>18492</v>
      </c>
      <c r="F13" s="73">
        <v>18492</v>
      </c>
      <c r="G13" s="46" t="s">
        <v>162</v>
      </c>
      <c r="H13" s="72">
        <v>44147</v>
      </c>
      <c r="I13" s="73" t="str">
        <f>_xlfn.IFNA(VLOOKUP(D:D,'Week 45 Nov 2 - Nov 8 2020'!D:E,2,FALSE),"New")</f>
        <v>New</v>
      </c>
      <c r="J13" s="90" t="str">
        <f t="shared" si="0"/>
        <v>New</v>
      </c>
    </row>
    <row r="14" spans="1:10" x14ac:dyDescent="0.2">
      <c r="A14" s="46">
        <v>13</v>
      </c>
      <c r="B14" s="46" t="s">
        <v>36</v>
      </c>
      <c r="C14" s="46" t="s">
        <v>8</v>
      </c>
      <c r="D14" s="9" t="s">
        <v>152</v>
      </c>
      <c r="E14" s="73">
        <v>18120</v>
      </c>
      <c r="F14" s="73">
        <v>18120</v>
      </c>
      <c r="G14" s="46" t="s">
        <v>27</v>
      </c>
      <c r="H14" s="72">
        <v>44147</v>
      </c>
      <c r="I14" s="73" t="str">
        <f>_xlfn.IFNA(VLOOKUP(D:D,'Week 45 Nov 2 - Nov 8 2020'!D:E,2,FALSE),"New")</f>
        <v>New</v>
      </c>
      <c r="J14" s="90" t="str">
        <f t="shared" si="0"/>
        <v>New</v>
      </c>
    </row>
    <row r="15" spans="1:10" x14ac:dyDescent="0.2">
      <c r="A15" s="47">
        <v>14</v>
      </c>
      <c r="B15" s="47">
        <v>4</v>
      </c>
      <c r="C15" s="47" t="s">
        <v>7</v>
      </c>
      <c r="D15" s="39" t="s">
        <v>145</v>
      </c>
      <c r="E15" s="55">
        <v>12986</v>
      </c>
      <c r="F15" s="55">
        <f>_xlfn.IFNA(VLOOKUP(D:D,'Week 45 Nov 2 - Nov 8 2020'!D:F,3,FALSE),"")+Table4042434650[[#This Row],[Week Sales]]</f>
        <v>31624</v>
      </c>
      <c r="G15" s="47" t="str">
        <f>(VLOOKUP(D:D,'Week 45 Nov 2 - Nov 8 2020'!D:G,4,FALSE))</f>
        <v>The Pokemon Company</v>
      </c>
      <c r="H15" s="60">
        <f>(VLOOKUP(D:D,'Week 45 Nov 2 - Nov 8 2020'!D:H,5,FALSE))</f>
        <v>43784</v>
      </c>
      <c r="I15" s="55">
        <f>_xlfn.IFNA(VLOOKUP(D:D,'Week 45 Nov 2 - Nov 8 2020'!D:E,2,FALSE),"New")</f>
        <v>18638</v>
      </c>
      <c r="J15" s="56">
        <f t="shared" si="0"/>
        <v>-0.30325142182637621</v>
      </c>
    </row>
    <row r="16" spans="1:10" x14ac:dyDescent="0.2">
      <c r="A16" s="47">
        <v>15</v>
      </c>
      <c r="B16" s="47">
        <v>6</v>
      </c>
      <c r="C16" s="47" t="s">
        <v>7</v>
      </c>
      <c r="D16" s="39" t="s">
        <v>49</v>
      </c>
      <c r="E16" s="55">
        <v>10390</v>
      </c>
      <c r="F16" s="55">
        <f>_xlfn.IFNA(VLOOKUP(D:D,'Week 45 Nov 2 - Nov 8 2020'!D:F,3,FALSE),"")+Table4042434650[[#This Row],[Week Sales]]</f>
        <v>3261225</v>
      </c>
      <c r="G16" s="47" t="str">
        <f>(VLOOKUP(D:D,'Week 45 Nov 2 - Nov 8 2020'!D:G,4,FALSE))</f>
        <v>Nintendo</v>
      </c>
      <c r="H16" s="60">
        <f>(VLOOKUP(D:D,'Week 45 Nov 2 - Nov 8 2020'!D:H,5,FALSE))</f>
        <v>42853</v>
      </c>
      <c r="I16" s="55">
        <f>_xlfn.IFNA(VLOOKUP(D:D,'Week 45 Nov 2 - Nov 8 2020'!D:E,2,FALSE),"New")</f>
        <v>12318</v>
      </c>
      <c r="J16" s="56">
        <f t="shared" si="0"/>
        <v>-0.1565189154083455</v>
      </c>
    </row>
    <row r="17" spans="1:10" x14ac:dyDescent="0.2">
      <c r="A17" s="46">
        <v>16</v>
      </c>
      <c r="B17" s="46" t="s">
        <v>36</v>
      </c>
      <c r="C17" s="46" t="s">
        <v>7</v>
      </c>
      <c r="D17" s="9" t="s">
        <v>157</v>
      </c>
      <c r="E17" s="73">
        <v>8528</v>
      </c>
      <c r="F17" s="73">
        <v>8528</v>
      </c>
      <c r="G17" s="46" t="s">
        <v>28</v>
      </c>
      <c r="H17" s="72">
        <v>44147</v>
      </c>
      <c r="I17" s="73" t="str">
        <f>_xlfn.IFNA(VLOOKUP(D:D,'Week 45 Nov 2 - Nov 8 2020'!D:E,2,FALSE),"New")</f>
        <v>New</v>
      </c>
      <c r="J17" s="90" t="str">
        <f t="shared" si="0"/>
        <v>New</v>
      </c>
    </row>
    <row r="18" spans="1:10" x14ac:dyDescent="0.2">
      <c r="A18" s="47">
        <v>17</v>
      </c>
      <c r="B18" s="47">
        <v>9</v>
      </c>
      <c r="C18" s="47" t="s">
        <v>7</v>
      </c>
      <c r="D18" s="47" t="s">
        <v>12</v>
      </c>
      <c r="E18" s="55">
        <v>7545</v>
      </c>
      <c r="F18" s="55">
        <f>_xlfn.IFNA(VLOOKUP(D:D,'Week 45 Nov 2 - Nov 8 2020'!D:F,3,FALSE),"")+Table4042434650[[#This Row],[Week Sales]]</f>
        <v>1559387</v>
      </c>
      <c r="G18" s="47" t="str">
        <f>(VLOOKUP(D:D,'Week 45 Nov 2 - Nov 8 2020'!D:G,4,FALSE))</f>
        <v>Microsoft</v>
      </c>
      <c r="H18" s="60">
        <f>(VLOOKUP(D:D,'Week 45 Nov 2 - Nov 8 2020'!D:H,5,FALSE))</f>
        <v>43272</v>
      </c>
      <c r="I18" s="55">
        <f>_xlfn.IFNA(VLOOKUP(D:D,'Week 45 Nov 2 - Nov 8 2020'!D:E,2,FALSE),"New")</f>
        <v>8091</v>
      </c>
      <c r="J18" s="56">
        <f t="shared" si="0"/>
        <v>-6.7482387838338889E-2</v>
      </c>
    </row>
    <row r="19" spans="1:10" x14ac:dyDescent="0.2">
      <c r="A19" s="47">
        <v>18</v>
      </c>
      <c r="B19" s="47">
        <v>8</v>
      </c>
      <c r="C19" s="47" t="s">
        <v>7</v>
      </c>
      <c r="D19" s="47" t="s">
        <v>40</v>
      </c>
      <c r="E19" s="55">
        <v>6132</v>
      </c>
      <c r="F19" s="55">
        <f>_xlfn.IFNA(VLOOKUP(D:D,'Week 45 Nov 2 - Nov 8 2020'!D:F,3,FALSE),"")+Table4042434650[[#This Row],[Week Sales]]</f>
        <v>379303</v>
      </c>
      <c r="G19" s="47" t="str">
        <f>(VLOOKUP(D:D,'Week 45 Nov 2 - Nov 8 2020'!D:G,4,FALSE))</f>
        <v>Nintendo</v>
      </c>
      <c r="H19" s="60">
        <f>(VLOOKUP(D:D,'Week 45 Nov 2 - Nov 8 2020'!D:H,5,FALSE))</f>
        <v>44092</v>
      </c>
      <c r="I19" s="55">
        <f>_xlfn.IFNA(VLOOKUP(D:D,'Week 45 Nov 2 - Nov 8 2020'!D:E,2,FALSE),"New")</f>
        <v>8536</v>
      </c>
      <c r="J19" s="56">
        <f t="shared" si="0"/>
        <v>-0.28163074039362701</v>
      </c>
    </row>
    <row r="20" spans="1:10" x14ac:dyDescent="0.2">
      <c r="A20" s="46">
        <v>19</v>
      </c>
      <c r="B20" s="46" t="s">
        <v>36</v>
      </c>
      <c r="C20" s="46" t="s">
        <v>150</v>
      </c>
      <c r="D20" s="9" t="s">
        <v>153</v>
      </c>
      <c r="E20" s="73">
        <v>6045</v>
      </c>
      <c r="F20" s="73">
        <v>6045</v>
      </c>
      <c r="G20" s="46" t="s">
        <v>30</v>
      </c>
      <c r="H20" s="72">
        <v>44148</v>
      </c>
      <c r="I20" s="73" t="str">
        <f>_xlfn.IFNA(VLOOKUP(D:D,'Week 45 Nov 2 - Nov 8 2020'!D:E,2,FALSE),"New")</f>
        <v>New</v>
      </c>
      <c r="J20" s="90" t="str">
        <f t="shared" si="0"/>
        <v>New</v>
      </c>
    </row>
    <row r="21" spans="1:10" x14ac:dyDescent="0.2">
      <c r="A21" s="47">
        <v>20</v>
      </c>
      <c r="B21" s="47">
        <v>14</v>
      </c>
      <c r="C21" s="47" t="s">
        <v>7</v>
      </c>
      <c r="D21" s="39" t="s">
        <v>52</v>
      </c>
      <c r="E21" s="55">
        <v>5352</v>
      </c>
      <c r="F21" s="55">
        <f>_xlfn.IFNA(VLOOKUP(D:D,'Week 45 Nov 2 - Nov 8 2020'!D:F,3,FALSE),"")+Table4042434650[[#This Row],[Week Sales]]</f>
        <v>3877266</v>
      </c>
      <c r="G21" s="47" t="str">
        <f>(VLOOKUP(D:D,'Week 45 Nov 2 - Nov 8 2020'!D:G,4,FALSE))</f>
        <v>Nintendo</v>
      </c>
      <c r="H21" s="60">
        <f>(VLOOKUP(D:D,'Week 45 Nov 2 - Nov 8 2020'!D:H,5,FALSE))</f>
        <v>43441</v>
      </c>
      <c r="I21" s="55">
        <f>_xlfn.IFNA(VLOOKUP(D:D,'Week 45 Nov 2 - Nov 8 2020'!D:E,2,FALSE),"New")</f>
        <v>6046</v>
      </c>
      <c r="J21" s="56">
        <f t="shared" si="0"/>
        <v>-0.11478663579225934</v>
      </c>
    </row>
    <row r="22" spans="1:10" x14ac:dyDescent="0.2">
      <c r="A22" s="46">
        <v>21</v>
      </c>
      <c r="B22" s="46" t="s">
        <v>36</v>
      </c>
      <c r="C22" s="46" t="s">
        <v>150</v>
      </c>
      <c r="D22" s="46" t="s">
        <v>158</v>
      </c>
      <c r="E22" s="73">
        <v>5342</v>
      </c>
      <c r="F22" s="73">
        <v>5342</v>
      </c>
      <c r="G22" s="46" t="s">
        <v>160</v>
      </c>
      <c r="H22" s="85">
        <v>44147</v>
      </c>
      <c r="I22" s="73" t="str">
        <f>_xlfn.IFNA(VLOOKUP(D:D,'Week 45 Nov 2 - Nov 8 2020'!D:E,2,FALSE),"New")</f>
        <v>New</v>
      </c>
      <c r="J22" s="90" t="str">
        <f t="shared" si="0"/>
        <v>New</v>
      </c>
    </row>
    <row r="23" spans="1:10" x14ac:dyDescent="0.2">
      <c r="A23" s="47">
        <v>22</v>
      </c>
      <c r="B23" s="47">
        <v>10</v>
      </c>
      <c r="C23" s="47" t="s">
        <v>7</v>
      </c>
      <c r="D23" s="47" t="s">
        <v>62</v>
      </c>
      <c r="E23" s="55">
        <v>4922</v>
      </c>
      <c r="F23" s="55">
        <f>_xlfn.IFNA(VLOOKUP(D:D,'Week 45 Nov 2 - Nov 8 2020'!D:F,3,FALSE),"")+Table4042434650[[#This Row],[Week Sales]]</f>
        <v>3795705</v>
      </c>
      <c r="G23" s="47" t="str">
        <f>(VLOOKUP(D:D,'Week 45 Nov 2 - Nov 8 2020'!D:G,4,FALSE))</f>
        <v>The Pokemon Company</v>
      </c>
      <c r="H23" s="60">
        <f>(VLOOKUP(D:D,'Week 45 Nov 2 - Nov 8 2020'!D:H,5,FALSE))</f>
        <v>43784</v>
      </c>
      <c r="I23" s="55">
        <f>_xlfn.IFNA(VLOOKUP(D:D,'Week 45 Nov 2 - Nov 8 2020'!D:E,2,FALSE),"New")</f>
        <v>7638</v>
      </c>
      <c r="J23" s="56">
        <f t="shared" si="0"/>
        <v>-0.35559046870908617</v>
      </c>
    </row>
    <row r="24" spans="1:10" x14ac:dyDescent="0.2">
      <c r="A24" s="47">
        <v>23</v>
      </c>
      <c r="B24" s="47">
        <v>16</v>
      </c>
      <c r="C24" s="47" t="s">
        <v>7</v>
      </c>
      <c r="D24" s="39" t="s">
        <v>10</v>
      </c>
      <c r="E24" s="55">
        <v>4628</v>
      </c>
      <c r="F24" s="55">
        <f>_xlfn.IFNA(VLOOKUP(D:D,'Week 45 Nov 2 - Nov 8 2020'!D:F,3,FALSE),"")+Table4042434650[[#This Row],[Week Sales]]</f>
        <v>3601538</v>
      </c>
      <c r="G24" s="47" t="str">
        <f>(VLOOKUP(D:D,'Week 45 Nov 2 - Nov 8 2020'!D:G,4,FALSE))</f>
        <v>Nintendo</v>
      </c>
      <c r="H24" s="60">
        <f>(VLOOKUP(D:D,'Week 45 Nov 2 - Nov 8 2020'!D:H,5,FALSE))</f>
        <v>42937</v>
      </c>
      <c r="I24" s="55">
        <f>_xlfn.IFNA(VLOOKUP(D:D,'Week 45 Nov 2 - Nov 8 2020'!D:E,2,FALSE),"New")</f>
        <v>4807</v>
      </c>
      <c r="J24" s="56">
        <f t="shared" si="0"/>
        <v>-3.7237362180153943E-2</v>
      </c>
    </row>
    <row r="25" spans="1:10" x14ac:dyDescent="0.2">
      <c r="A25" s="47">
        <v>24</v>
      </c>
      <c r="B25" s="47">
        <v>15</v>
      </c>
      <c r="C25" s="47" t="s">
        <v>7</v>
      </c>
      <c r="D25" s="47" t="s">
        <v>13</v>
      </c>
      <c r="E25" s="55">
        <v>4615</v>
      </c>
      <c r="F25" s="55">
        <f>_xlfn.IFNA(VLOOKUP(D:D,'Week 45 Nov 2 - Nov 8 2020'!D:F,3,FALSE),"")+Table4042434650[[#This Row],[Week Sales]]</f>
        <v>1596020</v>
      </c>
      <c r="G25" s="47" t="str">
        <f>(VLOOKUP(D:D,'Week 45 Nov 2 - Nov 8 2020'!D:G,4,FALSE))</f>
        <v>Nintendo</v>
      </c>
      <c r="H25" s="60">
        <f>(VLOOKUP(D:D,'Week 45 Nov 2 - Nov 8 2020'!D:H,5,FALSE))</f>
        <v>43378</v>
      </c>
      <c r="I25" s="55">
        <f>_xlfn.IFNA(VLOOKUP(D:D,'Week 45 Nov 2 - Nov 8 2020'!D:E,2,FALSE),"New")</f>
        <v>5783</v>
      </c>
      <c r="J25" s="56">
        <f t="shared" si="0"/>
        <v>-0.20197129517551443</v>
      </c>
    </row>
    <row r="26" spans="1:10" x14ac:dyDescent="0.2">
      <c r="A26" s="46">
        <v>25</v>
      </c>
      <c r="B26" s="46" t="s">
        <v>36</v>
      </c>
      <c r="C26" s="46" t="s">
        <v>150</v>
      </c>
      <c r="D26" s="9" t="s">
        <v>151</v>
      </c>
      <c r="E26" s="73">
        <v>4227</v>
      </c>
      <c r="F26" s="73">
        <v>4227</v>
      </c>
      <c r="G26" s="46" t="s">
        <v>140</v>
      </c>
      <c r="H26" s="72">
        <v>44145</v>
      </c>
      <c r="I26" s="73" t="str">
        <f>_xlfn.IFNA(VLOOKUP(D:D,'Week 45 Nov 2 - Nov 8 2020'!D:E,2,FALSE),"New")</f>
        <v>New</v>
      </c>
      <c r="J26" s="90" t="str">
        <f t="shared" si="0"/>
        <v>New</v>
      </c>
    </row>
    <row r="27" spans="1:10" x14ac:dyDescent="0.2">
      <c r="A27" s="47">
        <v>26</v>
      </c>
      <c r="B27" s="47">
        <v>17</v>
      </c>
      <c r="C27" s="47" t="s">
        <v>7</v>
      </c>
      <c r="D27" s="47" t="s">
        <v>50</v>
      </c>
      <c r="E27" s="55">
        <v>4051</v>
      </c>
      <c r="F27" s="55">
        <f>_xlfn.IFNA(VLOOKUP(D:D,'Week 45 Nov 2 - Nov 8 2020'!D:F,3,FALSE),"")+Table4042434650[[#This Row],[Week Sales]]</f>
        <v>424777</v>
      </c>
      <c r="G27" s="47" t="str">
        <f>(VLOOKUP(D:D,'Week 45 Nov 2 - Nov 8 2020'!D:G,4,FALSE))</f>
        <v>Nintendo</v>
      </c>
      <c r="H27" s="60">
        <f>(VLOOKUP(D:D,'Week 45 Nov 2 - Nov 8 2020'!D:H,5,FALSE))</f>
        <v>43987</v>
      </c>
      <c r="I27" s="55">
        <f>_xlfn.IFNA(VLOOKUP(D:D,'Week 45 Nov 2 - Nov 8 2020'!D:E,2,FALSE),"New")</f>
        <v>4571</v>
      </c>
      <c r="J27" s="56">
        <f t="shared" si="0"/>
        <v>-0.11376066506234959</v>
      </c>
    </row>
    <row r="28" spans="1:10" x14ac:dyDescent="0.2">
      <c r="A28" s="47">
        <v>27</v>
      </c>
      <c r="B28" s="47">
        <v>5</v>
      </c>
      <c r="C28" s="47" t="s">
        <v>7</v>
      </c>
      <c r="D28" s="47" t="s">
        <v>144</v>
      </c>
      <c r="E28" s="55">
        <v>3816</v>
      </c>
      <c r="F28" s="55">
        <f>_xlfn.IFNA(VLOOKUP(D:D,'Week 45 Nov 2 - Nov 8 2020'!D:F,3,FALSE),"")+Table4042434650[[#This Row],[Week Sales]]</f>
        <v>17687</v>
      </c>
      <c r="G28" s="47" t="str">
        <f>(VLOOKUP(D:D,'Week 45 Nov 2 - Nov 8 2020'!D:G,4,FALSE))</f>
        <v>Cygames</v>
      </c>
      <c r="H28" s="60">
        <f>(VLOOKUP(D:D,'Week 45 Nov 2 - Nov 8 2020'!D:H,5,FALSE))</f>
        <v>44140</v>
      </c>
      <c r="I28" s="55">
        <f>_xlfn.IFNA(VLOOKUP(D:D,'Week 45 Nov 2 - Nov 8 2020'!D:E,2,FALSE),"New")</f>
        <v>13871</v>
      </c>
      <c r="J28" s="56">
        <f t="shared" si="0"/>
        <v>-0.72489366303799296</v>
      </c>
    </row>
    <row r="29" spans="1:10" x14ac:dyDescent="0.2">
      <c r="A29" s="47">
        <v>28</v>
      </c>
      <c r="B29" s="47">
        <v>19</v>
      </c>
      <c r="C29" s="47" t="s">
        <v>7</v>
      </c>
      <c r="D29" s="47" t="s">
        <v>39</v>
      </c>
      <c r="E29" s="55">
        <v>3802</v>
      </c>
      <c r="F29" s="55">
        <f>_xlfn.IFNA(VLOOKUP(D:D,'Week 45 Nov 2 - Nov 8 2020'!D:F,3,FALSE),"")+Table4042434650[[#This Row],[Week Sales]]</f>
        <v>1680705</v>
      </c>
      <c r="G29" s="47" t="str">
        <f>(VLOOKUP(D:D,'Week 45 Nov 2 - Nov 8 2020'!D:G,4,FALSE))</f>
        <v>Nintendo</v>
      </c>
      <c r="H29" s="60">
        <f>(VLOOKUP(D:D,'Week 45 Nov 2 - Nov 8 2020'!D:H,5,FALSE))</f>
        <v>42797</v>
      </c>
      <c r="I29" s="55">
        <f>_xlfn.IFNA(VLOOKUP(D:D,'Week 45 Nov 2 - Nov 8 2020'!D:E,2,FALSE),"New")</f>
        <v>4056</v>
      </c>
      <c r="J29" s="56">
        <f t="shared" si="0"/>
        <v>-6.2623274161735701E-2</v>
      </c>
    </row>
    <row r="30" spans="1:10" x14ac:dyDescent="0.2">
      <c r="A30" s="47">
        <v>29</v>
      </c>
      <c r="B30" s="47">
        <v>20</v>
      </c>
      <c r="C30" s="47" t="s">
        <v>7</v>
      </c>
      <c r="D30" s="47" t="s">
        <v>17</v>
      </c>
      <c r="E30" s="55">
        <v>3261</v>
      </c>
      <c r="F30" s="55">
        <f>_xlfn.IFNA(VLOOKUP(D:D,'Week 45 Nov 2 - Nov 8 2020'!D:F,3,FALSE),"")+Table4042434650[[#This Row],[Week Sales]]</f>
        <v>926256</v>
      </c>
      <c r="G30" s="47" t="str">
        <f>(VLOOKUP(D:D,'Week 45 Nov 2 - Nov 8 2020'!D:G,4,FALSE))</f>
        <v>Nintendo</v>
      </c>
      <c r="H30" s="60">
        <f>(VLOOKUP(D:D,'Week 45 Nov 2 - Nov 8 2020'!D:H,5,FALSE))</f>
        <v>43476</v>
      </c>
      <c r="I30" s="55">
        <f>_xlfn.IFNA(VLOOKUP(D:D,'Week 45 Nov 2 - Nov 8 2020'!D:E,2,FALSE),"New")</f>
        <v>3633</v>
      </c>
      <c r="J30" s="56">
        <f t="shared" si="0"/>
        <v>-0.10239471511147812</v>
      </c>
    </row>
    <row r="31" spans="1:10" x14ac:dyDescent="0.2">
      <c r="A31" s="69">
        <v>30</v>
      </c>
      <c r="B31" s="69">
        <v>25</v>
      </c>
      <c r="C31" s="69" t="s">
        <v>7</v>
      </c>
      <c r="D31" s="47" t="s">
        <v>122</v>
      </c>
      <c r="E31" s="83">
        <v>2905</v>
      </c>
      <c r="F31" s="55">
        <f>_xlfn.IFNA(VLOOKUP(D:D,'Week 45 Nov 2 - Nov 8 2020'!D:F,3,FALSE),"")+Table4042434650[[#This Row],[Week Sales]]</f>
        <v>90468</v>
      </c>
      <c r="G31" s="47" t="str">
        <f>(VLOOKUP(D:D,'Week 45 Nov 2 - Nov 8 2020'!D:G,4,FALSE))</f>
        <v>Nintendo</v>
      </c>
      <c r="H31" s="60">
        <f>(VLOOKUP(D:D,'Week 45 Nov 2 - Nov 8 2020'!D:H,5,FALSE))</f>
        <v>44120</v>
      </c>
      <c r="I31" s="55">
        <f>_xlfn.IFNA(VLOOKUP(D:D,'Week 45 Nov 2 - Nov 8 2020'!D:E,2,FALSE),"New")</f>
        <v>2371</v>
      </c>
      <c r="J31" s="56">
        <f t="shared" si="0"/>
        <v>0.22522142555883592</v>
      </c>
    </row>
    <row r="33" spans="4:5" x14ac:dyDescent="0.2">
      <c r="D33" s="2" t="s">
        <v>59</v>
      </c>
      <c r="E33" s="2">
        <f>SUM(E2:E31)</f>
        <v>491265</v>
      </c>
    </row>
    <row r="34" spans="4:5" x14ac:dyDescent="0.2">
      <c r="D34" s="100" t="s">
        <v>178</v>
      </c>
      <c r="E34" s="101">
        <f>SUM('Week 45 Nov 2 - Nov 8 2020'!E34,'Week 46 Nov 9 - Nov 15 2020'!E33)</f>
        <v>19817051</v>
      </c>
    </row>
    <row r="35" spans="4:5" x14ac:dyDescent="0.2">
      <c r="D35" s="2" t="s">
        <v>60</v>
      </c>
      <c r="E35" s="2">
        <f>AVERAGE(E2:E31)</f>
        <v>16375.5</v>
      </c>
    </row>
    <row r="36" spans="4:5" x14ac:dyDescent="0.2">
      <c r="D36" s="9" t="s">
        <v>78</v>
      </c>
      <c r="E36" s="10">
        <f>COUNTIF(B:B,"New")</f>
        <v>14</v>
      </c>
    </row>
    <row r="38" spans="4:5" x14ac:dyDescent="0.2">
      <c r="D38" t="s">
        <v>66</v>
      </c>
    </row>
    <row r="39" spans="4:5" x14ac:dyDescent="0.2">
      <c r="D39" s="8" t="s">
        <v>67</v>
      </c>
    </row>
    <row r="40" spans="4:5" x14ac:dyDescent="0.2">
      <c r="D40" s="8" t="s">
        <v>65</v>
      </c>
    </row>
    <row r="41" spans="4:5" x14ac:dyDescent="0.2">
      <c r="D41" s="8" t="s">
        <v>71</v>
      </c>
    </row>
  </sheetData>
  <hyperlinks>
    <hyperlink ref="D40" r:id="rId1" xr:uid="{19ED84A6-93F2-0A49-916F-A70EA57B3E6B}"/>
    <hyperlink ref="D39" r:id="rId2" xr:uid="{09B3C4F9-4CAB-494E-B2C6-60FA36A0F54C}"/>
    <hyperlink ref="D41" r:id="rId3" xr:uid="{18DE9FEA-F01C-634B-8AC9-B896011A920A}"/>
  </hyperlinks>
  <pageMargins left="0.7" right="0.7" top="0.75" bottom="0.75" header="0.3" footer="0.3"/>
  <pageSetup paperSize="9" orientation="portrait" horizontalDpi="0" verticalDpi="0"/>
  <ignoredErrors>
    <ignoredError sqref="F2:H31" calculatedColumn="1"/>
  </ignoredErrors>
  <tableParts count="1">
    <tablePart r:id="rId4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D2EA-D37B-EB49-91C8-75156217839C}">
  <dimension ref="A1:J41"/>
  <sheetViews>
    <sheetView workbookViewId="0">
      <selection activeCell="D30" sqref="D30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47.664062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78" t="s">
        <v>0</v>
      </c>
      <c r="B1" s="78" t="s">
        <v>35</v>
      </c>
      <c r="C1" s="79" t="s">
        <v>1</v>
      </c>
      <c r="D1" s="79" t="s">
        <v>2</v>
      </c>
      <c r="E1" s="80" t="s">
        <v>3</v>
      </c>
      <c r="F1" s="80" t="s">
        <v>4</v>
      </c>
      <c r="G1" s="79" t="s">
        <v>5</v>
      </c>
      <c r="H1" s="81" t="s">
        <v>6</v>
      </c>
      <c r="I1" s="80" t="s">
        <v>64</v>
      </c>
      <c r="J1" s="82" t="s">
        <v>63</v>
      </c>
    </row>
    <row r="2" spans="1:10" x14ac:dyDescent="0.2">
      <c r="A2" s="46">
        <v>1</v>
      </c>
      <c r="B2" s="46" t="s">
        <v>36</v>
      </c>
      <c r="C2" s="46" t="s">
        <v>7</v>
      </c>
      <c r="D2" s="9" t="s">
        <v>163</v>
      </c>
      <c r="E2" s="73">
        <v>345697</v>
      </c>
      <c r="F2" s="73">
        <f>SUMIFS(Table4042434650[Total Sales],Table4042434650[Title],Table404243465051[Title],Table4042434650[System],Table404243465051[System])+Table404243465051[[#This Row],[Week Sales]]</f>
        <v>345697</v>
      </c>
      <c r="G2" s="46" t="s">
        <v>32</v>
      </c>
      <c r="H2" s="72">
        <v>44154</v>
      </c>
      <c r="I2" s="73" t="str">
        <f>_xlfn.IFNA(VLOOKUP(D:D,'Week 46 Nov 9 - Nov 15 2020'!D:E,2,FALSE),"New")</f>
        <v>New</v>
      </c>
      <c r="J2" s="90" t="s">
        <v>36</v>
      </c>
    </row>
    <row r="3" spans="1:10" x14ac:dyDescent="0.2">
      <c r="A3" s="46">
        <v>2</v>
      </c>
      <c r="B3" s="46" t="s">
        <v>36</v>
      </c>
      <c r="C3" s="46" t="s">
        <v>7</v>
      </c>
      <c r="D3" s="9" t="s">
        <v>164</v>
      </c>
      <c r="E3" s="73">
        <v>173215</v>
      </c>
      <c r="F3" s="73">
        <f>SUMIFS(Table4042434650[Total Sales],Table4042434650[Title],Table404243465051[Title],Table4042434650[System],Table404243465051[System])+Table404243465051[[#This Row],[Week Sales]]</f>
        <v>173215</v>
      </c>
      <c r="G3" s="46" t="s">
        <v>166</v>
      </c>
      <c r="H3" s="72">
        <v>44155</v>
      </c>
      <c r="I3" s="73" t="str">
        <f>_xlfn.IFNA(VLOOKUP(D:D,'Week 46 Nov 9 - Nov 15 2020'!D:E,2,FALSE),"New")</f>
        <v>New</v>
      </c>
      <c r="J3" s="90" t="s">
        <v>36</v>
      </c>
    </row>
    <row r="4" spans="1:10" x14ac:dyDescent="0.2">
      <c r="A4" s="120">
        <v>3</v>
      </c>
      <c r="B4" s="120">
        <v>4</v>
      </c>
      <c r="C4" s="120" t="s">
        <v>7</v>
      </c>
      <c r="D4" s="120" t="s">
        <v>46</v>
      </c>
      <c r="E4" s="121">
        <v>37290</v>
      </c>
      <c r="F4" s="122">
        <f>SUMIFS(Table4042434650[Total Sales],Table4042434650[Title],Table404243465051[Title],Table4042434650[System],Table404243465051[System])+Table404243465051[[#This Row],[Week Sales]]</f>
        <v>6011308</v>
      </c>
      <c r="G4" s="120" t="str">
        <f>(VLOOKUP(D:D,'Week 46 Nov 9 - Nov 15 2020'!D:G,4,FALSE))</f>
        <v>Nintendo</v>
      </c>
      <c r="H4" s="123">
        <f>(VLOOKUP(D:D,'Week 46 Nov 9 - Nov 15 2020'!D:H,5,FALSE))</f>
        <v>43910</v>
      </c>
      <c r="I4" s="121">
        <f>_xlfn.IFNA(VLOOKUP(D:D,'Week 46 Nov 9 - Nov 15 2020'!D:E,2,FALSE),"New")</f>
        <v>32585</v>
      </c>
      <c r="J4" s="124">
        <f t="shared" ref="J4:J31" si="0">(E4-I4)/I4</f>
        <v>0.14439159122295533</v>
      </c>
    </row>
    <row r="5" spans="1:10" x14ac:dyDescent="0.2">
      <c r="A5" s="47">
        <v>4</v>
      </c>
      <c r="B5" s="47">
        <v>6</v>
      </c>
      <c r="C5" s="47" t="s">
        <v>7</v>
      </c>
      <c r="D5" s="39" t="s">
        <v>45</v>
      </c>
      <c r="E5" s="55">
        <v>36069</v>
      </c>
      <c r="F5" s="55">
        <f>SUMIFS(Table4042434650[Total Sales],Table4042434650[Title],Table404243465051[Title],Table4042434650[System],Table404243465051[System])+Table404243465051[[#This Row],[Week Sales]]</f>
        <v>1843792</v>
      </c>
      <c r="G5" s="47" t="str">
        <f>(VLOOKUP(D:D,'Week 46 Nov 9 - Nov 15 2020'!D:G,4,FALSE))</f>
        <v>Nintendo</v>
      </c>
      <c r="H5" s="60">
        <f>(VLOOKUP(D:D,'Week 46 Nov 9 - Nov 15 2020'!D:H,5,FALSE))</f>
        <v>43756</v>
      </c>
      <c r="I5" s="55">
        <f>_xlfn.IFNA(VLOOKUP(D:D,'Week 46 Nov 9 - Nov 15 2020'!D:E,2,FALSE),"New")</f>
        <v>24115</v>
      </c>
      <c r="J5" s="56">
        <f t="shared" si="0"/>
        <v>0.49570806551938629</v>
      </c>
    </row>
    <row r="6" spans="1:10" x14ac:dyDescent="0.2">
      <c r="A6" s="46">
        <v>5</v>
      </c>
      <c r="B6" s="46" t="s">
        <v>36</v>
      </c>
      <c r="C6" s="46" t="s">
        <v>7</v>
      </c>
      <c r="D6" s="9" t="s">
        <v>165</v>
      </c>
      <c r="E6" s="73">
        <v>31267</v>
      </c>
      <c r="F6" s="73">
        <f>SUMIFS(Table4042434650[Total Sales],Table4042434650[Title],Table404243465051[Title],Table4042434650[System],Table404243465051[System])+Table404243465051[[#This Row],[Week Sales]]</f>
        <v>31267</v>
      </c>
      <c r="G6" s="46" t="s">
        <v>167</v>
      </c>
      <c r="H6" s="72">
        <v>44152</v>
      </c>
      <c r="I6" s="73" t="str">
        <f>_xlfn.IFNA(VLOOKUP(D:D,'Week 46 Nov 9 - Nov 15 2020'!D:E,2,FALSE),"New")</f>
        <v>New</v>
      </c>
      <c r="J6" s="90" t="s">
        <v>36</v>
      </c>
    </row>
    <row r="7" spans="1:10" x14ac:dyDescent="0.2">
      <c r="A7" s="47">
        <v>6</v>
      </c>
      <c r="B7" s="47">
        <v>1</v>
      </c>
      <c r="C7" s="47" t="s">
        <v>8</v>
      </c>
      <c r="D7" s="47" t="s">
        <v>153</v>
      </c>
      <c r="E7" s="55">
        <v>25208</v>
      </c>
      <c r="F7" s="55">
        <f>SUMIFS(Table4042434650[Total Sales],Table4042434650[Title],Table404243465051[Title],Table4042434650[System],Table404243465051[System])+Table404243465051[[#This Row],[Week Sales]]</f>
        <v>109683</v>
      </c>
      <c r="G7" s="47" t="str">
        <f>(VLOOKUP(D:D,'Week 46 Nov 9 - Nov 15 2020'!D:G,4,FALSE))</f>
        <v>Sony</v>
      </c>
      <c r="H7" s="60">
        <f>(VLOOKUP(D:D,'Week 46 Nov 9 - Nov 15 2020'!D:H,5,FALSE))</f>
        <v>44148</v>
      </c>
      <c r="I7" s="55">
        <f>_xlfn.IFNA(VLOOKUP(D:D,'Week 46 Nov 9 - Nov 15 2020'!D:E,2,FALSE),"New")</f>
        <v>84475</v>
      </c>
      <c r="J7" s="56">
        <f t="shared" si="0"/>
        <v>-0.70159218703758508</v>
      </c>
    </row>
    <row r="8" spans="1:10" x14ac:dyDescent="0.2">
      <c r="A8" s="47">
        <v>7</v>
      </c>
      <c r="B8" s="47">
        <v>5</v>
      </c>
      <c r="C8" s="61" t="s">
        <v>7</v>
      </c>
      <c r="D8" s="47" t="s">
        <v>132</v>
      </c>
      <c r="E8" s="55">
        <v>24201</v>
      </c>
      <c r="F8" s="55">
        <f>SUMIFS(Table4042434650[Total Sales],Table4042434650[Title],Table404243465051[Title],Table4042434650[System],Table404243465051[System])+Table404243465051[[#This Row],[Week Sales]]</f>
        <v>294548</v>
      </c>
      <c r="G8" s="47" t="str">
        <f>(VLOOKUP(D:D,'Week 46 Nov 9 - Nov 15 2020'!D:G,4,FALSE))</f>
        <v>Nintendo</v>
      </c>
      <c r="H8" s="60">
        <f>(VLOOKUP(D:D,'Week 46 Nov 9 - Nov 15 2020'!D:H,5,FALSE))</f>
        <v>44134</v>
      </c>
      <c r="I8" s="55">
        <f>_xlfn.IFNA(VLOOKUP(D:D,'Week 46 Nov 9 - Nov 15 2020'!D:E,2,FALSE),"New")</f>
        <v>31073</v>
      </c>
      <c r="J8" s="56">
        <f t="shared" si="0"/>
        <v>-0.22115663115888393</v>
      </c>
    </row>
    <row r="9" spans="1:10" x14ac:dyDescent="0.2">
      <c r="A9" s="47">
        <v>8</v>
      </c>
      <c r="B9" s="47">
        <v>15</v>
      </c>
      <c r="C9" s="61" t="s">
        <v>7</v>
      </c>
      <c r="D9" s="47" t="s">
        <v>49</v>
      </c>
      <c r="E9" s="55">
        <v>13568</v>
      </c>
      <c r="F9" s="55">
        <f>SUMIFS(Table4042434650[Total Sales],Table4042434650[Title],Table404243465051[Title],Table4042434650[System],Table404243465051[System])+Table404243465051[[#This Row],[Week Sales]]</f>
        <v>3274793</v>
      </c>
      <c r="G9" s="47" t="str">
        <f>(VLOOKUP(D:D,'Week 46 Nov 9 - Nov 15 2020'!D:G,4,FALSE))</f>
        <v>Nintendo</v>
      </c>
      <c r="H9" s="60">
        <f>(VLOOKUP(D:D,'Week 46 Nov 9 - Nov 15 2020'!D:H,5,FALSE))</f>
        <v>42853</v>
      </c>
      <c r="I9" s="55">
        <f>_xlfn.IFNA(VLOOKUP(D:D,'Week 46 Nov 9 - Nov 15 2020'!D:E,2,FALSE),"New")</f>
        <v>10390</v>
      </c>
      <c r="J9" s="56">
        <f t="shared" si="0"/>
        <v>0.30587102983638115</v>
      </c>
    </row>
    <row r="10" spans="1:10" x14ac:dyDescent="0.2">
      <c r="A10" s="47">
        <v>9</v>
      </c>
      <c r="B10" s="47">
        <v>24</v>
      </c>
      <c r="C10" s="61" t="s">
        <v>7</v>
      </c>
      <c r="D10" s="47" t="s">
        <v>13</v>
      </c>
      <c r="E10" s="55">
        <v>12859</v>
      </c>
      <c r="F10" s="55">
        <f>SUMIFS(Table4042434650[Total Sales],Table4042434650[Title],Table404243465051[Title],Table4042434650[System],Table404243465051[System])+Table404243465051[[#This Row],[Week Sales]]</f>
        <v>1608879</v>
      </c>
      <c r="G10" s="47" t="str">
        <f>(VLOOKUP(D:D,'Week 46 Nov 9 - Nov 15 2020'!D:G,4,FALSE))</f>
        <v>Nintendo</v>
      </c>
      <c r="H10" s="60">
        <f>(VLOOKUP(D:D,'Week 46 Nov 9 - Nov 15 2020'!D:H,5,FALSE))</f>
        <v>43378</v>
      </c>
      <c r="I10" s="55">
        <f>_xlfn.IFNA(VLOOKUP(D:D,'Week 46 Nov 9 - Nov 15 2020'!D:E,2,FALSE),"New")</f>
        <v>4615</v>
      </c>
      <c r="J10" s="56">
        <f t="shared" si="0"/>
        <v>1.7863488624052004</v>
      </c>
    </row>
    <row r="11" spans="1:10" x14ac:dyDescent="0.2">
      <c r="A11" s="47">
        <v>10</v>
      </c>
      <c r="B11" s="47">
        <v>14</v>
      </c>
      <c r="C11" s="61" t="s">
        <v>7</v>
      </c>
      <c r="D11" s="47" t="s">
        <v>145</v>
      </c>
      <c r="E11" s="55">
        <v>11464</v>
      </c>
      <c r="F11" s="55">
        <f>SUMIFS(Table4042434650[Total Sales],Table4042434650[Title],Table404243465051[Title],Table4042434650[System],Table404243465051[System])+Table404243465051[[#This Row],[Week Sales]]</f>
        <v>43088</v>
      </c>
      <c r="G11" s="47" t="str">
        <f>(VLOOKUP(D:D,'Week 46 Nov 9 - Nov 15 2020'!D:G,4,FALSE))</f>
        <v>The Pokemon Company</v>
      </c>
      <c r="H11" s="60">
        <f>(VLOOKUP(D:D,'Week 46 Nov 9 - Nov 15 2020'!D:H,5,FALSE))</f>
        <v>43784</v>
      </c>
      <c r="I11" s="55">
        <f>_xlfn.IFNA(VLOOKUP(D:D,'Week 46 Nov 9 - Nov 15 2020'!D:E,2,FALSE),"New")</f>
        <v>12986</v>
      </c>
      <c r="J11" s="56">
        <f t="shared" si="0"/>
        <v>-0.11720314184506392</v>
      </c>
    </row>
    <row r="12" spans="1:10" x14ac:dyDescent="0.2">
      <c r="A12" s="47">
        <v>11</v>
      </c>
      <c r="B12" s="47">
        <v>17</v>
      </c>
      <c r="C12" s="61" t="s">
        <v>7</v>
      </c>
      <c r="D12" s="47" t="s">
        <v>12</v>
      </c>
      <c r="E12" s="55">
        <v>8978</v>
      </c>
      <c r="F12" s="55">
        <f>SUMIFS(Table4042434650[Total Sales],Table4042434650[Title],Table404243465051[Title],Table4042434650[System],Table404243465051[System])+Table404243465051[[#This Row],[Week Sales]]</f>
        <v>1568365</v>
      </c>
      <c r="G12" s="47" t="str">
        <f>(VLOOKUP(D:D,'Week 46 Nov 9 - Nov 15 2020'!D:G,4,FALSE))</f>
        <v>Microsoft</v>
      </c>
      <c r="H12" s="60">
        <f>(VLOOKUP(D:D,'Week 46 Nov 9 - Nov 15 2020'!D:H,5,FALSE))</f>
        <v>43272</v>
      </c>
      <c r="I12" s="55">
        <f>_xlfn.IFNA(VLOOKUP(D:D,'Week 46 Nov 9 - Nov 15 2020'!D:E,2,FALSE),"New")</f>
        <v>7545</v>
      </c>
      <c r="J12" s="56">
        <f t="shared" si="0"/>
        <v>0.1899271040424122</v>
      </c>
    </row>
    <row r="13" spans="1:10" x14ac:dyDescent="0.2">
      <c r="A13" s="47">
        <v>12</v>
      </c>
      <c r="B13" s="47">
        <v>18</v>
      </c>
      <c r="C13" s="61" t="s">
        <v>7</v>
      </c>
      <c r="D13" s="47" t="s">
        <v>40</v>
      </c>
      <c r="E13" s="55">
        <v>8649</v>
      </c>
      <c r="F13" s="55">
        <f>SUMIFS(Table4042434650[Total Sales],Table4042434650[Title],Table404243465051[Title],Table4042434650[System],Table404243465051[System])+Table404243465051[[#This Row],[Week Sales]]</f>
        <v>387952</v>
      </c>
      <c r="G13" s="47" t="str">
        <f>(VLOOKUP(D:D,'Week 46 Nov 9 - Nov 15 2020'!D:G,4,FALSE))</f>
        <v>Nintendo</v>
      </c>
      <c r="H13" s="60">
        <f>(VLOOKUP(D:D,'Week 46 Nov 9 - Nov 15 2020'!D:H,5,FALSE))</f>
        <v>44092</v>
      </c>
      <c r="I13" s="55">
        <f>_xlfn.IFNA(VLOOKUP(D:D,'Week 46 Nov 9 - Nov 15 2020'!D:E,2,FALSE),"New")</f>
        <v>6132</v>
      </c>
      <c r="J13" s="56">
        <f t="shared" si="0"/>
        <v>0.41046966731898238</v>
      </c>
    </row>
    <row r="14" spans="1:10" x14ac:dyDescent="0.2">
      <c r="A14" s="47">
        <v>13</v>
      </c>
      <c r="B14" s="47">
        <v>7</v>
      </c>
      <c r="C14" s="47" t="s">
        <v>8</v>
      </c>
      <c r="D14" s="47" t="s">
        <v>154</v>
      </c>
      <c r="E14" s="55">
        <v>7529</v>
      </c>
      <c r="F14" s="55">
        <f>SUMIFS(Table4042434650[Total Sales],Table4042434650[Title],Table404243465051[Title],Table4042434650[System],Table404243465051[System])+Table404243465051[[#This Row],[Week Sales]]</f>
        <v>30484</v>
      </c>
      <c r="G14" s="47" t="str">
        <f>(VLOOKUP(D:D,'Week 46 Nov 9 - Nov 15 2020'!D:G,4,FALSE))</f>
        <v>Marvelous</v>
      </c>
      <c r="H14" s="60">
        <f>(VLOOKUP(D:D,'Week 46 Nov 9 - Nov 15 2020'!D:H,5,FALSE))</f>
        <v>44147</v>
      </c>
      <c r="I14" s="55">
        <f>_xlfn.IFNA(VLOOKUP(D:D,'Week 46 Nov 9 - Nov 15 2020'!D:E,2,FALSE),"New")</f>
        <v>32906</v>
      </c>
      <c r="J14" s="56">
        <f t="shared" si="0"/>
        <v>-0.77119674223545853</v>
      </c>
    </row>
    <row r="15" spans="1:10" x14ac:dyDescent="0.2">
      <c r="A15" s="47">
        <v>14</v>
      </c>
      <c r="B15" s="47">
        <v>8</v>
      </c>
      <c r="C15" s="47" t="s">
        <v>8</v>
      </c>
      <c r="D15" s="47" t="s">
        <v>155</v>
      </c>
      <c r="E15" s="55">
        <v>7437</v>
      </c>
      <c r="F15" s="55">
        <f>SUMIFS(Table4042434650[Total Sales],Table4042434650[Title],Table404243465051[Title],Table4042434650[System],Table404243465051[System])+Table404243465051[[#This Row],[Week Sales]]</f>
        <v>30319</v>
      </c>
      <c r="G15" s="47" t="str">
        <f>(VLOOKUP(D:D,'Week 46 Nov 9 - Nov 15 2020'!D:G,4,FALSE))</f>
        <v>Sony</v>
      </c>
      <c r="H15" s="60">
        <f>(VLOOKUP(D:D,'Week 46 Nov 9 - Nov 15 2020'!D:H,5,FALSE))</f>
        <v>44147</v>
      </c>
      <c r="I15" s="55">
        <f>_xlfn.IFNA(VLOOKUP(D:D,'Week 46 Nov 9 - Nov 15 2020'!D:E,2,FALSE),"New")</f>
        <v>22882</v>
      </c>
      <c r="J15" s="56">
        <f t="shared" si="0"/>
        <v>-0.67498470413425404</v>
      </c>
    </row>
    <row r="16" spans="1:10" x14ac:dyDescent="0.2">
      <c r="A16" s="47">
        <v>15</v>
      </c>
      <c r="B16" s="47">
        <v>2</v>
      </c>
      <c r="C16" s="47" t="s">
        <v>8</v>
      </c>
      <c r="D16" s="47" t="s">
        <v>151</v>
      </c>
      <c r="E16" s="55">
        <v>6918</v>
      </c>
      <c r="F16" s="55">
        <f>SUMIFS(Table4042434650[Total Sales],Table4042434650[Title],Table404243465051[Title],Table4042434650[System],Table404243465051[System])+Table404243465051[[#This Row],[Week Sales]]</f>
        <v>51973</v>
      </c>
      <c r="G16" s="47" t="str">
        <f>(VLOOKUP(D:D,'Week 46 Nov 9 - Nov 15 2020'!D:G,4,FALSE))</f>
        <v>Ubisoft</v>
      </c>
      <c r="H16" s="60">
        <f>(VLOOKUP(D:D,'Week 46 Nov 9 - Nov 15 2020'!D:H,5,FALSE))</f>
        <v>44145</v>
      </c>
      <c r="I16" s="55">
        <f>_xlfn.IFNA(VLOOKUP(D:D,'Week 46 Nov 9 - Nov 15 2020'!D:E,2,FALSE),"New")</f>
        <v>45055</v>
      </c>
      <c r="J16" s="56">
        <f t="shared" si="0"/>
        <v>-0.84645433359227606</v>
      </c>
    </row>
    <row r="17" spans="1:10" x14ac:dyDescent="0.2">
      <c r="A17" s="47">
        <v>16</v>
      </c>
      <c r="B17" s="47">
        <v>20</v>
      </c>
      <c r="C17" s="61" t="s">
        <v>7</v>
      </c>
      <c r="D17" s="47" t="s">
        <v>52</v>
      </c>
      <c r="E17" s="55">
        <v>6595</v>
      </c>
      <c r="F17" s="55">
        <f>SUMIFS(Table4042434650[Total Sales],Table4042434650[Title],Table404243465051[Title],Table4042434650[System],Table404243465051[System])+Table404243465051[[#This Row],[Week Sales]]</f>
        <v>3883861</v>
      </c>
      <c r="G17" s="47" t="str">
        <f>(VLOOKUP(D:D,'Week 46 Nov 9 - Nov 15 2020'!D:G,4,FALSE))</f>
        <v>Nintendo</v>
      </c>
      <c r="H17" s="60">
        <f>(VLOOKUP(D:D,'Week 46 Nov 9 - Nov 15 2020'!D:H,5,FALSE))</f>
        <v>43441</v>
      </c>
      <c r="I17" s="55">
        <f>_xlfn.IFNA(VLOOKUP(D:D,'Week 46 Nov 9 - Nov 15 2020'!D:E,2,FALSE),"New")</f>
        <v>5352</v>
      </c>
      <c r="J17" s="56">
        <f t="shared" si="0"/>
        <v>0.23224962630792229</v>
      </c>
    </row>
    <row r="18" spans="1:10" x14ac:dyDescent="0.2">
      <c r="A18" s="47">
        <v>17</v>
      </c>
      <c r="B18" s="47">
        <v>23</v>
      </c>
      <c r="C18" s="61" t="s">
        <v>7</v>
      </c>
      <c r="D18" s="47" t="s">
        <v>10</v>
      </c>
      <c r="E18" s="55">
        <v>6357</v>
      </c>
      <c r="F18" s="55">
        <f>SUMIFS(Table4042434650[Total Sales],Table4042434650[Title],Table404243465051[Title],Table4042434650[System],Table404243465051[System])+Table404243465051[[#This Row],[Week Sales]]</f>
        <v>3607895</v>
      </c>
      <c r="G18" s="47" t="str">
        <f>(VLOOKUP(D:D,'Week 46 Nov 9 - Nov 15 2020'!D:G,4,FALSE))</f>
        <v>Nintendo</v>
      </c>
      <c r="H18" s="60">
        <f>(VLOOKUP(D:D,'Week 46 Nov 9 - Nov 15 2020'!D:H,5,FALSE))</f>
        <v>42937</v>
      </c>
      <c r="I18" s="55">
        <f>_xlfn.IFNA(VLOOKUP(D:D,'Week 46 Nov 9 - Nov 15 2020'!D:E,2,FALSE),"New")</f>
        <v>4628</v>
      </c>
      <c r="J18" s="56">
        <f t="shared" si="0"/>
        <v>0.37359550561797755</v>
      </c>
    </row>
    <row r="19" spans="1:10" x14ac:dyDescent="0.2">
      <c r="A19" s="47">
        <v>18</v>
      </c>
      <c r="B19" s="47">
        <v>22</v>
      </c>
      <c r="C19" s="61" t="s">
        <v>7</v>
      </c>
      <c r="D19" s="47" t="s">
        <v>62</v>
      </c>
      <c r="E19" s="55">
        <v>6037</v>
      </c>
      <c r="F19" s="55">
        <f>SUMIFS(Table4042434650[Total Sales],Table4042434650[Title],Table404243465051[Title],Table4042434650[System],Table404243465051[System])+Table404243465051[[#This Row],[Week Sales]]</f>
        <v>3801742</v>
      </c>
      <c r="G19" s="47" t="str">
        <f>(VLOOKUP(D:D,'Week 46 Nov 9 - Nov 15 2020'!D:G,4,FALSE))</f>
        <v>The Pokemon Company</v>
      </c>
      <c r="H19" s="60">
        <f>(VLOOKUP(D:D,'Week 46 Nov 9 - Nov 15 2020'!D:H,5,FALSE))</f>
        <v>43784</v>
      </c>
      <c r="I19" s="55">
        <f>_xlfn.IFNA(VLOOKUP(D:D,'Week 46 Nov 9 - Nov 15 2020'!D:E,2,FALSE),"New")</f>
        <v>4922</v>
      </c>
      <c r="J19" s="56">
        <f t="shared" si="0"/>
        <v>0.22653392929703373</v>
      </c>
    </row>
    <row r="20" spans="1:10" x14ac:dyDescent="0.2">
      <c r="A20" s="47">
        <v>19</v>
      </c>
      <c r="B20" s="47">
        <v>26</v>
      </c>
      <c r="C20" s="61" t="s">
        <v>7</v>
      </c>
      <c r="D20" s="47" t="s">
        <v>50</v>
      </c>
      <c r="E20" s="55">
        <v>5157</v>
      </c>
      <c r="F20" s="55">
        <f>SUMIFS(Table4042434650[Total Sales],Table4042434650[Title],Table404243465051[Title],Table4042434650[System],Table404243465051[System])+Table404243465051[[#This Row],[Week Sales]]</f>
        <v>429934</v>
      </c>
      <c r="G20" s="47" t="str">
        <f>(VLOOKUP(D:D,'Week 46 Nov 9 - Nov 15 2020'!D:G,4,FALSE))</f>
        <v>Nintendo</v>
      </c>
      <c r="H20" s="60">
        <f>(VLOOKUP(D:D,'Week 46 Nov 9 - Nov 15 2020'!D:H,5,FALSE))</f>
        <v>43987</v>
      </c>
      <c r="I20" s="55">
        <f>_xlfn.IFNA(VLOOKUP(D:D,'Week 46 Nov 9 - Nov 15 2020'!D:E,2,FALSE),"New")</f>
        <v>4051</v>
      </c>
      <c r="J20" s="56">
        <f t="shared" si="0"/>
        <v>0.27301900765243148</v>
      </c>
    </row>
    <row r="21" spans="1:10" x14ac:dyDescent="0.2">
      <c r="A21" s="47">
        <v>20</v>
      </c>
      <c r="B21" s="47">
        <v>29</v>
      </c>
      <c r="C21" s="61" t="s">
        <v>7</v>
      </c>
      <c r="D21" s="47" t="s">
        <v>17</v>
      </c>
      <c r="E21" s="55">
        <v>4647</v>
      </c>
      <c r="F21" s="55">
        <f>SUMIFS(Table4042434650[Total Sales],Table4042434650[Title],Table404243465051[Title],Table4042434650[System],Table404243465051[System])+Table404243465051[[#This Row],[Week Sales]]</f>
        <v>930903</v>
      </c>
      <c r="G21" s="47" t="str">
        <f>(VLOOKUP(D:D,'Week 46 Nov 9 - Nov 15 2020'!D:G,4,FALSE))</f>
        <v>Nintendo</v>
      </c>
      <c r="H21" s="60">
        <f>(VLOOKUP(D:D,'Week 46 Nov 9 - Nov 15 2020'!D:H,5,FALSE))</f>
        <v>43476</v>
      </c>
      <c r="I21" s="55">
        <f>_xlfn.IFNA(VLOOKUP(D:D,'Week 46 Nov 9 - Nov 15 2020'!D:E,2,FALSE),"New")</f>
        <v>3261</v>
      </c>
      <c r="J21" s="56">
        <f t="shared" si="0"/>
        <v>0.42502299908003682</v>
      </c>
    </row>
    <row r="22" spans="1:10" x14ac:dyDescent="0.2">
      <c r="A22" s="47">
        <v>21</v>
      </c>
      <c r="B22" s="47">
        <v>28</v>
      </c>
      <c r="C22" s="61" t="s">
        <v>7</v>
      </c>
      <c r="D22" s="47" t="s">
        <v>39</v>
      </c>
      <c r="E22" s="55">
        <v>4410</v>
      </c>
      <c r="F22" s="55">
        <f>SUMIFS(Table4042434650[Total Sales],Table4042434650[Title],Table404243465051[Title],Table4042434650[System],Table404243465051[System])+Table404243465051[[#This Row],[Week Sales]]</f>
        <v>1685115</v>
      </c>
      <c r="G22" s="47" t="str">
        <f>(VLOOKUP(D:D,'Week 46 Nov 9 - Nov 15 2020'!D:G,4,FALSE))</f>
        <v>Nintendo</v>
      </c>
      <c r="H22" s="60">
        <f>(VLOOKUP(D:D,'Week 46 Nov 9 - Nov 15 2020'!D:H,5,FALSE))</f>
        <v>42797</v>
      </c>
      <c r="I22" s="55">
        <f>_xlfn.IFNA(VLOOKUP(D:D,'Week 46 Nov 9 - Nov 15 2020'!D:E,2,FALSE),"New")</f>
        <v>3802</v>
      </c>
      <c r="J22" s="56">
        <f t="shared" si="0"/>
        <v>0.1599158337716991</v>
      </c>
    </row>
    <row r="23" spans="1:10" x14ac:dyDescent="0.2">
      <c r="A23" s="52">
        <v>22</v>
      </c>
      <c r="B23" s="52" t="s">
        <v>53</v>
      </c>
      <c r="C23" s="62" t="s">
        <v>7</v>
      </c>
      <c r="D23" s="52" t="s">
        <v>16</v>
      </c>
      <c r="E23" s="75">
        <v>3739</v>
      </c>
      <c r="F23" s="75">
        <v>322239</v>
      </c>
      <c r="G23" s="52" t="str">
        <f>(VLOOKUP(D:D,'Week 45 Nov 2 - Nov 8 2020'!D:G,4,FALSE))</f>
        <v>Nintendo</v>
      </c>
      <c r="H23" s="74">
        <f>(VLOOKUP(D:D,'Week 45 Nov 2 - Nov 8 2020'!D:H,5,FALSE))</f>
        <v>43826</v>
      </c>
      <c r="I23" s="75">
        <v>2269</v>
      </c>
      <c r="J23" s="76">
        <f t="shared" si="0"/>
        <v>0.64786249449096522</v>
      </c>
    </row>
    <row r="24" spans="1:10" x14ac:dyDescent="0.2">
      <c r="A24" s="47">
        <v>23</v>
      </c>
      <c r="B24" s="47">
        <v>9</v>
      </c>
      <c r="C24" s="61" t="s">
        <v>7</v>
      </c>
      <c r="D24" s="47" t="s">
        <v>152</v>
      </c>
      <c r="E24" s="55">
        <v>3570</v>
      </c>
      <c r="F24" s="55">
        <f>SUMIFS(Table4042434650[Total Sales],Table4042434650[Title],Table404243465051[Title],Table4042434650[System],Table404243465051[System])+Table404243465051[[#This Row],[Week Sales]]</f>
        <v>26383</v>
      </c>
      <c r="G24" s="47" t="str">
        <f>(VLOOKUP(D:D,'Week 46 Nov 9 - Nov 15 2020'!D:G,4,FALSE))</f>
        <v>Square Enix</v>
      </c>
      <c r="H24" s="60">
        <f>(VLOOKUP(D:D,'Week 46 Nov 9 - Nov 15 2020'!D:H,5,FALSE))</f>
        <v>44147</v>
      </c>
      <c r="I24" s="55">
        <f>_xlfn.IFNA(VLOOKUP(D:D,'Week 46 Nov 9 - Nov 15 2020'!D:E,2,FALSE),"New")</f>
        <v>22813</v>
      </c>
      <c r="J24" s="56">
        <f t="shared" si="0"/>
        <v>-0.8435102792267567</v>
      </c>
    </row>
    <row r="25" spans="1:10" x14ac:dyDescent="0.2">
      <c r="A25" s="47">
        <v>24</v>
      </c>
      <c r="B25" s="47">
        <v>10</v>
      </c>
      <c r="C25" s="61" t="s">
        <v>150</v>
      </c>
      <c r="D25" s="47" t="s">
        <v>159</v>
      </c>
      <c r="E25" s="55">
        <v>3193</v>
      </c>
      <c r="F25" s="55">
        <f>SUMIFS(Table4042434650[Total Sales],Table4042434650[Title],Table404243465051[Title],Table4042434650[System],Table404243465051[System])+Table404243465051[[#This Row],[Week Sales]]</f>
        <v>21833</v>
      </c>
      <c r="G25" s="47" t="str">
        <f>(VLOOKUP(D:D,'Week 46 Nov 9 - Nov 15 2020'!D:G,4,FALSE))</f>
        <v>Sony</v>
      </c>
      <c r="H25" s="60">
        <f>(VLOOKUP(D:D,'Week 46 Nov 9 - Nov 15 2020'!D:H,5,FALSE))</f>
        <v>44147</v>
      </c>
      <c r="I25" s="55">
        <f>_xlfn.IFNA(VLOOKUP(D:D,'Week 46 Nov 9 - Nov 15 2020'!D:E,2,FALSE),"New")</f>
        <v>18640</v>
      </c>
      <c r="J25" s="56">
        <f t="shared" si="0"/>
        <v>-0.82870171673819748</v>
      </c>
    </row>
    <row r="26" spans="1:10" x14ac:dyDescent="0.2">
      <c r="A26" s="52">
        <v>25</v>
      </c>
      <c r="B26" s="52" t="s">
        <v>53</v>
      </c>
      <c r="C26" s="62" t="s">
        <v>7</v>
      </c>
      <c r="D26" s="52" t="s">
        <v>19</v>
      </c>
      <c r="E26" s="75">
        <v>2910</v>
      </c>
      <c r="F26" s="75">
        <v>988335</v>
      </c>
      <c r="G26" s="52" t="str">
        <f>(VLOOKUP(D:D,'Week 45 Nov 2 - Nov 8 2020'!D:G,4,FALSE))</f>
        <v>Nintendo</v>
      </c>
      <c r="H26" s="74">
        <f>(VLOOKUP(D:D,'Week 45 Nov 2 - Nov 8 2020'!D:H,5,FALSE))</f>
        <v>43644</v>
      </c>
      <c r="I26" s="75">
        <v>2252</v>
      </c>
      <c r="J26" s="76">
        <f t="shared" si="0"/>
        <v>0.29218472468916518</v>
      </c>
    </row>
    <row r="27" spans="1:10" x14ac:dyDescent="0.2">
      <c r="A27" s="47">
        <v>26</v>
      </c>
      <c r="B27" s="47">
        <v>11</v>
      </c>
      <c r="C27" s="61" t="s">
        <v>150</v>
      </c>
      <c r="D27" s="47" t="s">
        <v>156</v>
      </c>
      <c r="E27" s="55">
        <v>2882</v>
      </c>
      <c r="F27" s="55">
        <f>SUMIFS(Table4042434650[Total Sales],Table4042434650[Title],Table404243465051[Title],Table4042434650[System],Table404243465051[System])+Table404243465051[[#This Row],[Week Sales]]</f>
        <v>21489</v>
      </c>
      <c r="G27" s="47" t="str">
        <f>(VLOOKUP(D:D,'Week 46 Nov 9 - Nov 15 2020'!D:G,4,FALSE))</f>
        <v>Sony</v>
      </c>
      <c r="H27" s="60">
        <f>(VLOOKUP(D:D,'Week 46 Nov 9 - Nov 15 2020'!D:H,5,FALSE))</f>
        <v>44147</v>
      </c>
      <c r="I27" s="55">
        <f>_xlfn.IFNA(VLOOKUP(D:D,'Week 46 Nov 9 - Nov 15 2020'!D:E,2,FALSE),"New")</f>
        <v>18607</v>
      </c>
      <c r="J27" s="56">
        <f t="shared" si="0"/>
        <v>-0.84511205460310634</v>
      </c>
    </row>
    <row r="28" spans="1:10" x14ac:dyDescent="0.2">
      <c r="A28" s="47">
        <v>27</v>
      </c>
      <c r="B28" s="47">
        <v>30</v>
      </c>
      <c r="C28" s="61" t="s">
        <v>7</v>
      </c>
      <c r="D28" s="86" t="s">
        <v>122</v>
      </c>
      <c r="E28" s="55">
        <v>2511</v>
      </c>
      <c r="F28" s="55">
        <f>SUMIFS(Table4042434650[Total Sales],Table4042434650[Title],Table404243465051[Title],Table4042434650[System],Table404243465051[System])+Table404243465051[[#This Row],[Week Sales]]</f>
        <v>92979</v>
      </c>
      <c r="G28" s="47" t="str">
        <f>(VLOOKUP(D:D,'Week 46 Nov 9 - Nov 15 2020'!D:G,4,FALSE))</f>
        <v>Nintendo</v>
      </c>
      <c r="H28" s="60">
        <f>(VLOOKUP(D:D,'Week 46 Nov 9 - Nov 15 2020'!D:H,5,FALSE))</f>
        <v>44120</v>
      </c>
      <c r="I28" s="55">
        <f>_xlfn.IFNA(VLOOKUP(D:D,'Week 46 Nov 9 - Nov 15 2020'!D:E,2,FALSE),"New")</f>
        <v>2905</v>
      </c>
      <c r="J28" s="56">
        <f t="shared" si="0"/>
        <v>-0.13562822719449225</v>
      </c>
    </row>
    <row r="29" spans="1:10" x14ac:dyDescent="0.2">
      <c r="A29" s="46">
        <v>28</v>
      </c>
      <c r="B29" s="46" t="s">
        <v>36</v>
      </c>
      <c r="C29" s="87" t="s">
        <v>8</v>
      </c>
      <c r="D29" s="9" t="s">
        <v>165</v>
      </c>
      <c r="E29" s="73">
        <v>2477</v>
      </c>
      <c r="F29" s="73">
        <f>SUMIFS(Table4042434650[Total Sales],Table4042434650[Title],Table404243465051[Title],Table4042434650[System],Table404243465051[System])+Table404243465051[[#This Row],[Week Sales]]</f>
        <v>2477</v>
      </c>
      <c r="G29" s="46" t="s">
        <v>167</v>
      </c>
      <c r="H29" s="72">
        <v>44152</v>
      </c>
      <c r="I29" s="73" t="str">
        <f>_xlfn.IFNA(VLOOKUP(D:D,'Week 46 Nov 9 - Nov 15 2020'!D:E,2,FALSE),"New")</f>
        <v>New</v>
      </c>
      <c r="J29" s="90" t="s">
        <v>36</v>
      </c>
    </row>
    <row r="30" spans="1:10" x14ac:dyDescent="0.2">
      <c r="A30" s="52">
        <v>29</v>
      </c>
      <c r="B30" s="52" t="s">
        <v>53</v>
      </c>
      <c r="C30" s="62" t="s">
        <v>7</v>
      </c>
      <c r="D30" s="52" t="s">
        <v>20</v>
      </c>
      <c r="E30" s="75">
        <v>2453</v>
      </c>
      <c r="F30" s="75">
        <v>508626</v>
      </c>
      <c r="G30" s="52" t="str">
        <f>(VLOOKUP(D:D,'Week 45 Nov 2 - Nov 8 2020'!D:G,4,FALSE))</f>
        <v>Bandai Namco</v>
      </c>
      <c r="H30" s="74">
        <f>(VLOOKUP(D:D,'Week 45 Nov 2 - Nov 8 2020'!D:H,5,FALSE))</f>
        <v>43671</v>
      </c>
      <c r="I30" s="75">
        <v>1932</v>
      </c>
      <c r="J30" s="76">
        <f t="shared" si="0"/>
        <v>0.26966873706004141</v>
      </c>
    </row>
    <row r="31" spans="1:10" x14ac:dyDescent="0.2">
      <c r="A31" s="58">
        <v>30</v>
      </c>
      <c r="B31" s="58" t="s">
        <v>53</v>
      </c>
      <c r="C31" s="62" t="s">
        <v>7</v>
      </c>
      <c r="D31" s="31" t="s">
        <v>56</v>
      </c>
      <c r="E31" s="88">
        <v>2265</v>
      </c>
      <c r="F31" s="75">
        <v>51872</v>
      </c>
      <c r="G31" s="52" t="str">
        <f>(VLOOKUP(D:D,'Week 45 Nov 2 - Nov 8 2020'!D:G,4,FALSE))</f>
        <v>Teyon Japan</v>
      </c>
      <c r="H31" s="74">
        <f>(VLOOKUP(D:D,'Week 45 Nov 2 - Nov 8 2020'!D:H,5,FALSE))</f>
        <v>44007</v>
      </c>
      <c r="I31" s="75">
        <v>1871</v>
      </c>
      <c r="J31" s="89">
        <f t="shared" si="0"/>
        <v>0.21058257616247997</v>
      </c>
    </row>
    <row r="33" spans="4:5" x14ac:dyDescent="0.2">
      <c r="D33" s="2" t="s">
        <v>59</v>
      </c>
      <c r="E33" s="2">
        <f>SUM(E2:E31)</f>
        <v>809552</v>
      </c>
    </row>
    <row r="34" spans="4:5" x14ac:dyDescent="0.2">
      <c r="D34" s="100" t="s">
        <v>178</v>
      </c>
      <c r="E34" s="101">
        <f>SUM('Week 46 Nov 9 - Nov 15 2020'!E34,'Week 47 Nov 16 - Nov 22 2020'!E33)</f>
        <v>20626603</v>
      </c>
    </row>
    <row r="35" spans="4:5" x14ac:dyDescent="0.2">
      <c r="D35" s="2" t="s">
        <v>60</v>
      </c>
      <c r="E35" s="2">
        <f>AVERAGE(E2:E31)</f>
        <v>26985.066666666666</v>
      </c>
    </row>
    <row r="36" spans="4:5" x14ac:dyDescent="0.2">
      <c r="D36" s="9" t="s">
        <v>78</v>
      </c>
      <c r="E36" s="10">
        <f>COUNTIF(B:B,"New")</f>
        <v>4</v>
      </c>
    </row>
    <row r="38" spans="4:5" x14ac:dyDescent="0.2">
      <c r="D38" t="s">
        <v>66</v>
      </c>
    </row>
    <row r="39" spans="4:5" x14ac:dyDescent="0.2">
      <c r="D39" s="8" t="s">
        <v>67</v>
      </c>
    </row>
    <row r="40" spans="4:5" x14ac:dyDescent="0.2">
      <c r="D40" s="8" t="s">
        <v>65</v>
      </c>
    </row>
    <row r="41" spans="4:5" x14ac:dyDescent="0.2">
      <c r="D41" s="8" t="s">
        <v>71</v>
      </c>
    </row>
  </sheetData>
  <hyperlinks>
    <hyperlink ref="D40" r:id="rId1" xr:uid="{D83D9A9C-7FAB-574A-8B77-7D3E4EA90D9E}"/>
    <hyperlink ref="D39" r:id="rId2" xr:uid="{15DC88F2-2601-2B4D-95C7-8ACE85A8F078}"/>
    <hyperlink ref="D41" r:id="rId3" xr:uid="{0680DFB8-FCEB-1445-8CCE-97145CF9ED43}"/>
  </hyperlinks>
  <pageMargins left="0.7" right="0.7" top="0.75" bottom="0.75" header="0.3" footer="0.3"/>
  <pageSetup paperSize="9" orientation="portrait" horizontalDpi="0" verticalDpi="0"/>
  <ignoredErrors>
    <ignoredError sqref="F2:J31" calculatedColumn="1"/>
  </ignoredErrors>
  <tableParts count="1">
    <tablePart r:id="rId4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76AD8-C314-CE45-8775-151699C84233}">
  <dimension ref="A1:J42"/>
  <sheetViews>
    <sheetView workbookViewId="0">
      <selection activeCell="D31" sqref="D31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47.3320312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78" t="s">
        <v>0</v>
      </c>
      <c r="B1" s="78" t="s">
        <v>35</v>
      </c>
      <c r="C1" s="79" t="s">
        <v>1</v>
      </c>
      <c r="D1" s="79" t="s">
        <v>2</v>
      </c>
      <c r="E1" s="80" t="s">
        <v>3</v>
      </c>
      <c r="F1" s="80" t="s">
        <v>4</v>
      </c>
      <c r="G1" s="79" t="s">
        <v>5</v>
      </c>
      <c r="H1" s="81" t="s">
        <v>6</v>
      </c>
      <c r="I1" s="80" t="s">
        <v>64</v>
      </c>
      <c r="J1" s="82" t="s">
        <v>63</v>
      </c>
    </row>
    <row r="2" spans="1:10" x14ac:dyDescent="0.2">
      <c r="A2" s="47">
        <v>1</v>
      </c>
      <c r="B2" s="47">
        <v>1</v>
      </c>
      <c r="C2" s="47" t="s">
        <v>7</v>
      </c>
      <c r="D2" s="86" t="s">
        <v>163</v>
      </c>
      <c r="E2" s="55">
        <v>126729</v>
      </c>
      <c r="F2" s="55">
        <f>SUMIFS('Week 47 Nov 16 - Nov 22 2020'!F:F,'Week 47 Nov 16 - Nov 22 2020'!D:D,'Week 48 Nov 23 - Nov 29 2020'!D:D,'Week 47 Nov 16 - Nov 22 2020'!C:C,'Week 48 Nov 23 - Nov 29 2020'!C:C)+Table40424346505144[[#This Row],[Week Sales]]</f>
        <v>472426</v>
      </c>
      <c r="G2" s="47" t="str">
        <f>(VLOOKUP(D:D,'Week 47 Nov 16 - Nov 22 2020'!D:G,4,FALSE))</f>
        <v>Konami</v>
      </c>
      <c r="H2" s="60">
        <f>(VLOOKUP(D:D,'Week 47 Nov 16 - Nov 22 2020'!D:H,5,FALSE))</f>
        <v>44154</v>
      </c>
      <c r="I2" s="55">
        <f>_xlfn.IFNA(VLOOKUP(D:D,'Week 47 Nov 16 - Nov 22 2020'!D:E,2,FALSE),"New")</f>
        <v>345697</v>
      </c>
      <c r="J2" s="56">
        <f t="shared" ref="J2:J31" si="0">(E2-I2)/I2</f>
        <v>-0.6334101829058395</v>
      </c>
    </row>
    <row r="3" spans="1:10" x14ac:dyDescent="0.2">
      <c r="A3" s="47">
        <v>2</v>
      </c>
      <c r="B3" s="47">
        <v>2</v>
      </c>
      <c r="C3" s="47" t="s">
        <v>7</v>
      </c>
      <c r="D3" s="86" t="s">
        <v>164</v>
      </c>
      <c r="E3" s="55">
        <v>40667</v>
      </c>
      <c r="F3" s="55">
        <f>SUMIFS('Week 47 Nov 16 - Nov 22 2020'!F:F,'Week 47 Nov 16 - Nov 22 2020'!D:D,'Week 48 Nov 23 - Nov 29 2020'!D:D,'Week 47 Nov 16 - Nov 22 2020'!C:C,'Week 48 Nov 23 - Nov 29 2020'!C:C)+Table40424346505144[[#This Row],[Week Sales]]</f>
        <v>213882</v>
      </c>
      <c r="G3" s="47" t="str">
        <f>(VLOOKUP(D:D,'Week 47 Nov 16 - Nov 22 2020'!D:G,4,FALSE))</f>
        <v>Koei Tecmo</v>
      </c>
      <c r="H3" s="60">
        <f>(VLOOKUP(D:D,'Week 47 Nov 16 - Nov 22 2020'!D:H,5,FALSE))</f>
        <v>44155</v>
      </c>
      <c r="I3" s="55">
        <f>_xlfn.IFNA(VLOOKUP(D:D,'Week 47 Nov 16 - Nov 22 2020'!D:E,2,FALSE),"New")</f>
        <v>173215</v>
      </c>
      <c r="J3" s="56">
        <f t="shared" si="0"/>
        <v>-0.76522241145397341</v>
      </c>
    </row>
    <row r="4" spans="1:10" x14ac:dyDescent="0.2">
      <c r="A4" s="47">
        <v>3</v>
      </c>
      <c r="B4" s="47">
        <v>4</v>
      </c>
      <c r="C4" s="47" t="s">
        <v>7</v>
      </c>
      <c r="D4" s="86" t="s">
        <v>45</v>
      </c>
      <c r="E4" s="55">
        <v>36019</v>
      </c>
      <c r="F4" s="55">
        <f>SUMIFS('Week 47 Nov 16 - Nov 22 2020'!F:F,'Week 47 Nov 16 - Nov 22 2020'!D:D,'Week 48 Nov 23 - Nov 29 2020'!D:D,'Week 47 Nov 16 - Nov 22 2020'!C:C,'Week 48 Nov 23 - Nov 29 2020'!C:C)+Table40424346505144[[#This Row],[Week Sales]]</f>
        <v>1879811</v>
      </c>
      <c r="G4" s="47" t="str">
        <f>(VLOOKUP(D:D,'Week 47 Nov 16 - Nov 22 2020'!D:G,4,FALSE))</f>
        <v>Nintendo</v>
      </c>
      <c r="H4" s="60">
        <f>(VLOOKUP(D:D,'Week 47 Nov 16 - Nov 22 2020'!D:H,5,FALSE))</f>
        <v>43756</v>
      </c>
      <c r="I4" s="55">
        <f>_xlfn.IFNA(VLOOKUP(D:D,'Week 47 Nov 16 - Nov 22 2020'!D:E,2,FALSE),"New")</f>
        <v>36069</v>
      </c>
      <c r="J4" s="56">
        <f t="shared" si="0"/>
        <v>-1.3862319443289251E-3</v>
      </c>
    </row>
    <row r="5" spans="1:10" x14ac:dyDescent="0.2">
      <c r="A5" s="47">
        <v>4</v>
      </c>
      <c r="B5" s="47">
        <v>3</v>
      </c>
      <c r="C5" s="47" t="s">
        <v>7</v>
      </c>
      <c r="D5" s="86" t="s">
        <v>46</v>
      </c>
      <c r="E5" s="55">
        <v>35389</v>
      </c>
      <c r="F5" s="55">
        <f>SUMIFS('Week 47 Nov 16 - Nov 22 2020'!F:F,'Week 47 Nov 16 - Nov 22 2020'!D:D,'Week 48 Nov 23 - Nov 29 2020'!D:D,'Week 47 Nov 16 - Nov 22 2020'!C:C,'Week 48 Nov 23 - Nov 29 2020'!C:C)+Table40424346505144[[#This Row],[Week Sales]]</f>
        <v>6046697</v>
      </c>
      <c r="G5" s="47" t="str">
        <f>(VLOOKUP(D:D,'Week 47 Nov 16 - Nov 22 2020'!D:G,4,FALSE))</f>
        <v>Nintendo</v>
      </c>
      <c r="H5" s="60">
        <f>(VLOOKUP(D:D,'Week 47 Nov 16 - Nov 22 2020'!D:H,5,FALSE))</f>
        <v>43910</v>
      </c>
      <c r="I5" s="55">
        <f>_xlfn.IFNA(VLOOKUP(D:D,'Week 47 Nov 16 - Nov 22 2020'!D:E,2,FALSE),"New")</f>
        <v>37290</v>
      </c>
      <c r="J5" s="56">
        <f t="shared" si="0"/>
        <v>-5.0978814695628857E-2</v>
      </c>
    </row>
    <row r="6" spans="1:10" x14ac:dyDescent="0.2">
      <c r="A6" s="47">
        <v>5</v>
      </c>
      <c r="B6" s="47">
        <v>7</v>
      </c>
      <c r="C6" s="47" t="s">
        <v>7</v>
      </c>
      <c r="D6" s="47" t="s">
        <v>132</v>
      </c>
      <c r="E6" s="55">
        <v>21314</v>
      </c>
      <c r="F6" s="55">
        <f>SUMIFS('Week 47 Nov 16 - Nov 22 2020'!F:F,'Week 47 Nov 16 - Nov 22 2020'!D:D,'Week 48 Nov 23 - Nov 29 2020'!D:D,'Week 47 Nov 16 - Nov 22 2020'!C:C,'Week 48 Nov 23 - Nov 29 2020'!C:C)+Table40424346505144[[#This Row],[Week Sales]]</f>
        <v>315862</v>
      </c>
      <c r="G6" s="47" t="str">
        <f>(VLOOKUP(D:D,'Week 47 Nov 16 - Nov 22 2020'!D:G,4,FALSE))</f>
        <v>Nintendo</v>
      </c>
      <c r="H6" s="60">
        <f>(VLOOKUP(D:D,'Week 47 Nov 16 - Nov 22 2020'!D:H,5,FALSE))</f>
        <v>44134</v>
      </c>
      <c r="I6" s="55">
        <f>_xlfn.IFNA(VLOOKUP(D:D,'Week 47 Nov 16 - Nov 22 2020'!D:E,2,FALSE),"New")</f>
        <v>24201</v>
      </c>
      <c r="J6" s="56">
        <f t="shared" si="0"/>
        <v>-0.11929259121523904</v>
      </c>
    </row>
    <row r="7" spans="1:10" x14ac:dyDescent="0.2">
      <c r="A7" s="46">
        <v>6</v>
      </c>
      <c r="B7" s="46" t="s">
        <v>36</v>
      </c>
      <c r="C7" s="46" t="s">
        <v>7</v>
      </c>
      <c r="D7" s="9" t="s">
        <v>168</v>
      </c>
      <c r="E7" s="73">
        <v>15504</v>
      </c>
      <c r="F7" s="73">
        <f>SUMIFS('Week 47 Nov 16 - Nov 22 2020'!F:F,'Week 47 Nov 16 - Nov 22 2020'!D:D,'Week 48 Nov 23 - Nov 29 2020'!D:D,'Week 47 Nov 16 - Nov 22 2020'!C:C,'Week 48 Nov 23 - Nov 29 2020'!C:C)+Table40424346505144[[#This Row],[Week Sales]]</f>
        <v>15504</v>
      </c>
      <c r="G7" s="46" t="s">
        <v>34</v>
      </c>
      <c r="H7" s="72">
        <v>44161</v>
      </c>
      <c r="I7" s="73" t="str">
        <f>_xlfn.IFNA(VLOOKUP(D:D,'Week 47 Nov 16 - Nov 22 2020'!D:E,2,FALSE),"New")</f>
        <v>New</v>
      </c>
      <c r="J7" s="90" t="s">
        <v>36</v>
      </c>
    </row>
    <row r="8" spans="1:10" x14ac:dyDescent="0.2">
      <c r="A8" s="47">
        <v>7</v>
      </c>
      <c r="B8" s="47">
        <v>6</v>
      </c>
      <c r="C8" s="68" t="s">
        <v>8</v>
      </c>
      <c r="D8" s="86" t="s">
        <v>153</v>
      </c>
      <c r="E8" s="55">
        <v>14688</v>
      </c>
      <c r="F8" s="55">
        <f>SUMIFS('Week 47 Nov 16 - Nov 22 2020'!F:F,'Week 47 Nov 16 - Nov 22 2020'!D:D,'Week 48 Nov 23 - Nov 29 2020'!D:D,'Week 47 Nov 16 - Nov 22 2020'!C:C,'Week 48 Nov 23 - Nov 29 2020'!C:C)+Table40424346505144[[#This Row],[Week Sales]]</f>
        <v>124371</v>
      </c>
      <c r="G8" s="47" t="str">
        <f>(VLOOKUP(D:D,'Week 47 Nov 16 - Nov 22 2020'!D:G,4,FALSE))</f>
        <v>Sony</v>
      </c>
      <c r="H8" s="60">
        <f>(VLOOKUP(D:D,'Week 47 Nov 16 - Nov 22 2020'!D:H,5,FALSE))</f>
        <v>44148</v>
      </c>
      <c r="I8" s="55">
        <f>_xlfn.IFNA(VLOOKUP(D:D,'Week 47 Nov 16 - Nov 22 2020'!D:E,2,FALSE),"New")</f>
        <v>25208</v>
      </c>
      <c r="J8" s="56">
        <f t="shared" si="0"/>
        <v>-0.41732783243414789</v>
      </c>
    </row>
    <row r="9" spans="1:10" x14ac:dyDescent="0.2">
      <c r="A9" s="47">
        <v>8</v>
      </c>
      <c r="B9" s="47">
        <v>8</v>
      </c>
      <c r="C9" s="68" t="s">
        <v>7</v>
      </c>
      <c r="D9" s="86" t="s">
        <v>49</v>
      </c>
      <c r="E9" s="55">
        <v>14665</v>
      </c>
      <c r="F9" s="55">
        <f>SUMIFS('Week 47 Nov 16 - Nov 22 2020'!F:F,'Week 47 Nov 16 - Nov 22 2020'!D:D,'Week 48 Nov 23 - Nov 29 2020'!D:D,'Week 47 Nov 16 - Nov 22 2020'!C:C,'Week 48 Nov 23 - Nov 29 2020'!C:C)+Table40424346505144[[#This Row],[Week Sales]]</f>
        <v>3289458</v>
      </c>
      <c r="G9" s="47" t="str">
        <f>(VLOOKUP(D:D,'Week 47 Nov 16 - Nov 22 2020'!D:G,4,FALSE))</f>
        <v>Nintendo</v>
      </c>
      <c r="H9" s="60">
        <f>(VLOOKUP(D:D,'Week 47 Nov 16 - Nov 22 2020'!D:H,5,FALSE))</f>
        <v>42853</v>
      </c>
      <c r="I9" s="55">
        <f>_xlfn.IFNA(VLOOKUP(D:D,'Week 47 Nov 16 - Nov 22 2020'!D:E,2,FALSE),"New")</f>
        <v>13568</v>
      </c>
      <c r="J9" s="56">
        <f t="shared" si="0"/>
        <v>8.0852004716981132E-2</v>
      </c>
    </row>
    <row r="10" spans="1:10" x14ac:dyDescent="0.2">
      <c r="A10" s="47">
        <v>9</v>
      </c>
      <c r="B10" s="47">
        <v>5</v>
      </c>
      <c r="C10" s="68" t="s">
        <v>7</v>
      </c>
      <c r="D10" s="86" t="s">
        <v>165</v>
      </c>
      <c r="E10" s="55">
        <v>14147</v>
      </c>
      <c r="F10" s="55">
        <f>SUMIFS('Week 47 Nov 16 - Nov 22 2020'!F:F,'Week 47 Nov 16 - Nov 22 2020'!D:D,'Week 48 Nov 23 - Nov 29 2020'!D:D,'Week 47 Nov 16 - Nov 22 2020'!C:C,'Week 48 Nov 23 - Nov 29 2020'!C:C)+Table40424346505144[[#This Row],[Week Sales]]</f>
        <v>45414</v>
      </c>
      <c r="G10" s="47" t="str">
        <f>(VLOOKUP(D:D,'Week 47 Nov 16 - Nov 22 2020'!D:G,4,FALSE))</f>
        <v>Warner Bros.</v>
      </c>
      <c r="H10" s="60">
        <f>(VLOOKUP(D:D,'Week 47 Nov 16 - Nov 22 2020'!D:H,5,FALSE))</f>
        <v>44152</v>
      </c>
      <c r="I10" s="55">
        <f>_xlfn.IFNA(VLOOKUP(D:D,'Week 47 Nov 16 - Nov 22 2020'!D:E,2,FALSE),"New")</f>
        <v>31267</v>
      </c>
      <c r="J10" s="56">
        <f t="shared" si="0"/>
        <v>-0.54754213707742982</v>
      </c>
    </row>
    <row r="11" spans="1:10" x14ac:dyDescent="0.2">
      <c r="A11" s="47">
        <v>10</v>
      </c>
      <c r="B11" s="47">
        <v>10</v>
      </c>
      <c r="C11" s="68" t="s">
        <v>7</v>
      </c>
      <c r="D11" s="86" t="s">
        <v>145</v>
      </c>
      <c r="E11" s="55">
        <v>12370</v>
      </c>
      <c r="F11" s="55">
        <f>SUMIFS('Week 47 Nov 16 - Nov 22 2020'!F:F,'Week 47 Nov 16 - Nov 22 2020'!D:D,'Week 48 Nov 23 - Nov 29 2020'!D:D,'Week 47 Nov 16 - Nov 22 2020'!C:C,'Week 48 Nov 23 - Nov 29 2020'!C:C)+Table40424346505144[[#This Row],[Week Sales]]</f>
        <v>55458</v>
      </c>
      <c r="G11" s="47" t="str">
        <f>(VLOOKUP(D:D,'Week 47 Nov 16 - Nov 22 2020'!D:G,4,FALSE))</f>
        <v>The Pokemon Company</v>
      </c>
      <c r="H11" s="60">
        <f>(VLOOKUP(D:D,'Week 47 Nov 16 - Nov 22 2020'!D:H,5,FALSE))</f>
        <v>43784</v>
      </c>
      <c r="I11" s="55">
        <f>_xlfn.IFNA(VLOOKUP(D:D,'Week 47 Nov 16 - Nov 22 2020'!D:E,2,FALSE),"New")</f>
        <v>11464</v>
      </c>
      <c r="J11" s="56">
        <f t="shared" si="0"/>
        <v>7.9030006978367068E-2</v>
      </c>
    </row>
    <row r="12" spans="1:10" x14ac:dyDescent="0.2">
      <c r="A12" s="47">
        <v>11</v>
      </c>
      <c r="B12" s="47">
        <v>9</v>
      </c>
      <c r="C12" s="68" t="s">
        <v>7</v>
      </c>
      <c r="D12" s="86" t="s">
        <v>13</v>
      </c>
      <c r="E12" s="55">
        <v>11836</v>
      </c>
      <c r="F12" s="55">
        <f>SUMIFS('Week 47 Nov 16 - Nov 22 2020'!F:F,'Week 47 Nov 16 - Nov 22 2020'!D:D,'Week 48 Nov 23 - Nov 29 2020'!D:D,'Week 47 Nov 16 - Nov 22 2020'!C:C,'Week 48 Nov 23 - Nov 29 2020'!C:C)+Table40424346505144[[#This Row],[Week Sales]]</f>
        <v>1620715</v>
      </c>
      <c r="G12" s="47" t="str">
        <f>(VLOOKUP(D:D,'Week 47 Nov 16 - Nov 22 2020'!D:G,4,FALSE))</f>
        <v>Nintendo</v>
      </c>
      <c r="H12" s="60">
        <f>(VLOOKUP(D:D,'Week 47 Nov 16 - Nov 22 2020'!D:H,5,FALSE))</f>
        <v>43378</v>
      </c>
      <c r="I12" s="55">
        <f>_xlfn.IFNA(VLOOKUP(D:D,'Week 47 Nov 16 - Nov 22 2020'!D:E,2,FALSE),"New")</f>
        <v>12859</v>
      </c>
      <c r="J12" s="56">
        <f t="shared" si="0"/>
        <v>-7.9555175363558592E-2</v>
      </c>
    </row>
    <row r="13" spans="1:10" x14ac:dyDescent="0.2">
      <c r="A13" s="47">
        <v>12</v>
      </c>
      <c r="B13" s="47">
        <v>11</v>
      </c>
      <c r="C13" s="68" t="s">
        <v>7</v>
      </c>
      <c r="D13" s="86" t="s">
        <v>12</v>
      </c>
      <c r="E13" s="55">
        <v>10225</v>
      </c>
      <c r="F13" s="55">
        <f>SUMIFS('Week 47 Nov 16 - Nov 22 2020'!F:F,'Week 47 Nov 16 - Nov 22 2020'!D:D,'Week 48 Nov 23 - Nov 29 2020'!D:D,'Week 47 Nov 16 - Nov 22 2020'!C:C,'Week 48 Nov 23 - Nov 29 2020'!C:C)+Table40424346505144[[#This Row],[Week Sales]]</f>
        <v>1578590</v>
      </c>
      <c r="G13" s="47" t="str">
        <f>(VLOOKUP(D:D,'Week 47 Nov 16 - Nov 22 2020'!D:G,4,FALSE))</f>
        <v>Microsoft</v>
      </c>
      <c r="H13" s="60">
        <f>(VLOOKUP(D:D,'Week 47 Nov 16 - Nov 22 2020'!D:H,5,FALSE))</f>
        <v>43272</v>
      </c>
      <c r="I13" s="55">
        <f>_xlfn.IFNA(VLOOKUP(D:D,'Week 47 Nov 16 - Nov 22 2020'!D:E,2,FALSE),"New")</f>
        <v>8978</v>
      </c>
      <c r="J13" s="56">
        <f t="shared" si="0"/>
        <v>0.13889507685453331</v>
      </c>
    </row>
    <row r="14" spans="1:10" x14ac:dyDescent="0.2">
      <c r="A14" s="47">
        <v>13</v>
      </c>
      <c r="B14" s="47">
        <v>13</v>
      </c>
      <c r="C14" s="47" t="s">
        <v>8</v>
      </c>
      <c r="D14" s="86" t="s">
        <v>154</v>
      </c>
      <c r="E14" s="55">
        <v>9648</v>
      </c>
      <c r="F14" s="55">
        <f>SUMIFS('Week 47 Nov 16 - Nov 22 2020'!F:F,'Week 47 Nov 16 - Nov 22 2020'!D:D,'Week 48 Nov 23 - Nov 29 2020'!D:D,'Week 47 Nov 16 - Nov 22 2020'!C:C,'Week 48 Nov 23 - Nov 29 2020'!C:C)+Table40424346505144[[#This Row],[Week Sales]]</f>
        <v>40132</v>
      </c>
      <c r="G14" s="47" t="str">
        <f>(VLOOKUP(D:D,'Week 47 Nov 16 - Nov 22 2020'!D:G,4,FALSE))</f>
        <v>Marvelous</v>
      </c>
      <c r="H14" s="60">
        <f>(VLOOKUP(D:D,'Week 47 Nov 16 - Nov 22 2020'!D:H,5,FALSE))</f>
        <v>44147</v>
      </c>
      <c r="I14" s="55">
        <f>_xlfn.IFNA(VLOOKUP(D:D,'Week 47 Nov 16 - Nov 22 2020'!D:E,2,FALSE),"New")</f>
        <v>7529</v>
      </c>
      <c r="J14" s="56">
        <f t="shared" si="0"/>
        <v>0.28144507902775934</v>
      </c>
    </row>
    <row r="15" spans="1:10" x14ac:dyDescent="0.2">
      <c r="A15" s="47">
        <v>14</v>
      </c>
      <c r="B15" s="47">
        <v>12</v>
      </c>
      <c r="C15" s="47" t="s">
        <v>7</v>
      </c>
      <c r="D15" s="86" t="s">
        <v>40</v>
      </c>
      <c r="E15" s="55">
        <v>8986</v>
      </c>
      <c r="F15" s="55">
        <f>SUMIFS('Week 47 Nov 16 - Nov 22 2020'!F:F,'Week 47 Nov 16 - Nov 22 2020'!D:D,'Week 48 Nov 23 - Nov 29 2020'!D:D,'Week 47 Nov 16 - Nov 22 2020'!C:C,'Week 48 Nov 23 - Nov 29 2020'!C:C)+Table40424346505144[[#This Row],[Week Sales]]</f>
        <v>396938</v>
      </c>
      <c r="G15" s="47" t="str">
        <f>(VLOOKUP(D:D,'Week 47 Nov 16 - Nov 22 2020'!D:G,4,FALSE))</f>
        <v>Nintendo</v>
      </c>
      <c r="H15" s="60">
        <f>(VLOOKUP(D:D,'Week 47 Nov 16 - Nov 22 2020'!D:H,5,FALSE))</f>
        <v>44092</v>
      </c>
      <c r="I15" s="55">
        <f>_xlfn.IFNA(VLOOKUP(D:D,'Week 47 Nov 16 - Nov 22 2020'!D:E,2,FALSE),"New")</f>
        <v>8649</v>
      </c>
      <c r="J15" s="56">
        <f t="shared" si="0"/>
        <v>3.8964042085790268E-2</v>
      </c>
    </row>
    <row r="16" spans="1:10" x14ac:dyDescent="0.2">
      <c r="A16" s="46">
        <v>15</v>
      </c>
      <c r="B16" s="46" t="s">
        <v>36</v>
      </c>
      <c r="C16" s="46" t="s">
        <v>8</v>
      </c>
      <c r="D16" s="9" t="s">
        <v>169</v>
      </c>
      <c r="E16" s="73">
        <v>8590</v>
      </c>
      <c r="F16" s="73">
        <f>SUMIFS('Week 47 Nov 16 - Nov 22 2020'!F:F,'Week 47 Nov 16 - Nov 22 2020'!D:D,'Week 48 Nov 23 - Nov 29 2020'!D:D,'Week 47 Nov 16 - Nov 22 2020'!C:C,'Week 48 Nov 23 - Nov 29 2020'!C:C)+Table40424346505144[[#This Row],[Week Sales]]</f>
        <v>8590</v>
      </c>
      <c r="G16" s="46" t="s">
        <v>171</v>
      </c>
      <c r="H16" s="72">
        <v>44161</v>
      </c>
      <c r="I16" s="73" t="str">
        <f>_xlfn.IFNA(VLOOKUP(D:D,'Week 47 Nov 16 - Nov 22 2020'!D:E,2,FALSE),"New")</f>
        <v>New</v>
      </c>
      <c r="J16" s="90" t="s">
        <v>36</v>
      </c>
    </row>
    <row r="17" spans="1:10" x14ac:dyDescent="0.2">
      <c r="A17" s="47">
        <v>16</v>
      </c>
      <c r="B17" s="47">
        <v>16</v>
      </c>
      <c r="C17" s="68" t="s">
        <v>7</v>
      </c>
      <c r="D17" s="86" t="s">
        <v>52</v>
      </c>
      <c r="E17" s="55">
        <v>6871</v>
      </c>
      <c r="F17" s="55">
        <f>SUMIFS('Week 47 Nov 16 - Nov 22 2020'!F:F,'Week 47 Nov 16 - Nov 22 2020'!D:D,'Week 48 Nov 23 - Nov 29 2020'!D:D,'Week 47 Nov 16 - Nov 22 2020'!C:C,'Week 48 Nov 23 - Nov 29 2020'!C:C)+Table40424346505144[[#This Row],[Week Sales]]</f>
        <v>3890732</v>
      </c>
      <c r="G17" s="47" t="str">
        <f>(VLOOKUP(D:D,'Week 47 Nov 16 - Nov 22 2020'!D:G,4,FALSE))</f>
        <v>Nintendo</v>
      </c>
      <c r="H17" s="60">
        <f>(VLOOKUP(D:D,'Week 47 Nov 16 - Nov 22 2020'!D:H,5,FALSE))</f>
        <v>43441</v>
      </c>
      <c r="I17" s="55">
        <f>_xlfn.IFNA(VLOOKUP(D:D,'Week 47 Nov 16 - Nov 22 2020'!D:E,2,FALSE),"New")</f>
        <v>6595</v>
      </c>
      <c r="J17" s="56">
        <f t="shared" si="0"/>
        <v>4.1849886277482942E-2</v>
      </c>
    </row>
    <row r="18" spans="1:10" x14ac:dyDescent="0.2">
      <c r="A18" s="46">
        <v>17</v>
      </c>
      <c r="B18" s="46" t="s">
        <v>36</v>
      </c>
      <c r="C18" s="87" t="s">
        <v>7</v>
      </c>
      <c r="D18" s="9" t="s">
        <v>170</v>
      </c>
      <c r="E18" s="73">
        <v>6757</v>
      </c>
      <c r="F18" s="73">
        <f>SUMIFS('Week 47 Nov 16 - Nov 22 2020'!F:F,'Week 47 Nov 16 - Nov 22 2020'!D:D,'Week 48 Nov 23 - Nov 29 2020'!D:D,'Week 47 Nov 16 - Nov 22 2020'!C:C,'Week 48 Nov 23 - Nov 29 2020'!C:C)+Table40424346505144[[#This Row],[Week Sales]]</f>
        <v>6757</v>
      </c>
      <c r="G18" s="46" t="s">
        <v>172</v>
      </c>
      <c r="H18" s="72">
        <v>44161</v>
      </c>
      <c r="I18" s="73" t="str">
        <f>_xlfn.IFNA(VLOOKUP(D:D,'Week 47 Nov 16 - Nov 22 2020'!D:E,2,FALSE),"New")</f>
        <v>New</v>
      </c>
      <c r="J18" s="90" t="s">
        <v>36</v>
      </c>
    </row>
    <row r="19" spans="1:10" x14ac:dyDescent="0.2">
      <c r="A19" s="47">
        <v>18</v>
      </c>
      <c r="B19" s="47">
        <v>18</v>
      </c>
      <c r="C19" s="68" t="s">
        <v>7</v>
      </c>
      <c r="D19" s="86" t="s">
        <v>62</v>
      </c>
      <c r="E19" s="55">
        <v>6553</v>
      </c>
      <c r="F19" s="55">
        <f>SUMIFS('Week 47 Nov 16 - Nov 22 2020'!F:F,'Week 47 Nov 16 - Nov 22 2020'!D:D,'Week 48 Nov 23 - Nov 29 2020'!D:D,'Week 47 Nov 16 - Nov 22 2020'!C:C,'Week 48 Nov 23 - Nov 29 2020'!C:C)+Table40424346505144[[#This Row],[Week Sales]]</f>
        <v>3808295</v>
      </c>
      <c r="G19" s="47" t="str">
        <f>(VLOOKUP(D:D,'Week 47 Nov 16 - Nov 22 2020'!D:G,4,FALSE))</f>
        <v>The Pokemon Company</v>
      </c>
      <c r="H19" s="60">
        <f>(VLOOKUP(D:D,'Week 47 Nov 16 - Nov 22 2020'!D:H,5,FALSE))</f>
        <v>43784</v>
      </c>
      <c r="I19" s="55">
        <f>_xlfn.IFNA(VLOOKUP(D:D,'Week 47 Nov 16 - Nov 22 2020'!D:E,2,FALSE),"New")</f>
        <v>6037</v>
      </c>
      <c r="J19" s="56">
        <f t="shared" si="0"/>
        <v>8.547291701176081E-2</v>
      </c>
    </row>
    <row r="20" spans="1:10" x14ac:dyDescent="0.2">
      <c r="A20" s="47">
        <v>19</v>
      </c>
      <c r="B20" s="47">
        <v>17</v>
      </c>
      <c r="C20" s="68" t="s">
        <v>7</v>
      </c>
      <c r="D20" s="86" t="s">
        <v>10</v>
      </c>
      <c r="E20" s="55">
        <v>6257</v>
      </c>
      <c r="F20" s="55">
        <f>SUMIFS('Week 47 Nov 16 - Nov 22 2020'!F:F,'Week 47 Nov 16 - Nov 22 2020'!D:D,'Week 48 Nov 23 - Nov 29 2020'!D:D,'Week 47 Nov 16 - Nov 22 2020'!C:C,'Week 48 Nov 23 - Nov 29 2020'!C:C)+Table40424346505144[[#This Row],[Week Sales]]</f>
        <v>3614152</v>
      </c>
      <c r="G20" s="47" t="str">
        <f>(VLOOKUP(D:D,'Week 47 Nov 16 - Nov 22 2020'!D:G,4,FALSE))</f>
        <v>Nintendo</v>
      </c>
      <c r="H20" s="60">
        <f>(VLOOKUP(D:D,'Week 47 Nov 16 - Nov 22 2020'!D:H,5,FALSE))</f>
        <v>42937</v>
      </c>
      <c r="I20" s="55">
        <f>_xlfn.IFNA(VLOOKUP(D:D,'Week 47 Nov 16 - Nov 22 2020'!D:E,2,FALSE),"New")</f>
        <v>6357</v>
      </c>
      <c r="J20" s="56">
        <f t="shared" si="0"/>
        <v>-1.5730690577316343E-2</v>
      </c>
    </row>
    <row r="21" spans="1:10" x14ac:dyDescent="0.2">
      <c r="A21" s="52">
        <v>20</v>
      </c>
      <c r="B21" s="52" t="s">
        <v>53</v>
      </c>
      <c r="C21" s="62" t="s">
        <v>7</v>
      </c>
      <c r="D21" s="91" t="s">
        <v>154</v>
      </c>
      <c r="E21" s="75">
        <v>6004</v>
      </c>
      <c r="F21" s="75">
        <v>40457</v>
      </c>
      <c r="G21" s="52" t="str">
        <f>(VLOOKUP(D:D,'Week 47 Nov 16 - Nov 22 2020'!D:G,4,FALSE))</f>
        <v>Marvelous</v>
      </c>
      <c r="H21" s="74">
        <f>(VLOOKUP(D:D,'Week 47 Nov 16 - Nov 22 2020'!D:H,5,FALSE))</f>
        <v>44147</v>
      </c>
      <c r="I21" s="75">
        <v>1547</v>
      </c>
      <c r="J21" s="76">
        <f t="shared" si="0"/>
        <v>2.881060116354234</v>
      </c>
    </row>
    <row r="22" spans="1:10" x14ac:dyDescent="0.2">
      <c r="A22" s="47">
        <v>21</v>
      </c>
      <c r="B22" s="47">
        <v>19</v>
      </c>
      <c r="C22" s="68" t="s">
        <v>7</v>
      </c>
      <c r="D22" s="86" t="s">
        <v>50</v>
      </c>
      <c r="E22" s="55">
        <v>5280</v>
      </c>
      <c r="F22" s="55">
        <f>SUMIFS('Week 47 Nov 16 - Nov 22 2020'!F:F,'Week 47 Nov 16 - Nov 22 2020'!D:D,'Week 48 Nov 23 - Nov 29 2020'!D:D,'Week 47 Nov 16 - Nov 22 2020'!C:C,'Week 48 Nov 23 - Nov 29 2020'!C:C)+Table40424346505144[[#This Row],[Week Sales]]</f>
        <v>435214</v>
      </c>
      <c r="G22" s="47" t="str">
        <f>(VLOOKUP(D:D,'Week 47 Nov 16 - Nov 22 2020'!D:G,4,FALSE))</f>
        <v>Nintendo</v>
      </c>
      <c r="H22" s="60">
        <f>(VLOOKUP(D:D,'Week 47 Nov 16 - Nov 22 2020'!D:H,5,FALSE))</f>
        <v>43987</v>
      </c>
      <c r="I22" s="55">
        <f>_xlfn.IFNA(VLOOKUP(D:D,'Week 47 Nov 16 - Nov 22 2020'!D:E,2,FALSE),"New")</f>
        <v>5157</v>
      </c>
      <c r="J22" s="56">
        <f t="shared" si="0"/>
        <v>2.3851076207097151E-2</v>
      </c>
    </row>
    <row r="23" spans="1:10" x14ac:dyDescent="0.2">
      <c r="A23" s="47">
        <v>22</v>
      </c>
      <c r="B23" s="47">
        <v>21</v>
      </c>
      <c r="C23" s="68" t="s">
        <v>7</v>
      </c>
      <c r="D23" s="86" t="s">
        <v>39</v>
      </c>
      <c r="E23" s="55">
        <v>5244</v>
      </c>
      <c r="F23" s="55">
        <f>SUMIFS('Week 47 Nov 16 - Nov 22 2020'!F:F,'Week 47 Nov 16 - Nov 22 2020'!D:D,'Week 48 Nov 23 - Nov 29 2020'!D:D,'Week 47 Nov 16 - Nov 22 2020'!C:C,'Week 48 Nov 23 - Nov 29 2020'!C:C)+Table40424346505144[[#This Row],[Week Sales]]</f>
        <v>1690359</v>
      </c>
      <c r="G23" s="47" t="str">
        <f>(VLOOKUP(D:D,'Week 47 Nov 16 - Nov 22 2020'!D:G,4,FALSE))</f>
        <v>Nintendo</v>
      </c>
      <c r="H23" s="60">
        <f>(VLOOKUP(D:D,'Week 47 Nov 16 - Nov 22 2020'!D:H,5,FALSE))</f>
        <v>42797</v>
      </c>
      <c r="I23" s="55">
        <f>_xlfn.IFNA(VLOOKUP(D:D,'Week 47 Nov 16 - Nov 22 2020'!D:E,2,FALSE),"New")</f>
        <v>4410</v>
      </c>
      <c r="J23" s="56">
        <f t="shared" si="0"/>
        <v>0.18911564625850341</v>
      </c>
    </row>
    <row r="24" spans="1:10" x14ac:dyDescent="0.2">
      <c r="A24" s="47">
        <v>23</v>
      </c>
      <c r="B24" s="47">
        <v>20</v>
      </c>
      <c r="C24" s="68" t="s">
        <v>7</v>
      </c>
      <c r="D24" s="86" t="s">
        <v>17</v>
      </c>
      <c r="E24" s="55">
        <v>4629</v>
      </c>
      <c r="F24" s="55">
        <f>SUMIFS('Week 47 Nov 16 - Nov 22 2020'!F:F,'Week 47 Nov 16 - Nov 22 2020'!D:D,'Week 48 Nov 23 - Nov 29 2020'!D:D,'Week 47 Nov 16 - Nov 22 2020'!C:C,'Week 48 Nov 23 - Nov 29 2020'!C:C)+Table40424346505144[[#This Row],[Week Sales]]</f>
        <v>935532</v>
      </c>
      <c r="G24" s="47" t="str">
        <f>(VLOOKUP(D:D,'Week 47 Nov 16 - Nov 22 2020'!D:G,4,FALSE))</f>
        <v>Nintendo</v>
      </c>
      <c r="H24" s="60">
        <f>(VLOOKUP(D:D,'Week 47 Nov 16 - Nov 22 2020'!D:H,5,FALSE))</f>
        <v>43476</v>
      </c>
      <c r="I24" s="55">
        <f>_xlfn.IFNA(VLOOKUP(D:D,'Week 47 Nov 16 - Nov 22 2020'!D:E,2,FALSE),"New")</f>
        <v>4647</v>
      </c>
      <c r="J24" s="56">
        <f t="shared" si="0"/>
        <v>-3.8734667527437058E-3</v>
      </c>
    </row>
    <row r="25" spans="1:10" x14ac:dyDescent="0.2">
      <c r="A25" s="47">
        <v>24</v>
      </c>
      <c r="B25" s="47">
        <v>14</v>
      </c>
      <c r="C25" s="68" t="s">
        <v>8</v>
      </c>
      <c r="D25" s="86" t="s">
        <v>155</v>
      </c>
      <c r="E25" s="55">
        <v>4492</v>
      </c>
      <c r="F25" s="55">
        <f>SUMIFS('Week 47 Nov 16 - Nov 22 2020'!F:F,'Week 47 Nov 16 - Nov 22 2020'!D:D,'Week 48 Nov 23 - Nov 29 2020'!D:D,'Week 47 Nov 16 - Nov 22 2020'!C:C,'Week 48 Nov 23 - Nov 29 2020'!C:C)+Table40424346505144[[#This Row],[Week Sales]]</f>
        <v>34811</v>
      </c>
      <c r="G25" s="47" t="str">
        <f>(VLOOKUP(D:D,'Week 47 Nov 16 - Nov 22 2020'!D:G,4,FALSE))</f>
        <v>Sony</v>
      </c>
      <c r="H25" s="60">
        <f>(VLOOKUP(D:D,'Week 47 Nov 16 - Nov 22 2020'!D:H,5,FALSE))</f>
        <v>44147</v>
      </c>
      <c r="I25" s="55">
        <f>_xlfn.IFNA(VLOOKUP(D:D,'Week 47 Nov 16 - Nov 22 2020'!D:E,2,FALSE),"New")</f>
        <v>7437</v>
      </c>
      <c r="J25" s="56">
        <f t="shared" si="0"/>
        <v>-0.39599300793330644</v>
      </c>
    </row>
    <row r="26" spans="1:10" x14ac:dyDescent="0.2">
      <c r="A26" s="47">
        <v>25</v>
      </c>
      <c r="B26" s="47">
        <v>15</v>
      </c>
      <c r="C26" s="68" t="s">
        <v>8</v>
      </c>
      <c r="D26" s="86" t="s">
        <v>151</v>
      </c>
      <c r="E26" s="55">
        <v>3472</v>
      </c>
      <c r="F26" s="55">
        <f>SUMIFS('Week 47 Nov 16 - Nov 22 2020'!F:F,'Week 47 Nov 16 - Nov 22 2020'!D:D,'Week 48 Nov 23 - Nov 29 2020'!D:D,'Week 47 Nov 16 - Nov 22 2020'!C:C,'Week 48 Nov 23 - Nov 29 2020'!C:C)+Table40424346505144[[#This Row],[Week Sales]]</f>
        <v>55445</v>
      </c>
      <c r="G26" s="47" t="str">
        <f>(VLOOKUP(D:D,'Week 47 Nov 16 - Nov 22 2020'!D:G,4,FALSE))</f>
        <v>Ubisoft</v>
      </c>
      <c r="H26" s="60">
        <f>(VLOOKUP(D:D,'Week 47 Nov 16 - Nov 22 2020'!D:H,5,FALSE))</f>
        <v>44145</v>
      </c>
      <c r="I26" s="55">
        <f>_xlfn.IFNA(VLOOKUP(D:D,'Week 47 Nov 16 - Nov 22 2020'!D:E,2,FALSE),"New")</f>
        <v>6918</v>
      </c>
      <c r="J26" s="56">
        <f t="shared" si="0"/>
        <v>-0.49812084417461694</v>
      </c>
    </row>
    <row r="27" spans="1:10" x14ac:dyDescent="0.2">
      <c r="A27" s="47">
        <v>26</v>
      </c>
      <c r="B27" s="47">
        <v>25</v>
      </c>
      <c r="C27" s="68" t="s">
        <v>7</v>
      </c>
      <c r="D27" s="86" t="s">
        <v>19</v>
      </c>
      <c r="E27" s="55">
        <v>3158</v>
      </c>
      <c r="F27" s="55">
        <f>SUMIFS('Week 47 Nov 16 - Nov 22 2020'!F:F,'Week 47 Nov 16 - Nov 22 2020'!D:D,'Week 48 Nov 23 - Nov 29 2020'!D:D,'Week 47 Nov 16 - Nov 22 2020'!C:C,'Week 48 Nov 23 - Nov 29 2020'!C:C)+Table40424346505144[[#This Row],[Week Sales]]</f>
        <v>991493</v>
      </c>
      <c r="G27" s="47" t="str">
        <f>(VLOOKUP(D:D,'Week 47 Nov 16 - Nov 22 2020'!D:G,4,FALSE))</f>
        <v>Nintendo</v>
      </c>
      <c r="H27" s="60">
        <f>(VLOOKUP(D:D,'Week 47 Nov 16 - Nov 22 2020'!D:H,5,FALSE))</f>
        <v>43644</v>
      </c>
      <c r="I27" s="55">
        <f>_xlfn.IFNA(VLOOKUP(D:D,'Week 47 Nov 16 - Nov 22 2020'!D:E,2,FALSE),"New")</f>
        <v>2910</v>
      </c>
      <c r="J27" s="56">
        <f t="shared" si="0"/>
        <v>8.5223367697594504E-2</v>
      </c>
    </row>
    <row r="28" spans="1:10" x14ac:dyDescent="0.2">
      <c r="A28" s="52">
        <v>27</v>
      </c>
      <c r="B28" s="52" t="s">
        <v>53</v>
      </c>
      <c r="C28" s="62" t="s">
        <v>7</v>
      </c>
      <c r="D28" s="52" t="s">
        <v>14</v>
      </c>
      <c r="E28" s="75">
        <v>3150</v>
      </c>
      <c r="F28" s="75">
        <v>248024</v>
      </c>
      <c r="G28" s="52" t="s">
        <v>32</v>
      </c>
      <c r="H28" s="74">
        <v>44021</v>
      </c>
      <c r="I28" s="75"/>
      <c r="J28" s="76"/>
    </row>
    <row r="29" spans="1:10" x14ac:dyDescent="0.2">
      <c r="A29" s="47">
        <v>28</v>
      </c>
      <c r="B29" s="47">
        <v>22</v>
      </c>
      <c r="C29" s="68" t="s">
        <v>7</v>
      </c>
      <c r="D29" s="86" t="s">
        <v>16</v>
      </c>
      <c r="E29" s="55">
        <v>3148</v>
      </c>
      <c r="F29" s="55">
        <f>SUMIFS('Week 47 Nov 16 - Nov 22 2020'!F:F,'Week 47 Nov 16 - Nov 22 2020'!D:D,'Week 48 Nov 23 - Nov 29 2020'!D:D,'Week 47 Nov 16 - Nov 22 2020'!C:C,'Week 48 Nov 23 - Nov 29 2020'!C:C)+Table40424346505144[[#This Row],[Week Sales]]</f>
        <v>325387</v>
      </c>
      <c r="G29" s="47" t="str">
        <f>(VLOOKUP(D:D,'Week 47 Nov 16 - Nov 22 2020'!D:G,4,FALSE))</f>
        <v>Nintendo</v>
      </c>
      <c r="H29" s="60">
        <f>(VLOOKUP(D:D,'Week 47 Nov 16 - Nov 22 2020'!D:H,5,FALSE))</f>
        <v>43826</v>
      </c>
      <c r="I29" s="55">
        <f>_xlfn.IFNA(VLOOKUP(D:D,'Week 47 Nov 16 - Nov 22 2020'!D:E,2,FALSE),"New")</f>
        <v>3739</v>
      </c>
      <c r="J29" s="56">
        <f t="shared" si="0"/>
        <v>-0.15806365338325756</v>
      </c>
    </row>
    <row r="30" spans="1:10" x14ac:dyDescent="0.2">
      <c r="A30" s="47">
        <v>29</v>
      </c>
      <c r="B30" s="47">
        <v>24</v>
      </c>
      <c r="C30" s="68" t="s">
        <v>150</v>
      </c>
      <c r="D30" s="86" t="s">
        <v>159</v>
      </c>
      <c r="E30" s="55">
        <v>2972</v>
      </c>
      <c r="F30" s="55">
        <f>SUMIFS('Week 47 Nov 16 - Nov 22 2020'!F:F,'Week 47 Nov 16 - Nov 22 2020'!D:D,'Week 48 Nov 23 - Nov 29 2020'!D:D,'Week 47 Nov 16 - Nov 22 2020'!C:C,'Week 48 Nov 23 - Nov 29 2020'!C:C)+Table40424346505144[[#This Row],[Week Sales]]</f>
        <v>24805</v>
      </c>
      <c r="G30" s="47" t="str">
        <f>(VLOOKUP(D:D,'Week 47 Nov 16 - Nov 22 2020'!D:G,4,FALSE))</f>
        <v>Sony</v>
      </c>
      <c r="H30" s="60">
        <f>(VLOOKUP(D:D,'Week 47 Nov 16 - Nov 22 2020'!D:H,5,FALSE))</f>
        <v>44147</v>
      </c>
      <c r="I30" s="55">
        <f>_xlfn.IFNA(VLOOKUP(D:D,'Week 47 Nov 16 - Nov 22 2020'!D:E,2,FALSE),"New")</f>
        <v>3193</v>
      </c>
      <c r="J30" s="56">
        <f t="shared" si="0"/>
        <v>-6.9213905418102101E-2</v>
      </c>
    </row>
    <row r="31" spans="1:10" x14ac:dyDescent="0.2">
      <c r="A31" s="69">
        <v>30</v>
      </c>
      <c r="B31" s="69">
        <v>27</v>
      </c>
      <c r="C31" s="68" t="s">
        <v>7</v>
      </c>
      <c r="D31" s="86" t="s">
        <v>122</v>
      </c>
      <c r="E31" s="83">
        <v>2918</v>
      </c>
      <c r="F31" s="55">
        <f>SUMIFS('Week 47 Nov 16 - Nov 22 2020'!F:F,'Week 47 Nov 16 - Nov 22 2020'!D:D,'Week 48 Nov 23 - Nov 29 2020'!D:D,'Week 47 Nov 16 - Nov 22 2020'!C:C,'Week 48 Nov 23 - Nov 29 2020'!C:C)+Table40424346505144[[#This Row],[Week Sales]]</f>
        <v>95897</v>
      </c>
      <c r="G31" s="47" t="str">
        <f>(VLOOKUP(D:D,'Week 47 Nov 16 - Nov 22 2020'!D:G,4,FALSE))</f>
        <v>Nintendo</v>
      </c>
      <c r="H31" s="60">
        <f>(VLOOKUP(D:D,'Week 47 Nov 16 - Nov 22 2020'!D:H,5,FALSE))</f>
        <v>44120</v>
      </c>
      <c r="I31" s="55">
        <f>_xlfn.IFNA(VLOOKUP(D:D,'Week 47 Nov 16 - Nov 22 2020'!D:E,2,FALSE),"New")</f>
        <v>2511</v>
      </c>
      <c r="J31" s="84">
        <f t="shared" si="0"/>
        <v>0.1620868180007965</v>
      </c>
    </row>
    <row r="33" spans="4:5" x14ac:dyDescent="0.2">
      <c r="D33" s="2" t="s">
        <v>59</v>
      </c>
      <c r="E33" s="2">
        <f>SUM(E2:E31)</f>
        <v>451682</v>
      </c>
    </row>
    <row r="34" spans="4:5" x14ac:dyDescent="0.2">
      <c r="D34" s="100" t="s">
        <v>178</v>
      </c>
      <c r="E34" s="101">
        <f>SUM('Week 47 Nov 16 - Nov 22 2020'!E34,'Week 48 Nov 23 - Nov 29 2020'!E33)</f>
        <v>21078285</v>
      </c>
    </row>
    <row r="35" spans="4:5" x14ac:dyDescent="0.2">
      <c r="D35" s="99" t="s">
        <v>301</v>
      </c>
      <c r="E35" s="99">
        <f>E33+'Week 47 Nov 16 - Nov 22 2020'!E33+'Week 46 Nov 9 - Nov 15 2020'!E33+'Week 45 Nov 2 - Nov 8 2020'!E33</f>
        <v>2044647</v>
      </c>
    </row>
    <row r="36" spans="4:5" x14ac:dyDescent="0.2">
      <c r="D36" s="2" t="s">
        <v>60</v>
      </c>
      <c r="E36" s="2">
        <f>AVERAGE(E2:E31)</f>
        <v>15056.066666666668</v>
      </c>
    </row>
    <row r="37" spans="4:5" x14ac:dyDescent="0.2">
      <c r="D37" s="9" t="s">
        <v>78</v>
      </c>
      <c r="E37" s="10">
        <f>COUNTIF(B:B,"New")</f>
        <v>3</v>
      </c>
    </row>
    <row r="39" spans="4:5" x14ac:dyDescent="0.2">
      <c r="D39" t="s">
        <v>66</v>
      </c>
    </row>
    <row r="40" spans="4:5" x14ac:dyDescent="0.2">
      <c r="D40" s="8" t="s">
        <v>67</v>
      </c>
    </row>
    <row r="41" spans="4:5" x14ac:dyDescent="0.2">
      <c r="D41" s="8" t="s">
        <v>65</v>
      </c>
    </row>
    <row r="42" spans="4:5" x14ac:dyDescent="0.2">
      <c r="D42" s="8" t="s">
        <v>71</v>
      </c>
    </row>
  </sheetData>
  <hyperlinks>
    <hyperlink ref="D41" r:id="rId1" xr:uid="{285BC258-36B4-4C4F-8318-E925713E1561}"/>
    <hyperlink ref="D40" r:id="rId2" xr:uid="{E41A0985-238B-AA44-8C18-7E700584C034}"/>
    <hyperlink ref="D42" r:id="rId3" xr:uid="{C1B787DC-2608-FE4F-87AA-7C1141F51DAB}"/>
  </hyperlinks>
  <pageMargins left="0.7" right="0.7" top="0.75" bottom="0.75" header="0.3" footer="0.3"/>
  <pageSetup paperSize="9" orientation="portrait" horizontalDpi="0" verticalDpi="0"/>
  <ignoredErrors>
    <ignoredError sqref="I21 G28:H28 F21 F28 G18 G16:H16 H18:J18 I16:J16 H2:H15 H17 I2 G7 J7" calculatedColumn="1"/>
  </ignoredErrors>
  <tableParts count="1">
    <tablePart r:id="rId4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67AB4-5928-3A4A-9012-0326A07606AF}">
  <dimension ref="A1:J41"/>
  <sheetViews>
    <sheetView workbookViewId="0">
      <selection activeCell="D31" sqref="D31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71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78" t="s">
        <v>0</v>
      </c>
      <c r="B1" s="78" t="s">
        <v>35</v>
      </c>
      <c r="C1" s="79" t="s">
        <v>1</v>
      </c>
      <c r="D1" s="79" t="s">
        <v>2</v>
      </c>
      <c r="E1" s="80" t="s">
        <v>3</v>
      </c>
      <c r="F1" s="80" t="s">
        <v>4</v>
      </c>
      <c r="G1" s="79" t="s">
        <v>5</v>
      </c>
      <c r="H1" s="81" t="s">
        <v>6</v>
      </c>
      <c r="I1" s="80" t="s">
        <v>64</v>
      </c>
      <c r="J1" s="82" t="s">
        <v>63</v>
      </c>
    </row>
    <row r="2" spans="1:10" x14ac:dyDescent="0.2">
      <c r="A2" s="47">
        <v>1</v>
      </c>
      <c r="B2" s="47">
        <v>1</v>
      </c>
      <c r="C2" s="47" t="s">
        <v>7</v>
      </c>
      <c r="D2" s="86" t="s">
        <v>163</v>
      </c>
      <c r="E2" s="55">
        <v>115884</v>
      </c>
      <c r="F2" s="55">
        <f>SUMIFS('Week 48 Nov 23 - Nov 29 2020'!F:F,'Week 48 Nov 23 - Nov 29 2020'!D:D,'Week 49 Nov 30 - Dec 6 2020'!D:D,'Week 48 Nov 23 - Nov 29 2020'!C:C,'Week 49 Nov 30 - Dec 6 2020'!C:C)+Table4042434650514448[[#This Row],[Week Sales]]</f>
        <v>588310</v>
      </c>
      <c r="G2" s="47" t="str">
        <f>(VLOOKUP(D:D,'Week 48 Nov 23 - Nov 29 2020'!D:G,4,FALSE))</f>
        <v>Konami</v>
      </c>
      <c r="H2" s="60">
        <f>(VLOOKUP(D:D,'Week 48 Nov 23 - Nov 29 2020'!D:H,5,FALSE))</f>
        <v>44154</v>
      </c>
      <c r="I2" s="55">
        <f>SUMIFS('Week 48 Nov 23 - Nov 29 2020'!E:E,'Week 48 Nov 23 - Nov 29 2020'!D:D,'Week 49 Nov 30 - Dec 6 2020'!D:D,'Week 48 Nov 23 - Nov 29 2020'!C:C,'Week 49 Nov 30 - Dec 6 2020'!C:C)</f>
        <v>126729</v>
      </c>
      <c r="J2" s="56">
        <f>IFERROR((E2-I2)/I2,"New")</f>
        <v>-8.5576308500816697E-2</v>
      </c>
    </row>
    <row r="3" spans="1:10" x14ac:dyDescent="0.2">
      <c r="A3" s="46">
        <v>2</v>
      </c>
      <c r="B3" s="46" t="s">
        <v>36</v>
      </c>
      <c r="C3" s="46" t="s">
        <v>7</v>
      </c>
      <c r="D3" s="9" t="s">
        <v>173</v>
      </c>
      <c r="E3" s="73">
        <v>74244</v>
      </c>
      <c r="F3" s="73">
        <f>SUMIFS('Week 48 Nov 23 - Nov 29 2020'!F:F,'Week 48 Nov 23 - Nov 29 2020'!D:D,'Week 49 Nov 30 - Dec 6 2020'!D:D,'Week 48 Nov 23 - Nov 29 2020'!C:C,'Week 49 Nov 30 - Dec 6 2020'!C:C)+Table4042434650514448[[#This Row],[Week Sales]]</f>
        <v>74244</v>
      </c>
      <c r="G3" s="46" t="s">
        <v>177</v>
      </c>
      <c r="H3" s="72">
        <v>44168</v>
      </c>
      <c r="I3" s="73" t="s">
        <v>36</v>
      </c>
      <c r="J3" s="90" t="str">
        <f t="shared" ref="J3:J31" si="0">IFERROR((E3-I3)/I3,"New")</f>
        <v>New</v>
      </c>
    </row>
    <row r="4" spans="1:10" x14ac:dyDescent="0.2">
      <c r="A4" s="47">
        <v>3</v>
      </c>
      <c r="B4" s="47">
        <v>4</v>
      </c>
      <c r="C4" s="47" t="s">
        <v>7</v>
      </c>
      <c r="D4" s="86" t="s">
        <v>46</v>
      </c>
      <c r="E4" s="55">
        <v>57104</v>
      </c>
      <c r="F4" s="55">
        <f>SUMIFS('Week 48 Nov 23 - Nov 29 2020'!F:F,'Week 48 Nov 23 - Nov 29 2020'!D:D,'Week 49 Nov 30 - Dec 6 2020'!D:D,'Week 48 Nov 23 - Nov 29 2020'!C:C,'Week 49 Nov 30 - Dec 6 2020'!C:C)+Table4042434650514448[[#This Row],[Week Sales]]</f>
        <v>6103801</v>
      </c>
      <c r="G4" s="47" t="str">
        <f>(VLOOKUP(D:D,'Week 48 Nov 23 - Nov 29 2020'!D:G,4,FALSE))</f>
        <v>Nintendo</v>
      </c>
      <c r="H4" s="60">
        <f>(VLOOKUP(D:D,'Week 48 Nov 23 - Nov 29 2020'!D:H,5,FALSE))</f>
        <v>43910</v>
      </c>
      <c r="I4" s="55">
        <f>SUMIFS('Week 48 Nov 23 - Nov 29 2020'!E:E,'Week 48 Nov 23 - Nov 29 2020'!D:D,'Week 49 Nov 30 - Dec 6 2020'!D:D,'Week 48 Nov 23 - Nov 29 2020'!C:C,'Week 49 Nov 30 - Dec 6 2020'!C:C)</f>
        <v>35389</v>
      </c>
      <c r="J4" s="56">
        <f t="shared" si="0"/>
        <v>0.61360874848116642</v>
      </c>
    </row>
    <row r="5" spans="1:10" x14ac:dyDescent="0.2">
      <c r="A5" s="46">
        <v>4</v>
      </c>
      <c r="B5" s="46" t="s">
        <v>36</v>
      </c>
      <c r="C5" s="46" t="s">
        <v>8</v>
      </c>
      <c r="D5" s="9" t="s">
        <v>174</v>
      </c>
      <c r="E5" s="73">
        <v>43987</v>
      </c>
      <c r="F5" s="73">
        <f>SUMIFS('Week 48 Nov 23 - Nov 29 2020'!F:F,'Week 48 Nov 23 - Nov 29 2020'!D:D,'Week 49 Nov 30 - Dec 6 2020'!D:D,'Week 48 Nov 23 - Nov 29 2020'!C:C,'Week 49 Nov 30 - Dec 6 2020'!C:C)+Table4042434650514448[[#This Row],[Week Sales]]</f>
        <v>43987</v>
      </c>
      <c r="G5" s="46" t="s">
        <v>166</v>
      </c>
      <c r="H5" s="72">
        <v>44168</v>
      </c>
      <c r="I5" s="73" t="s">
        <v>36</v>
      </c>
      <c r="J5" s="90" t="str">
        <f t="shared" si="0"/>
        <v>New</v>
      </c>
    </row>
    <row r="6" spans="1:10" x14ac:dyDescent="0.2">
      <c r="A6" s="47">
        <v>5</v>
      </c>
      <c r="B6" s="47">
        <v>3</v>
      </c>
      <c r="C6" s="47" t="s">
        <v>7</v>
      </c>
      <c r="D6" s="86" t="s">
        <v>45</v>
      </c>
      <c r="E6" s="55">
        <v>40176</v>
      </c>
      <c r="F6" s="55">
        <f>SUMIFS('Week 48 Nov 23 - Nov 29 2020'!F:F,'Week 48 Nov 23 - Nov 29 2020'!D:D,'Week 49 Nov 30 - Dec 6 2020'!D:D,'Week 48 Nov 23 - Nov 29 2020'!C:C,'Week 49 Nov 30 - Dec 6 2020'!C:C)+Table4042434650514448[[#This Row],[Week Sales]]</f>
        <v>1919987</v>
      </c>
      <c r="G6" s="47" t="str">
        <f>(VLOOKUP(D:D,'Week 48 Nov 23 - Nov 29 2020'!D:G,4,FALSE))</f>
        <v>Nintendo</v>
      </c>
      <c r="H6" s="60">
        <f>(VLOOKUP(D:D,'Week 48 Nov 23 - Nov 29 2020'!D:H,5,FALSE))</f>
        <v>43756</v>
      </c>
      <c r="I6" s="55">
        <f>SUMIFS('Week 48 Nov 23 - Nov 29 2020'!E:E,'Week 48 Nov 23 - Nov 29 2020'!D:D,'Week 49 Nov 30 - Dec 6 2020'!D:D,'Week 48 Nov 23 - Nov 29 2020'!C:C,'Week 49 Nov 30 - Dec 6 2020'!C:C)</f>
        <v>36019</v>
      </c>
      <c r="J6" s="56">
        <f t="shared" si="0"/>
        <v>0.11541131069713206</v>
      </c>
    </row>
    <row r="7" spans="1:10" x14ac:dyDescent="0.2">
      <c r="A7" s="46">
        <v>6</v>
      </c>
      <c r="B7" s="46" t="s">
        <v>36</v>
      </c>
      <c r="C7" s="46" t="s">
        <v>7</v>
      </c>
      <c r="D7" s="9" t="s">
        <v>174</v>
      </c>
      <c r="E7" s="73">
        <v>30643</v>
      </c>
      <c r="F7" s="73">
        <f>SUMIFS('Week 48 Nov 23 - Nov 29 2020'!F:F,'Week 48 Nov 23 - Nov 29 2020'!D:D,'Week 49 Nov 30 - Dec 6 2020'!D:D,'Week 48 Nov 23 - Nov 29 2020'!C:C,'Week 49 Nov 30 - Dec 6 2020'!C:C)+Table4042434650514448[[#This Row],[Week Sales]]</f>
        <v>30643</v>
      </c>
      <c r="G7" s="46" t="s">
        <v>166</v>
      </c>
      <c r="H7" s="72">
        <v>44168</v>
      </c>
      <c r="I7" s="73" t="s">
        <v>36</v>
      </c>
      <c r="J7" s="90" t="str">
        <f t="shared" si="0"/>
        <v>New</v>
      </c>
    </row>
    <row r="8" spans="1:10" x14ac:dyDescent="0.2">
      <c r="A8" s="46">
        <v>7</v>
      </c>
      <c r="B8" s="46" t="s">
        <v>36</v>
      </c>
      <c r="C8" s="87" t="s">
        <v>8</v>
      </c>
      <c r="D8" s="9" t="s">
        <v>175</v>
      </c>
      <c r="E8" s="73">
        <v>28612</v>
      </c>
      <c r="F8" s="73">
        <f>SUMIFS('Week 48 Nov 23 - Nov 29 2020'!F:F,'Week 48 Nov 23 - Nov 29 2020'!D:D,'Week 49 Nov 30 - Dec 6 2020'!D:D,'Week 48 Nov 23 - Nov 29 2020'!C:C,'Week 49 Nov 30 - Dec 6 2020'!C:C)+Table4042434650514448[[#This Row],[Week Sales]]</f>
        <v>28612</v>
      </c>
      <c r="G8" s="46" t="s">
        <v>27</v>
      </c>
      <c r="H8" s="72">
        <v>44169</v>
      </c>
      <c r="I8" s="73" t="s">
        <v>36</v>
      </c>
      <c r="J8" s="90" t="str">
        <f t="shared" si="0"/>
        <v>New</v>
      </c>
    </row>
    <row r="9" spans="1:10" x14ac:dyDescent="0.2">
      <c r="A9" s="47">
        <v>8</v>
      </c>
      <c r="B9" s="47">
        <v>2</v>
      </c>
      <c r="C9" s="68" t="s">
        <v>7</v>
      </c>
      <c r="D9" s="86" t="s">
        <v>164</v>
      </c>
      <c r="E9" s="55">
        <v>23276</v>
      </c>
      <c r="F9" s="55">
        <f>SUMIFS('Week 48 Nov 23 - Nov 29 2020'!F:F,'Week 48 Nov 23 - Nov 29 2020'!D:D,'Week 49 Nov 30 - Dec 6 2020'!D:D,'Week 48 Nov 23 - Nov 29 2020'!C:C,'Week 49 Nov 30 - Dec 6 2020'!C:C)+Table4042434650514448[[#This Row],[Week Sales]]</f>
        <v>237158</v>
      </c>
      <c r="G9" s="47" t="str">
        <f>(VLOOKUP(D:D,'Week 48 Nov 23 - Nov 29 2020'!D:G,4,FALSE))</f>
        <v>Koei Tecmo</v>
      </c>
      <c r="H9" s="60">
        <f>(VLOOKUP(D:D,'Week 48 Nov 23 - Nov 29 2020'!D:H,5,FALSE))</f>
        <v>44155</v>
      </c>
      <c r="I9" s="55">
        <f>SUMIFS('Week 48 Nov 23 - Nov 29 2020'!E:E,'Week 48 Nov 23 - Nov 29 2020'!D:D,'Week 49 Nov 30 - Dec 6 2020'!D:D,'Week 48 Nov 23 - Nov 29 2020'!C:C,'Week 49 Nov 30 - Dec 6 2020'!C:C)</f>
        <v>40667</v>
      </c>
      <c r="J9" s="56">
        <f t="shared" si="0"/>
        <v>-0.42764403570462539</v>
      </c>
    </row>
    <row r="10" spans="1:10" x14ac:dyDescent="0.2">
      <c r="A10" s="47">
        <v>9</v>
      </c>
      <c r="B10" s="47">
        <v>8</v>
      </c>
      <c r="C10" s="68" t="s">
        <v>7</v>
      </c>
      <c r="D10" s="86" t="s">
        <v>49</v>
      </c>
      <c r="E10" s="55">
        <v>23180</v>
      </c>
      <c r="F10" s="55">
        <f>SUMIFS('Week 48 Nov 23 - Nov 29 2020'!F:F,'Week 48 Nov 23 - Nov 29 2020'!D:D,'Week 49 Nov 30 - Dec 6 2020'!D:D,'Week 48 Nov 23 - Nov 29 2020'!C:C,'Week 49 Nov 30 - Dec 6 2020'!C:C)+Table4042434650514448[[#This Row],[Week Sales]]</f>
        <v>3312638</v>
      </c>
      <c r="G10" s="47" t="str">
        <f>(VLOOKUP(D:D,'Week 48 Nov 23 - Nov 29 2020'!D:G,4,FALSE))</f>
        <v>Nintendo</v>
      </c>
      <c r="H10" s="60">
        <f>(VLOOKUP(D:D,'Week 48 Nov 23 - Nov 29 2020'!D:H,5,FALSE))</f>
        <v>42853</v>
      </c>
      <c r="I10" s="55">
        <f>SUMIFS('Week 48 Nov 23 - Nov 29 2020'!E:E,'Week 48 Nov 23 - Nov 29 2020'!D:D,'Week 49 Nov 30 - Dec 6 2020'!D:D,'Week 48 Nov 23 - Nov 29 2020'!C:C,'Week 49 Nov 30 - Dec 6 2020'!C:C)</f>
        <v>14665</v>
      </c>
      <c r="J10" s="56">
        <f t="shared" si="0"/>
        <v>0.58063416297306514</v>
      </c>
    </row>
    <row r="11" spans="1:10" x14ac:dyDescent="0.2">
      <c r="A11" s="46">
        <v>10</v>
      </c>
      <c r="B11" s="46" t="s">
        <v>36</v>
      </c>
      <c r="C11" s="87" t="s">
        <v>8</v>
      </c>
      <c r="D11" s="9" t="s">
        <v>176</v>
      </c>
      <c r="E11" s="73">
        <v>21592</v>
      </c>
      <c r="F11" s="73">
        <f>SUMIFS('Week 48 Nov 23 - Nov 29 2020'!F:F,'Week 48 Nov 23 - Nov 29 2020'!D:D,'Week 49 Nov 30 - Dec 6 2020'!D:D,'Week 48 Nov 23 - Nov 29 2020'!C:C,'Week 49 Nov 30 - Dec 6 2020'!C:C)+Table4042434650514448[[#This Row],[Week Sales]]</f>
        <v>21592</v>
      </c>
      <c r="G11" s="46" t="s">
        <v>27</v>
      </c>
      <c r="H11" s="72">
        <v>44169</v>
      </c>
      <c r="I11" s="73" t="s">
        <v>36</v>
      </c>
      <c r="J11" s="90" t="str">
        <f t="shared" si="0"/>
        <v>New</v>
      </c>
    </row>
    <row r="12" spans="1:10" x14ac:dyDescent="0.2">
      <c r="A12" s="47">
        <v>11</v>
      </c>
      <c r="B12" s="47">
        <v>5</v>
      </c>
      <c r="C12" s="68" t="s">
        <v>7</v>
      </c>
      <c r="D12" s="47" t="s">
        <v>132</v>
      </c>
      <c r="E12" s="55">
        <v>21280</v>
      </c>
      <c r="F12" s="55">
        <f>SUMIFS('Week 48 Nov 23 - Nov 29 2020'!F:F,'Week 48 Nov 23 - Nov 29 2020'!D:D,'Week 49 Nov 30 - Dec 6 2020'!D:D,'Week 48 Nov 23 - Nov 29 2020'!C:C,'Week 49 Nov 30 - Dec 6 2020'!C:C)+Table4042434650514448[[#This Row],[Week Sales]]</f>
        <v>337142</v>
      </c>
      <c r="G12" s="47" t="str">
        <f>(VLOOKUP(D:D,'Week 48 Nov 23 - Nov 29 2020'!D:G,4,FALSE))</f>
        <v>Nintendo</v>
      </c>
      <c r="H12" s="60">
        <f>(VLOOKUP(D:D,'Week 48 Nov 23 - Nov 29 2020'!D:H,5,FALSE))</f>
        <v>44134</v>
      </c>
      <c r="I12" s="55">
        <f>SUMIFS('Week 48 Nov 23 - Nov 29 2020'!E:E,'Week 48 Nov 23 - Nov 29 2020'!D:D,'Week 49 Nov 30 - Dec 6 2020'!D:D,'Week 48 Nov 23 - Nov 29 2020'!C:C,'Week 49 Nov 30 - Dec 6 2020'!C:C)</f>
        <v>21314</v>
      </c>
      <c r="J12" s="56">
        <f t="shared" si="0"/>
        <v>-1.5951956460542366E-3</v>
      </c>
    </row>
    <row r="13" spans="1:10" x14ac:dyDescent="0.2">
      <c r="A13" s="46">
        <v>12</v>
      </c>
      <c r="B13" s="46" t="s">
        <v>36</v>
      </c>
      <c r="C13" s="87" t="s">
        <v>7</v>
      </c>
      <c r="D13" s="9" t="s">
        <v>302</v>
      </c>
      <c r="E13" s="73">
        <v>19594</v>
      </c>
      <c r="F13" s="73">
        <f>SUMIFS('Week 48 Nov 23 - Nov 29 2020'!F:F,'Week 48 Nov 23 - Nov 29 2020'!D:D,'Week 49 Nov 30 - Dec 6 2020'!D:D,'Week 48 Nov 23 - Nov 29 2020'!C:C,'Week 49 Nov 30 - Dec 6 2020'!C:C)+Table4042434650514448[[#This Row],[Week Sales]]</f>
        <v>19594</v>
      </c>
      <c r="G13" s="46" t="s">
        <v>130</v>
      </c>
      <c r="H13" s="72">
        <v>44168</v>
      </c>
      <c r="I13" s="73" t="s">
        <v>36</v>
      </c>
      <c r="J13" s="90" t="str">
        <f t="shared" si="0"/>
        <v>New</v>
      </c>
    </row>
    <row r="14" spans="1:10" x14ac:dyDescent="0.2">
      <c r="A14" s="47">
        <v>13</v>
      </c>
      <c r="B14" s="47">
        <v>10</v>
      </c>
      <c r="C14" s="68" t="s">
        <v>7</v>
      </c>
      <c r="D14" s="86" t="s">
        <v>145</v>
      </c>
      <c r="E14" s="55">
        <v>15543</v>
      </c>
      <c r="F14" s="55">
        <f>SUMIFS('Week 48 Nov 23 - Nov 29 2020'!F:F,'Week 48 Nov 23 - Nov 29 2020'!D:D,'Week 49 Nov 30 - Dec 6 2020'!D:D,'Week 48 Nov 23 - Nov 29 2020'!C:C,'Week 49 Nov 30 - Dec 6 2020'!C:C)+Table4042434650514448[[#This Row],[Week Sales]]</f>
        <v>71001</v>
      </c>
      <c r="G14" s="47" t="str">
        <f>(VLOOKUP(D:D,'Week 48 Nov 23 - Nov 29 2020'!D:G,4,FALSE))</f>
        <v>The Pokemon Company</v>
      </c>
      <c r="H14" s="60">
        <f>(VLOOKUP(D:D,'Week 48 Nov 23 - Nov 29 2020'!D:H,5,FALSE))</f>
        <v>43784</v>
      </c>
      <c r="I14" s="55">
        <f>SUMIFS('Week 48 Nov 23 - Nov 29 2020'!E:E,'Week 48 Nov 23 - Nov 29 2020'!D:D,'Week 49 Nov 30 - Dec 6 2020'!D:D,'Week 48 Nov 23 - Nov 29 2020'!C:C,'Week 49 Nov 30 - Dec 6 2020'!C:C)</f>
        <v>12370</v>
      </c>
      <c r="J14" s="56">
        <f t="shared" si="0"/>
        <v>0.25650767987065481</v>
      </c>
    </row>
    <row r="15" spans="1:10" x14ac:dyDescent="0.2">
      <c r="A15" s="46">
        <v>14</v>
      </c>
      <c r="B15" s="46" t="s">
        <v>36</v>
      </c>
      <c r="C15" s="87" t="s">
        <v>7</v>
      </c>
      <c r="D15" s="9" t="s">
        <v>303</v>
      </c>
      <c r="E15" s="73">
        <v>15520</v>
      </c>
      <c r="F15" s="73">
        <f>SUMIFS('Week 48 Nov 23 - Nov 29 2020'!F:F,'Week 48 Nov 23 - Nov 29 2020'!D:D,'Week 49 Nov 30 - Dec 6 2020'!D:D,'Week 48 Nov 23 - Nov 29 2020'!C:C,'Week 49 Nov 30 - Dec 6 2020'!C:C)+Table4042434650514448[[#This Row],[Week Sales]]</f>
        <v>15520</v>
      </c>
      <c r="G15" s="46" t="s">
        <v>162</v>
      </c>
      <c r="H15" s="72">
        <v>44168</v>
      </c>
      <c r="I15" s="73" t="s">
        <v>36</v>
      </c>
      <c r="J15" s="90" t="str">
        <f t="shared" si="0"/>
        <v>New</v>
      </c>
    </row>
    <row r="16" spans="1:10" x14ac:dyDescent="0.2">
      <c r="A16" s="47">
        <v>15</v>
      </c>
      <c r="B16" s="47">
        <v>12</v>
      </c>
      <c r="C16" s="68" t="s">
        <v>7</v>
      </c>
      <c r="D16" s="86" t="s">
        <v>12</v>
      </c>
      <c r="E16" s="55">
        <v>15280</v>
      </c>
      <c r="F16" s="55">
        <f>SUMIFS('Week 48 Nov 23 - Nov 29 2020'!F:F,'Week 48 Nov 23 - Nov 29 2020'!D:D,'Week 49 Nov 30 - Dec 6 2020'!D:D,'Week 48 Nov 23 - Nov 29 2020'!C:C,'Week 49 Nov 30 - Dec 6 2020'!C:C)+Table4042434650514448[[#This Row],[Week Sales]]</f>
        <v>1593870</v>
      </c>
      <c r="G16" s="47" t="str">
        <f>(VLOOKUP(D:D,'Week 48 Nov 23 - Nov 29 2020'!D:G,4,FALSE))</f>
        <v>Microsoft</v>
      </c>
      <c r="H16" s="60">
        <f>(VLOOKUP(D:D,'Week 48 Nov 23 - Nov 29 2020'!D:H,5,FALSE))</f>
        <v>43272</v>
      </c>
      <c r="I16" s="55">
        <f>SUMIFS('Week 48 Nov 23 - Nov 29 2020'!E:E,'Week 48 Nov 23 - Nov 29 2020'!D:D,'Week 49 Nov 30 - Dec 6 2020'!D:D,'Week 48 Nov 23 - Nov 29 2020'!C:C,'Week 49 Nov 30 - Dec 6 2020'!C:C)</f>
        <v>10225</v>
      </c>
      <c r="J16" s="56">
        <f t="shared" si="0"/>
        <v>0.49437652811735944</v>
      </c>
    </row>
    <row r="17" spans="1:10" x14ac:dyDescent="0.2">
      <c r="A17" s="47">
        <v>16</v>
      </c>
      <c r="B17" s="47">
        <v>11</v>
      </c>
      <c r="C17" s="68" t="s">
        <v>7</v>
      </c>
      <c r="D17" s="86" t="s">
        <v>13</v>
      </c>
      <c r="E17" s="55">
        <v>14765</v>
      </c>
      <c r="F17" s="55">
        <f>SUMIFS('Week 48 Nov 23 - Nov 29 2020'!F:F,'Week 48 Nov 23 - Nov 29 2020'!D:D,'Week 49 Nov 30 - Dec 6 2020'!D:D,'Week 48 Nov 23 - Nov 29 2020'!C:C,'Week 49 Nov 30 - Dec 6 2020'!C:C)+Table4042434650514448[[#This Row],[Week Sales]]</f>
        <v>1635480</v>
      </c>
      <c r="G17" s="47" t="str">
        <f>(VLOOKUP(D:D,'Week 48 Nov 23 - Nov 29 2020'!D:G,4,FALSE))</f>
        <v>Nintendo</v>
      </c>
      <c r="H17" s="60">
        <f>(VLOOKUP(D:D,'Week 48 Nov 23 - Nov 29 2020'!D:H,5,FALSE))</f>
        <v>43378</v>
      </c>
      <c r="I17" s="55">
        <f>SUMIFS('Week 48 Nov 23 - Nov 29 2020'!E:E,'Week 48 Nov 23 - Nov 29 2020'!D:D,'Week 49 Nov 30 - Dec 6 2020'!D:D,'Week 48 Nov 23 - Nov 29 2020'!C:C,'Week 49 Nov 30 - Dec 6 2020'!C:C)</f>
        <v>11836</v>
      </c>
      <c r="J17" s="56">
        <f t="shared" si="0"/>
        <v>0.24746535991889151</v>
      </c>
    </row>
    <row r="18" spans="1:10" x14ac:dyDescent="0.2">
      <c r="A18" s="47">
        <v>17</v>
      </c>
      <c r="B18" s="47">
        <v>16</v>
      </c>
      <c r="C18" s="68" t="s">
        <v>7</v>
      </c>
      <c r="D18" s="86" t="s">
        <v>52</v>
      </c>
      <c r="E18" s="55">
        <v>12894</v>
      </c>
      <c r="F18" s="55">
        <f>SUMIFS('Week 48 Nov 23 - Nov 29 2020'!F:F,'Week 48 Nov 23 - Nov 29 2020'!D:D,'Week 49 Nov 30 - Dec 6 2020'!D:D,'Week 48 Nov 23 - Nov 29 2020'!C:C,'Week 49 Nov 30 - Dec 6 2020'!C:C)+Table4042434650514448[[#This Row],[Week Sales]]</f>
        <v>3903626</v>
      </c>
      <c r="G18" s="47" t="str">
        <f>(VLOOKUP(D:D,'Week 48 Nov 23 - Nov 29 2020'!D:G,4,FALSE))</f>
        <v>Nintendo</v>
      </c>
      <c r="H18" s="60">
        <f>(VLOOKUP(D:D,'Week 48 Nov 23 - Nov 29 2020'!D:H,5,FALSE))</f>
        <v>43441</v>
      </c>
      <c r="I18" s="55">
        <f>SUMIFS('Week 48 Nov 23 - Nov 29 2020'!E:E,'Week 48 Nov 23 - Nov 29 2020'!D:D,'Week 49 Nov 30 - Dec 6 2020'!D:D,'Week 48 Nov 23 - Nov 29 2020'!C:C,'Week 49 Nov 30 - Dec 6 2020'!C:C)</f>
        <v>6871</v>
      </c>
      <c r="J18" s="56">
        <f t="shared" si="0"/>
        <v>0.87658273904817352</v>
      </c>
    </row>
    <row r="19" spans="1:10" x14ac:dyDescent="0.2">
      <c r="A19" s="46">
        <v>18</v>
      </c>
      <c r="B19" s="46" t="s">
        <v>36</v>
      </c>
      <c r="C19" s="87" t="s">
        <v>7</v>
      </c>
      <c r="D19" s="9" t="s">
        <v>304</v>
      </c>
      <c r="E19" s="73">
        <v>12655</v>
      </c>
      <c r="F19" s="73">
        <f>SUMIFS('Week 48 Nov 23 - Nov 29 2020'!F:F,'Week 48 Nov 23 - Nov 29 2020'!D:D,'Week 49 Nov 30 - Dec 6 2020'!D:D,'Week 48 Nov 23 - Nov 29 2020'!C:C,'Week 49 Nov 30 - Dec 6 2020'!C:C)+Table4042434650514448[[#This Row],[Week Sales]]</f>
        <v>12655</v>
      </c>
      <c r="G19" s="46" t="s">
        <v>27</v>
      </c>
      <c r="H19" s="72">
        <v>44169</v>
      </c>
      <c r="I19" s="73" t="s">
        <v>36</v>
      </c>
      <c r="J19" s="90" t="str">
        <f t="shared" si="0"/>
        <v>New</v>
      </c>
    </row>
    <row r="20" spans="1:10" x14ac:dyDescent="0.2">
      <c r="A20" s="47">
        <v>19</v>
      </c>
      <c r="B20" s="47">
        <v>9</v>
      </c>
      <c r="C20" s="68" t="s">
        <v>7</v>
      </c>
      <c r="D20" s="86" t="s">
        <v>165</v>
      </c>
      <c r="E20" s="55">
        <v>11948</v>
      </c>
      <c r="F20" s="55">
        <f>SUMIFS('Week 48 Nov 23 - Nov 29 2020'!F:F,'Week 48 Nov 23 - Nov 29 2020'!D:D,'Week 49 Nov 30 - Dec 6 2020'!D:D,'Week 48 Nov 23 - Nov 29 2020'!C:C,'Week 49 Nov 30 - Dec 6 2020'!C:C)+Table4042434650514448[[#This Row],[Week Sales]]</f>
        <v>57362</v>
      </c>
      <c r="G20" s="47" t="str">
        <f>(VLOOKUP(D:D,'Week 48 Nov 23 - Nov 29 2020'!D:G,4,FALSE))</f>
        <v>Warner Bros.</v>
      </c>
      <c r="H20" s="60">
        <f>(VLOOKUP(D:D,'Week 48 Nov 23 - Nov 29 2020'!D:H,5,FALSE))</f>
        <v>44152</v>
      </c>
      <c r="I20" s="55">
        <f>SUMIFS('Week 48 Nov 23 - Nov 29 2020'!E:E,'Week 48 Nov 23 - Nov 29 2020'!D:D,'Week 49 Nov 30 - Dec 6 2020'!D:D,'Week 48 Nov 23 - Nov 29 2020'!C:C,'Week 49 Nov 30 - Dec 6 2020'!C:C)</f>
        <v>14147</v>
      </c>
      <c r="J20" s="56">
        <f t="shared" si="0"/>
        <v>-0.15543931575599068</v>
      </c>
    </row>
    <row r="21" spans="1:10" x14ac:dyDescent="0.2">
      <c r="A21" s="47">
        <v>20</v>
      </c>
      <c r="B21" s="47">
        <v>14</v>
      </c>
      <c r="C21" s="68" t="s">
        <v>7</v>
      </c>
      <c r="D21" s="86" t="s">
        <v>40</v>
      </c>
      <c r="E21" s="55">
        <v>11668</v>
      </c>
      <c r="F21" s="55">
        <f>SUMIFS('Week 48 Nov 23 - Nov 29 2020'!F:F,'Week 48 Nov 23 - Nov 29 2020'!D:D,'Week 49 Nov 30 - Dec 6 2020'!D:D,'Week 48 Nov 23 - Nov 29 2020'!C:C,'Week 49 Nov 30 - Dec 6 2020'!C:C)+Table4042434650514448[[#This Row],[Week Sales]]</f>
        <v>408606</v>
      </c>
      <c r="G21" s="47" t="str">
        <f>(VLOOKUP(D:D,'Week 48 Nov 23 - Nov 29 2020'!D:G,4,FALSE))</f>
        <v>Nintendo</v>
      </c>
      <c r="H21" s="60">
        <f>(VLOOKUP(D:D,'Week 48 Nov 23 - Nov 29 2020'!D:H,5,FALSE))</f>
        <v>44092</v>
      </c>
      <c r="I21" s="55">
        <f>SUMIFS('Week 48 Nov 23 - Nov 29 2020'!E:E,'Week 48 Nov 23 - Nov 29 2020'!D:D,'Week 49 Nov 30 - Dec 6 2020'!D:D,'Week 48 Nov 23 - Nov 29 2020'!C:C,'Week 49 Nov 30 - Dec 6 2020'!C:C)</f>
        <v>8986</v>
      </c>
      <c r="J21" s="56">
        <f t="shared" si="0"/>
        <v>0.29846427776541284</v>
      </c>
    </row>
    <row r="22" spans="1:10" x14ac:dyDescent="0.2">
      <c r="A22" s="47">
        <v>21</v>
      </c>
      <c r="B22" s="47">
        <v>7</v>
      </c>
      <c r="C22" s="68" t="s">
        <v>8</v>
      </c>
      <c r="D22" s="86" t="s">
        <v>153</v>
      </c>
      <c r="E22" s="55">
        <v>9559</v>
      </c>
      <c r="F22" s="55">
        <f>SUMIFS('Week 48 Nov 23 - Nov 29 2020'!F:F,'Week 48 Nov 23 - Nov 29 2020'!D:D,'Week 49 Nov 30 - Dec 6 2020'!D:D,'Week 48 Nov 23 - Nov 29 2020'!C:C,'Week 49 Nov 30 - Dec 6 2020'!C:C)+Table4042434650514448[[#This Row],[Week Sales]]</f>
        <v>133930</v>
      </c>
      <c r="G22" s="47" t="str">
        <f>(VLOOKUP(D:D,'Week 48 Nov 23 - Nov 29 2020'!D:G,4,FALSE))</f>
        <v>Sony</v>
      </c>
      <c r="H22" s="60">
        <f>(VLOOKUP(D:D,'Week 48 Nov 23 - Nov 29 2020'!D:H,5,FALSE))</f>
        <v>44148</v>
      </c>
      <c r="I22" s="55">
        <f>SUMIFS('Week 48 Nov 23 - Nov 29 2020'!E:E,'Week 48 Nov 23 - Nov 29 2020'!D:D,'Week 49 Nov 30 - Dec 6 2020'!D:D,'Week 48 Nov 23 - Nov 29 2020'!C:C,'Week 49 Nov 30 - Dec 6 2020'!C:C)</f>
        <v>14688</v>
      </c>
      <c r="J22" s="56">
        <f t="shared" si="0"/>
        <v>-0.34919662309368193</v>
      </c>
    </row>
    <row r="23" spans="1:10" x14ac:dyDescent="0.2">
      <c r="A23" s="47">
        <v>22</v>
      </c>
      <c r="B23" s="47">
        <v>18</v>
      </c>
      <c r="C23" s="68" t="s">
        <v>7</v>
      </c>
      <c r="D23" s="86" t="s">
        <v>62</v>
      </c>
      <c r="E23" s="55">
        <v>8827</v>
      </c>
      <c r="F23" s="55">
        <f>SUMIFS('Week 48 Nov 23 - Nov 29 2020'!F:F,'Week 48 Nov 23 - Nov 29 2020'!D:D,'Week 49 Nov 30 - Dec 6 2020'!D:D,'Week 48 Nov 23 - Nov 29 2020'!C:C,'Week 49 Nov 30 - Dec 6 2020'!C:C)+Table4042434650514448[[#This Row],[Week Sales]]</f>
        <v>3817122</v>
      </c>
      <c r="G23" s="47" t="str">
        <f>(VLOOKUP(D:D,'Week 48 Nov 23 - Nov 29 2020'!D:G,4,FALSE))</f>
        <v>The Pokemon Company</v>
      </c>
      <c r="H23" s="60">
        <f>(VLOOKUP(D:D,'Week 48 Nov 23 - Nov 29 2020'!D:H,5,FALSE))</f>
        <v>43784</v>
      </c>
      <c r="I23" s="55">
        <f>SUMIFS('Week 48 Nov 23 - Nov 29 2020'!E:E,'Week 48 Nov 23 - Nov 29 2020'!D:D,'Week 49 Nov 30 - Dec 6 2020'!D:D,'Week 48 Nov 23 - Nov 29 2020'!C:C,'Week 49 Nov 30 - Dec 6 2020'!C:C)</f>
        <v>6553</v>
      </c>
      <c r="J23" s="56">
        <f t="shared" si="0"/>
        <v>0.34701663360292995</v>
      </c>
    </row>
    <row r="24" spans="1:10" x14ac:dyDescent="0.2">
      <c r="A24" s="47">
        <v>23</v>
      </c>
      <c r="B24" s="47">
        <v>20</v>
      </c>
      <c r="C24" s="68" t="s">
        <v>7</v>
      </c>
      <c r="D24" s="86" t="s">
        <v>154</v>
      </c>
      <c r="E24" s="55">
        <v>8587</v>
      </c>
      <c r="F24" s="55">
        <f>SUMIFS('Week 48 Nov 23 - Nov 29 2020'!F:F,'Week 48 Nov 23 - Nov 29 2020'!D:D,'Week 49 Nov 30 - Dec 6 2020'!D:D,'Week 48 Nov 23 - Nov 29 2020'!C:C,'Week 49 Nov 30 - Dec 6 2020'!C:C)+Table4042434650514448[[#This Row],[Week Sales]]</f>
        <v>49044</v>
      </c>
      <c r="G24" s="47" t="str">
        <f>(VLOOKUP(D:D,'Week 48 Nov 23 - Nov 29 2020'!D:G,4,FALSE))</f>
        <v>Marvelous</v>
      </c>
      <c r="H24" s="60">
        <f>(VLOOKUP(D:D,'Week 48 Nov 23 - Nov 29 2020'!D:H,5,FALSE))</f>
        <v>44147</v>
      </c>
      <c r="I24" s="55">
        <f>SUMIFS('Week 48 Nov 23 - Nov 29 2020'!E:E,'Week 48 Nov 23 - Nov 29 2020'!D:D,'Week 49 Nov 30 - Dec 6 2020'!D:D,'Week 48 Nov 23 - Nov 29 2020'!C:C,'Week 49 Nov 30 - Dec 6 2020'!C:C)</f>
        <v>6004</v>
      </c>
      <c r="J24" s="56">
        <f t="shared" si="0"/>
        <v>0.43021319120586277</v>
      </c>
    </row>
    <row r="25" spans="1:10" x14ac:dyDescent="0.2">
      <c r="A25" s="47">
        <v>24</v>
      </c>
      <c r="B25" s="47">
        <v>19</v>
      </c>
      <c r="C25" s="68" t="s">
        <v>7</v>
      </c>
      <c r="D25" s="86" t="s">
        <v>10</v>
      </c>
      <c r="E25" s="55">
        <v>8396</v>
      </c>
      <c r="F25" s="55">
        <f>SUMIFS('Week 48 Nov 23 - Nov 29 2020'!F:F,'Week 48 Nov 23 - Nov 29 2020'!D:D,'Week 49 Nov 30 - Dec 6 2020'!D:D,'Week 48 Nov 23 - Nov 29 2020'!C:C,'Week 49 Nov 30 - Dec 6 2020'!C:C)+Table4042434650514448[[#This Row],[Week Sales]]</f>
        <v>3622548</v>
      </c>
      <c r="G25" s="47" t="str">
        <f>(VLOOKUP(D:D,'Week 48 Nov 23 - Nov 29 2020'!D:G,4,FALSE))</f>
        <v>Nintendo</v>
      </c>
      <c r="H25" s="60">
        <f>(VLOOKUP(D:D,'Week 48 Nov 23 - Nov 29 2020'!D:H,5,FALSE))</f>
        <v>42937</v>
      </c>
      <c r="I25" s="55">
        <f>SUMIFS('Week 48 Nov 23 - Nov 29 2020'!E:E,'Week 48 Nov 23 - Nov 29 2020'!D:D,'Week 49 Nov 30 - Dec 6 2020'!D:D,'Week 48 Nov 23 - Nov 29 2020'!C:C,'Week 49 Nov 30 - Dec 6 2020'!C:C)</f>
        <v>6257</v>
      </c>
      <c r="J25" s="56">
        <f t="shared" si="0"/>
        <v>0.34185712002557134</v>
      </c>
    </row>
    <row r="26" spans="1:10" x14ac:dyDescent="0.2">
      <c r="A26" s="47">
        <v>25</v>
      </c>
      <c r="B26" s="47">
        <v>13</v>
      </c>
      <c r="C26" s="68" t="s">
        <v>8</v>
      </c>
      <c r="D26" s="86" t="s">
        <v>154</v>
      </c>
      <c r="E26" s="55">
        <v>7887</v>
      </c>
      <c r="F26" s="55">
        <f>SUMIFS('Week 48 Nov 23 - Nov 29 2020'!F:F,'Week 48 Nov 23 - Nov 29 2020'!D:D,'Week 49 Nov 30 - Dec 6 2020'!D:D,'Week 48 Nov 23 - Nov 29 2020'!C:C,'Week 49 Nov 30 - Dec 6 2020'!C:C)+Table4042434650514448[[#This Row],[Week Sales]]</f>
        <v>48019</v>
      </c>
      <c r="G26" s="47" t="str">
        <f>(VLOOKUP(D:D,'Week 48 Nov 23 - Nov 29 2020'!D:G,4,FALSE))</f>
        <v>Marvelous</v>
      </c>
      <c r="H26" s="60">
        <f>(VLOOKUP(D:D,'Week 48 Nov 23 - Nov 29 2020'!D:H,5,FALSE))</f>
        <v>44147</v>
      </c>
      <c r="I26" s="55">
        <f>SUMIFS('Week 48 Nov 23 - Nov 29 2020'!E:E,'Week 48 Nov 23 - Nov 29 2020'!D:D,'Week 49 Nov 30 - Dec 6 2020'!D:D,'Week 48 Nov 23 - Nov 29 2020'!C:C,'Week 49 Nov 30 - Dec 6 2020'!C:C)</f>
        <v>9648</v>
      </c>
      <c r="J26" s="56">
        <f t="shared" si="0"/>
        <v>-0.18252487562189054</v>
      </c>
    </row>
    <row r="27" spans="1:10" x14ac:dyDescent="0.2">
      <c r="A27" s="47">
        <v>26</v>
      </c>
      <c r="B27" s="47">
        <v>6</v>
      </c>
      <c r="C27" s="68" t="s">
        <v>7</v>
      </c>
      <c r="D27" s="47" t="s">
        <v>168</v>
      </c>
      <c r="E27" s="55">
        <v>7432</v>
      </c>
      <c r="F27" s="55">
        <f>SUMIFS('Week 48 Nov 23 - Nov 29 2020'!F:F,'Week 48 Nov 23 - Nov 29 2020'!D:D,'Week 49 Nov 30 - Dec 6 2020'!D:D,'Week 48 Nov 23 - Nov 29 2020'!C:C,'Week 49 Nov 30 - Dec 6 2020'!C:C)+Table4042434650514448[[#This Row],[Week Sales]]</f>
        <v>22936</v>
      </c>
      <c r="G27" s="47" t="str">
        <f>(VLOOKUP(D:D,'Week 48 Nov 23 - Nov 29 2020'!D:G,4,FALSE))</f>
        <v>Bandai Namco</v>
      </c>
      <c r="H27" s="60">
        <f>(VLOOKUP(D:D,'Week 48 Nov 23 - Nov 29 2020'!D:H,5,FALSE))</f>
        <v>44161</v>
      </c>
      <c r="I27" s="55">
        <f>SUMIFS('Week 48 Nov 23 - Nov 29 2020'!E:E,'Week 48 Nov 23 - Nov 29 2020'!D:D,'Week 49 Nov 30 - Dec 6 2020'!D:D,'Week 48 Nov 23 - Nov 29 2020'!C:C,'Week 49 Nov 30 - Dec 6 2020'!C:C)</f>
        <v>15504</v>
      </c>
      <c r="J27" s="56">
        <f t="shared" si="0"/>
        <v>-0.52063983488132093</v>
      </c>
    </row>
    <row r="28" spans="1:10" x14ac:dyDescent="0.2">
      <c r="A28" s="47">
        <v>27</v>
      </c>
      <c r="B28" s="47">
        <v>21</v>
      </c>
      <c r="C28" s="68" t="s">
        <v>7</v>
      </c>
      <c r="D28" s="86" t="s">
        <v>50</v>
      </c>
      <c r="E28" s="55">
        <v>6941</v>
      </c>
      <c r="F28" s="55">
        <f>SUMIFS('Week 48 Nov 23 - Nov 29 2020'!F:F,'Week 48 Nov 23 - Nov 29 2020'!D:D,'Week 49 Nov 30 - Dec 6 2020'!D:D,'Week 48 Nov 23 - Nov 29 2020'!C:C,'Week 49 Nov 30 - Dec 6 2020'!C:C)+Table4042434650514448[[#This Row],[Week Sales]]</f>
        <v>442155</v>
      </c>
      <c r="G28" s="47" t="str">
        <f>(VLOOKUP(D:D,'Week 48 Nov 23 - Nov 29 2020'!D:G,4,FALSE))</f>
        <v>Nintendo</v>
      </c>
      <c r="H28" s="60">
        <f>(VLOOKUP(D:D,'Week 48 Nov 23 - Nov 29 2020'!D:H,5,FALSE))</f>
        <v>43987</v>
      </c>
      <c r="I28" s="55">
        <f>SUMIFS('Week 48 Nov 23 - Nov 29 2020'!E:E,'Week 48 Nov 23 - Nov 29 2020'!D:D,'Week 49 Nov 30 - Dec 6 2020'!D:D,'Week 48 Nov 23 - Nov 29 2020'!C:C,'Week 49 Nov 30 - Dec 6 2020'!C:C)</f>
        <v>5280</v>
      </c>
      <c r="J28" s="56">
        <f t="shared" si="0"/>
        <v>0.31458333333333333</v>
      </c>
    </row>
    <row r="29" spans="1:10" x14ac:dyDescent="0.2">
      <c r="A29" s="47">
        <v>28</v>
      </c>
      <c r="B29" s="47">
        <v>22</v>
      </c>
      <c r="C29" s="68" t="s">
        <v>7</v>
      </c>
      <c r="D29" s="86" t="s">
        <v>39</v>
      </c>
      <c r="E29" s="55">
        <v>6519</v>
      </c>
      <c r="F29" s="55">
        <f>SUMIFS('Week 48 Nov 23 - Nov 29 2020'!F:F,'Week 48 Nov 23 - Nov 29 2020'!D:D,'Week 49 Nov 30 - Dec 6 2020'!D:D,'Week 48 Nov 23 - Nov 29 2020'!C:C,'Week 49 Nov 30 - Dec 6 2020'!C:C)+Table4042434650514448[[#This Row],[Week Sales]]</f>
        <v>1696878</v>
      </c>
      <c r="G29" s="47" t="str">
        <f>(VLOOKUP(D:D,'Week 48 Nov 23 - Nov 29 2020'!D:G,4,FALSE))</f>
        <v>Nintendo</v>
      </c>
      <c r="H29" s="60">
        <f>(VLOOKUP(D:D,'Week 48 Nov 23 - Nov 29 2020'!D:H,5,FALSE))</f>
        <v>42797</v>
      </c>
      <c r="I29" s="55">
        <f>SUMIFS('Week 48 Nov 23 - Nov 29 2020'!E:E,'Week 48 Nov 23 - Nov 29 2020'!D:D,'Week 49 Nov 30 - Dec 6 2020'!D:D,'Week 48 Nov 23 - Nov 29 2020'!C:C,'Week 49 Nov 30 - Dec 6 2020'!C:C)</f>
        <v>5244</v>
      </c>
      <c r="J29" s="56">
        <f t="shared" si="0"/>
        <v>0.24313501144164759</v>
      </c>
    </row>
    <row r="30" spans="1:10" x14ac:dyDescent="0.2">
      <c r="A30" s="47">
        <v>29</v>
      </c>
      <c r="B30" s="47">
        <v>23</v>
      </c>
      <c r="C30" s="68" t="s">
        <v>7</v>
      </c>
      <c r="D30" s="86" t="s">
        <v>17</v>
      </c>
      <c r="E30" s="55">
        <v>6319</v>
      </c>
      <c r="F30" s="55">
        <f>SUMIFS('Week 48 Nov 23 - Nov 29 2020'!F:F,'Week 48 Nov 23 - Nov 29 2020'!D:D,'Week 49 Nov 30 - Dec 6 2020'!D:D,'Week 48 Nov 23 - Nov 29 2020'!C:C,'Week 49 Nov 30 - Dec 6 2020'!C:C)+Table4042434650514448[[#This Row],[Week Sales]]</f>
        <v>941851</v>
      </c>
      <c r="G30" s="47" t="str">
        <f>(VLOOKUP(D:D,'Week 48 Nov 23 - Nov 29 2020'!D:G,4,FALSE))</f>
        <v>Nintendo</v>
      </c>
      <c r="H30" s="60">
        <f>(VLOOKUP(D:D,'Week 48 Nov 23 - Nov 29 2020'!D:H,5,FALSE))</f>
        <v>43476</v>
      </c>
      <c r="I30" s="55">
        <f>SUMIFS('Week 48 Nov 23 - Nov 29 2020'!E:E,'Week 48 Nov 23 - Nov 29 2020'!D:D,'Week 49 Nov 30 - Dec 6 2020'!D:D,'Week 48 Nov 23 - Nov 29 2020'!C:C,'Week 49 Nov 30 - Dec 6 2020'!C:C)</f>
        <v>4629</v>
      </c>
      <c r="J30" s="56">
        <f t="shared" si="0"/>
        <v>0.36508965219269823</v>
      </c>
    </row>
    <row r="31" spans="1:10" x14ac:dyDescent="0.2">
      <c r="A31" s="125">
        <v>30</v>
      </c>
      <c r="B31" s="125" t="s">
        <v>36</v>
      </c>
      <c r="C31" s="87" t="s">
        <v>7</v>
      </c>
      <c r="D31" s="9" t="s">
        <v>305</v>
      </c>
      <c r="E31" s="126">
        <v>6190</v>
      </c>
      <c r="F31" s="73">
        <f>SUMIFS('Week 48 Nov 23 - Nov 29 2020'!F:F,'Week 48 Nov 23 - Nov 29 2020'!D:D,'Week 49 Nov 30 - Dec 6 2020'!D:D,'Week 48 Nov 23 - Nov 29 2020'!C:C,'Week 49 Nov 30 - Dec 6 2020'!C:C)+Table4042434650514448[[#This Row],[Week Sales]]</f>
        <v>6190</v>
      </c>
      <c r="G31" s="46" t="s">
        <v>306</v>
      </c>
      <c r="H31" s="72">
        <v>44168</v>
      </c>
      <c r="I31" s="73" t="s">
        <v>36</v>
      </c>
      <c r="J31" s="127" t="str">
        <f t="shared" si="0"/>
        <v>New</v>
      </c>
    </row>
    <row r="33" spans="4:5" x14ac:dyDescent="0.2">
      <c r="D33" s="2" t="s">
        <v>59</v>
      </c>
      <c r="E33" s="2">
        <f>SUM(E2:E31)</f>
        <v>686502</v>
      </c>
    </row>
    <row r="34" spans="4:5" x14ac:dyDescent="0.2">
      <c r="D34" s="100" t="s">
        <v>178</v>
      </c>
      <c r="E34" s="101">
        <f>SUM('Week 48 Nov 23 - Nov 29 2020'!E34,'Week 49 Nov 30 - Dec 6 2020'!E33)</f>
        <v>21764787</v>
      </c>
    </row>
    <row r="35" spans="4:5" x14ac:dyDescent="0.2">
      <c r="D35" s="2" t="s">
        <v>60</v>
      </c>
      <c r="E35" s="2">
        <f>AVERAGE(E2:E31)</f>
        <v>22883.4</v>
      </c>
    </row>
    <row r="36" spans="4:5" x14ac:dyDescent="0.2">
      <c r="D36" s="9" t="s">
        <v>78</v>
      </c>
      <c r="E36" s="10">
        <f>COUNTIF(B:B,"New")</f>
        <v>9</v>
      </c>
    </row>
    <row r="38" spans="4:5" x14ac:dyDescent="0.2">
      <c r="D38" t="s">
        <v>66</v>
      </c>
    </row>
    <row r="39" spans="4:5" x14ac:dyDescent="0.2">
      <c r="D39" s="8" t="s">
        <v>67</v>
      </c>
    </row>
    <row r="40" spans="4:5" x14ac:dyDescent="0.2">
      <c r="D40" s="8" t="s">
        <v>65</v>
      </c>
    </row>
    <row r="41" spans="4:5" x14ac:dyDescent="0.2">
      <c r="D41" s="8" t="s">
        <v>71</v>
      </c>
    </row>
  </sheetData>
  <hyperlinks>
    <hyperlink ref="D40" r:id="rId1" xr:uid="{D2A9AA12-6546-6B4B-8DFB-C4B37B9FC2EF}"/>
    <hyperlink ref="D39" r:id="rId2" xr:uid="{880FCBA7-D569-7A48-A210-2F99CD4B66DD}"/>
    <hyperlink ref="D41" r:id="rId3" xr:uid="{6C69738A-7B3D-E54B-BCD5-F014D9F12D0F}"/>
  </hyperlinks>
  <pageMargins left="0.7" right="0.7" top="0.75" bottom="0.75" header="0.3" footer="0.3"/>
  <ignoredErrors>
    <ignoredError sqref="G1 H1:H11 G3:G11 I2:J31 G13:H31" calculatedColumn="1"/>
  </ignoredErrors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7DE71-F450-5244-BA37-5F16B0AF6F23}">
  <dimension ref="A1:J42"/>
  <sheetViews>
    <sheetView workbookViewId="0">
      <selection activeCell="D12" sqref="D12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3.8320312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0" x14ac:dyDescent="0.2">
      <c r="A2" s="27">
        <v>1</v>
      </c>
      <c r="B2" s="18">
        <v>2</v>
      </c>
      <c r="C2" s="18" t="s">
        <v>7</v>
      </c>
      <c r="D2" s="94" t="s">
        <v>45</v>
      </c>
      <c r="E2" s="12">
        <v>30111</v>
      </c>
      <c r="F2" s="12">
        <f>SUMIFS(Table367498[Total Sales],Table367498[Title],Table36749853[Title],Table367498[System],Table36749853[System])+Table36749853[[#This Row],[Week Sales]]</f>
        <v>652757</v>
      </c>
      <c r="G2" s="18" t="str">
        <f>(VLOOKUP(D:D,'Week 3 Jan 13 - Jan 19 2020'!D:G,4,FALSE))</f>
        <v>Nintendo</v>
      </c>
      <c r="H2" s="67">
        <f>(VLOOKUP(D:D,'Week 3 Jan 13 - Jan 19 2020'!D:H,5,FALSE))</f>
        <v>43756</v>
      </c>
      <c r="I2" s="12">
        <f>_xlfn.IFNA(VLOOKUP('Week 5 Jan 27 - Feb 2 2020'!D:D,'Week 4 Jan 20 - Jan 26 2020'!D:E, 2, FALSE),"New")</f>
        <v>39217</v>
      </c>
      <c r="J2" s="28">
        <f>IFERROR((E2-I2)/I2,"New")</f>
        <v>-0.23219522146008109</v>
      </c>
    </row>
    <row r="3" spans="1:10" x14ac:dyDescent="0.2">
      <c r="A3" s="27">
        <v>2</v>
      </c>
      <c r="B3" s="27">
        <v>3</v>
      </c>
      <c r="C3" s="18" t="s">
        <v>7</v>
      </c>
      <c r="D3" s="86" t="s">
        <v>62</v>
      </c>
      <c r="E3" s="12">
        <v>29429</v>
      </c>
      <c r="F3" s="12">
        <f>SUMIFS(Table367498[Total Sales],Table367498[Title],Table36749853[Title],Table367498[System],Table36749853[System])+Table36749853[[#This Row],[Week Sales]]</f>
        <v>3379737</v>
      </c>
      <c r="G3" s="18" t="str">
        <f>(VLOOKUP(D:D,'Week 3 Jan 13 - Jan 19 2020'!D:G,4,FALSE))</f>
        <v>The Pokemon Company</v>
      </c>
      <c r="H3" s="67">
        <f>(VLOOKUP(D:D,'Week 3 Jan 13 - Jan 19 2020'!D:H,5,FALSE))</f>
        <v>43784</v>
      </c>
      <c r="I3" s="12">
        <f>_xlfn.IFNA(VLOOKUP('Week 5 Jan 27 - Feb 2 2020'!D:D,'Week 4 Jan 20 - Jan 26 2020'!D:E, 2, FALSE),"New")</f>
        <v>37950</v>
      </c>
      <c r="J3" s="28">
        <f t="shared" ref="J3:J24" si="0">IFERROR((E3-I3)/I3,"New")</f>
        <v>-0.22453227931488801</v>
      </c>
    </row>
    <row r="4" spans="1:10" x14ac:dyDescent="0.2">
      <c r="A4" s="27">
        <v>3</v>
      </c>
      <c r="B4" s="27">
        <v>1</v>
      </c>
      <c r="C4" s="18" t="s">
        <v>8</v>
      </c>
      <c r="D4" s="47" t="s">
        <v>181</v>
      </c>
      <c r="E4" s="71">
        <v>21158</v>
      </c>
      <c r="F4" s="12">
        <f>SUMIFS(Table367498[Total Sales],Table367498[Title],Table36749853[Title],Table367498[System],Table36749853[System])+Table36749853[[#This Row],[Week Sales]]</f>
        <v>217870</v>
      </c>
      <c r="G4" s="18" t="str">
        <f>(VLOOKUP(D:D,'Week 3 Jan 13 - Jan 19 2020'!D:G,4,FALSE))</f>
        <v>Sega</v>
      </c>
      <c r="H4" s="67">
        <f>(VLOOKUP(D:D,'Week 3 Jan 13 - Jan 19 2020'!D:H,5,FALSE))</f>
        <v>43847</v>
      </c>
      <c r="I4" s="12">
        <f>_xlfn.IFNA(VLOOKUP('Week 5 Jan 27 - Feb 2 2020'!D:D,'Week 4 Jan 20 - Jan 26 2020'!D:E, 2, FALSE),"New")</f>
        <v>39719</v>
      </c>
      <c r="J4" s="28">
        <f t="shared" si="0"/>
        <v>-0.46730783755885091</v>
      </c>
    </row>
    <row r="5" spans="1:10" x14ac:dyDescent="0.2">
      <c r="A5" s="27">
        <v>4</v>
      </c>
      <c r="B5" s="27">
        <v>4</v>
      </c>
      <c r="C5" s="18" t="s">
        <v>8</v>
      </c>
      <c r="D5" s="47" t="s">
        <v>182</v>
      </c>
      <c r="E5" s="12">
        <v>13866</v>
      </c>
      <c r="F5" s="12">
        <f>SUMIFS(Table367498[Total Sales],Table367498[Title],Table36749853[Title],Table367498[System],Table36749853[System])+Table36749853[[#This Row],[Week Sales]]</f>
        <v>129072</v>
      </c>
      <c r="G5" s="18" t="str">
        <f>(VLOOKUP(D:D,'Week 3 Jan 13 - Jan 19 2020'!D:G,4,FALSE))</f>
        <v>Bandai Namco</v>
      </c>
      <c r="H5" s="67">
        <f>(VLOOKUP(D:D,'Week 3 Jan 13 - Jan 19 2020'!D:H,5,FALSE))</f>
        <v>43847</v>
      </c>
      <c r="I5" s="12">
        <f>_xlfn.IFNA(VLOOKUP('Week 5 Jan 27 - Feb 2 2020'!D:D,'Week 4 Jan 20 - Jan 26 2020'!D:E, 2, FALSE),"New")</f>
        <v>25669</v>
      </c>
      <c r="J5" s="28">
        <f t="shared" si="0"/>
        <v>-0.45981534146246444</v>
      </c>
    </row>
    <row r="6" spans="1:10" x14ac:dyDescent="0.2">
      <c r="A6" s="27">
        <v>5</v>
      </c>
      <c r="B6" s="18">
        <v>5</v>
      </c>
      <c r="C6" s="18" t="s">
        <v>7</v>
      </c>
      <c r="D6" s="86" t="s">
        <v>16</v>
      </c>
      <c r="E6" s="12">
        <v>11958</v>
      </c>
      <c r="F6" s="12">
        <f>SUMIFS(Table367498[Total Sales],Table367498[Title],Table36749853[Title],Table367498[System],Table36749853[System])+Table36749853[[#This Row],[Week Sales]]</f>
        <v>132531</v>
      </c>
      <c r="G6" s="18" t="str">
        <f>(VLOOKUP(D:D,'Week 3 Jan 13 - Jan 19 2020'!D:G,4,FALSE))</f>
        <v>Nintendo</v>
      </c>
      <c r="H6" s="67">
        <f>(VLOOKUP(D:D,'Week 3 Jan 13 - Jan 19 2020'!D:H,5,FALSE))</f>
        <v>43826</v>
      </c>
      <c r="I6" s="12">
        <f>_xlfn.IFNA(VLOOKUP('Week 5 Jan 27 - Feb 2 2020'!D:D,'Week 4 Jan 20 - Jan 26 2020'!D:E, 2, FALSE),"New")</f>
        <v>12875</v>
      </c>
      <c r="J6" s="28">
        <f t="shared" si="0"/>
        <v>-7.1223300970873787E-2</v>
      </c>
    </row>
    <row r="7" spans="1:10" x14ac:dyDescent="0.2">
      <c r="A7" s="27">
        <v>6</v>
      </c>
      <c r="B7" s="27">
        <v>7</v>
      </c>
      <c r="C7" s="18" t="s">
        <v>7</v>
      </c>
      <c r="D7" s="86" t="s">
        <v>52</v>
      </c>
      <c r="E7" s="12">
        <v>10592</v>
      </c>
      <c r="F7" s="12">
        <f>SUMIFS(Table367498[Total Sales],Table367498[Title],Table36749853[Title],Table367498[System],Table36749853[System])+Table36749853[[#This Row],[Week Sales]]</f>
        <v>3543321</v>
      </c>
      <c r="G7" s="18" t="str">
        <f>(VLOOKUP(D:D,'Week 3 Jan 13 - Jan 19 2020'!D:G,4,FALSE))</f>
        <v>Nintendo</v>
      </c>
      <c r="H7" s="67">
        <f>(VLOOKUP(D:D,'Week 3 Jan 13 - Jan 19 2020'!D:H,5,FALSE))</f>
        <v>43441</v>
      </c>
      <c r="I7" s="12">
        <f>_xlfn.IFNA(VLOOKUP('Week 5 Jan 27 - Feb 2 2020'!D:D,'Week 4 Jan 20 - Jan 26 2020'!D:E, 2, FALSE),"New")</f>
        <v>9927</v>
      </c>
      <c r="J7" s="28">
        <f t="shared" si="0"/>
        <v>6.6989019844867534E-2</v>
      </c>
    </row>
    <row r="8" spans="1:10" x14ac:dyDescent="0.2">
      <c r="A8" s="27">
        <v>7</v>
      </c>
      <c r="B8" s="27">
        <v>6</v>
      </c>
      <c r="C8" s="18" t="s">
        <v>7</v>
      </c>
      <c r="D8" s="86" t="s">
        <v>12</v>
      </c>
      <c r="E8" s="12">
        <v>10067</v>
      </c>
      <c r="F8" s="12">
        <f>SUMIFS(Table367498[Total Sales],Table367498[Title],Table36749853[Title],Table367498[System],Table36749853[System])+Table36749853[[#This Row],[Week Sales]]</f>
        <v>1243560</v>
      </c>
      <c r="G8" s="18" t="str">
        <f>(VLOOKUP(D:D,'Week 3 Jan 13 - Jan 19 2020'!D:G,4,FALSE))</f>
        <v>Microsoft</v>
      </c>
      <c r="H8" s="67">
        <f>(VLOOKUP(D:D,'Week 3 Jan 13 - Jan 19 2020'!D:H,5,FALSE))</f>
        <v>43272</v>
      </c>
      <c r="I8" s="12">
        <f>_xlfn.IFNA(VLOOKUP('Week 5 Jan 27 - Feb 2 2020'!D:D,'Week 4 Jan 20 - Jan 26 2020'!D:E, 2, FALSE),"New")</f>
        <v>10827</v>
      </c>
      <c r="J8" s="28">
        <f t="shared" si="0"/>
        <v>-7.0194883162464208E-2</v>
      </c>
    </row>
    <row r="9" spans="1:10" x14ac:dyDescent="0.2">
      <c r="A9" s="27">
        <v>8</v>
      </c>
      <c r="B9" s="27">
        <v>8</v>
      </c>
      <c r="C9" s="18" t="s">
        <v>7</v>
      </c>
      <c r="D9" s="86" t="s">
        <v>49</v>
      </c>
      <c r="E9" s="12">
        <v>9810</v>
      </c>
      <c r="F9" s="12">
        <f>SUMIFS(Table367498[Total Sales],Table367498[Title],Table36749853[Title],Table367498[System],Table36749853[System])+Table36749853[[#This Row],[Week Sales]]</f>
        <v>2756492</v>
      </c>
      <c r="G9" s="18" t="str">
        <f>(VLOOKUP(D:D,'Week 3 Jan 13 - Jan 19 2020'!D:G,4,FALSE))</f>
        <v>Nintendo</v>
      </c>
      <c r="H9" s="67">
        <f>(VLOOKUP(D:D,'Week 3 Jan 13 - Jan 19 2020'!D:H,5,FALSE))</f>
        <v>42853</v>
      </c>
      <c r="I9" s="12">
        <f>_xlfn.IFNA(VLOOKUP('Week 5 Jan 27 - Feb 2 2020'!D:D,'Week 4 Jan 20 - Jan 26 2020'!D:E, 2, FALSE),"New")</f>
        <v>9008</v>
      </c>
      <c r="J9" s="28">
        <f t="shared" si="0"/>
        <v>8.9031971580817049E-2</v>
      </c>
    </row>
    <row r="10" spans="1:10" x14ac:dyDescent="0.2">
      <c r="A10" s="27">
        <v>9</v>
      </c>
      <c r="B10" s="27">
        <v>12</v>
      </c>
      <c r="C10" s="18" t="s">
        <v>7</v>
      </c>
      <c r="D10" s="86" t="s">
        <v>13</v>
      </c>
      <c r="E10" s="12">
        <v>5781</v>
      </c>
      <c r="F10" s="12">
        <f>SUMIFS(Table367498[Total Sales],Table367498[Title],Table36749853[Title],Table367498[System],Table36749853[System])+Table36749853[[#This Row],[Week Sales]]</f>
        <v>1330145</v>
      </c>
      <c r="G10" s="18" t="str">
        <f>(VLOOKUP(D:D,'Week 3 Jan 13 - Jan 19 2020'!D:G,4,FALSE))</f>
        <v>Nintendo</v>
      </c>
      <c r="H10" s="67">
        <f>(VLOOKUP(D:D,'Week 3 Jan 13 - Jan 19 2020'!D:H,5,FALSE))</f>
        <v>43378</v>
      </c>
      <c r="I10" s="12">
        <f>_xlfn.IFNA(VLOOKUP('Week 5 Jan 27 - Feb 2 2020'!D:D,'Week 4 Jan 20 - Jan 26 2020'!D:E, 2, FALSE),"New")</f>
        <v>5501</v>
      </c>
      <c r="J10" s="28">
        <f t="shared" si="0"/>
        <v>5.0899836393383024E-2</v>
      </c>
    </row>
    <row r="11" spans="1:10" x14ac:dyDescent="0.2">
      <c r="A11" s="27">
        <v>10</v>
      </c>
      <c r="B11" s="27">
        <v>10</v>
      </c>
      <c r="C11" s="18" t="s">
        <v>7</v>
      </c>
      <c r="D11" s="86" t="s">
        <v>10</v>
      </c>
      <c r="E11" s="12">
        <v>5640</v>
      </c>
      <c r="F11" s="12">
        <f>SUMIFS(Table367498[Total Sales],Table367498[Title],Table36749853[Title],Table367498[System],Table36749853[System])+Table36749853[[#This Row],[Week Sales]]</f>
        <v>3306848</v>
      </c>
      <c r="G11" s="18" t="str">
        <f>(VLOOKUP(D:D,'Week 3 Jan 13 - Jan 19 2020'!D:G,4,FALSE))</f>
        <v>Nintendo</v>
      </c>
      <c r="H11" s="67">
        <f>(VLOOKUP(D:D,'Week 3 Jan 13 - Jan 19 2020'!D:H,5,FALSE))</f>
        <v>42937</v>
      </c>
      <c r="I11" s="12">
        <f>_xlfn.IFNA(VLOOKUP('Week 5 Jan 27 - Feb 2 2020'!D:D,'Week 4 Jan 20 - Jan 26 2020'!D:E, 2, FALSE),"New")</f>
        <v>5915</v>
      </c>
      <c r="J11" s="28">
        <f t="shared" si="0"/>
        <v>-4.6491969568892642E-2</v>
      </c>
    </row>
    <row r="12" spans="1:10" x14ac:dyDescent="0.2">
      <c r="A12" s="27">
        <v>11</v>
      </c>
      <c r="B12" s="27">
        <v>9</v>
      </c>
      <c r="C12" s="18" t="s">
        <v>7</v>
      </c>
      <c r="D12" s="86" t="s">
        <v>79</v>
      </c>
      <c r="E12" s="12">
        <v>5310</v>
      </c>
      <c r="F12" s="12">
        <f>SUMIFS(Table367498[Total Sales],Table367498[Title],Table36749853[Title],Table367498[System],Table36749853[System])+Table36749853[[#This Row],[Week Sales]]</f>
        <v>590122</v>
      </c>
      <c r="G12" s="18" t="str">
        <f>(VLOOKUP(D:D,'Week 3 Jan 13 - Jan 19 2020'!D:G,4,FALSE))</f>
        <v>Nintendo</v>
      </c>
      <c r="H12" s="67">
        <f>(VLOOKUP(D:D,'Week 3 Jan 13 - Jan 19 2020'!D:H,5,FALSE))</f>
        <v>43769</v>
      </c>
      <c r="I12" s="12">
        <f>_xlfn.IFNA(VLOOKUP('Week 5 Jan 27 - Feb 2 2020'!D:D,'Week 4 Jan 20 - Jan 26 2020'!D:E, 2, FALSE),"New")</f>
        <v>6065</v>
      </c>
      <c r="J12" s="28">
        <f t="shared" si="0"/>
        <v>-0.12448474855729597</v>
      </c>
    </row>
    <row r="13" spans="1:10" x14ac:dyDescent="0.2">
      <c r="A13" s="27">
        <v>12</v>
      </c>
      <c r="B13" s="27">
        <v>15</v>
      </c>
      <c r="C13" s="18" t="s">
        <v>7</v>
      </c>
      <c r="D13" s="86" t="s">
        <v>39</v>
      </c>
      <c r="E13" s="12">
        <v>4901</v>
      </c>
      <c r="F13" s="12">
        <f>SUMIFS(Table367498[Total Sales],Table367498[Title],Table36749853[Title],Table367498[System],Table36749853[System])+Table36749853[[#This Row],[Week Sales]]</f>
        <v>1511749</v>
      </c>
      <c r="G13" s="18" t="str">
        <f>(VLOOKUP(D:D,'Week 3 Jan 13 - Jan 19 2020'!D:G,4,FALSE))</f>
        <v>Nintendo</v>
      </c>
      <c r="H13" s="67">
        <f>(VLOOKUP(D:D,'Week 3 Jan 13 - Jan 19 2020'!D:H,5,FALSE))</f>
        <v>42797</v>
      </c>
      <c r="I13" s="12">
        <f>_xlfn.IFNA(VLOOKUP('Week 5 Jan 27 - Feb 2 2020'!D:D,'Week 4 Jan 20 - Jan 26 2020'!D:E, 2, FALSE),"New")</f>
        <v>4322</v>
      </c>
      <c r="J13" s="28">
        <f t="shared" si="0"/>
        <v>0.13396575659416937</v>
      </c>
    </row>
    <row r="14" spans="1:10" x14ac:dyDescent="0.2">
      <c r="A14" s="27">
        <v>13</v>
      </c>
      <c r="B14" s="27">
        <v>17</v>
      </c>
      <c r="C14" s="18" t="s">
        <v>7</v>
      </c>
      <c r="D14" s="86" t="s">
        <v>19</v>
      </c>
      <c r="E14" s="12">
        <v>4368</v>
      </c>
      <c r="F14" s="12">
        <f>SUMIFS(Table367498[Total Sales],Table367498[Title],Table36749853[Title],Table367498[System],Table36749853[System])+Table36749853[[#This Row],[Week Sales]]</f>
        <v>847904</v>
      </c>
      <c r="G14" s="18" t="str">
        <f>(VLOOKUP(D:D,'Week 3 Jan 13 - Jan 19 2020'!D:G,4,FALSE))</f>
        <v>Nintendo</v>
      </c>
      <c r="H14" s="67">
        <f>(VLOOKUP(D:D,'Week 3 Jan 13 - Jan 19 2020'!D:H,5,FALSE))</f>
        <v>43644</v>
      </c>
      <c r="I14" s="12">
        <f>_xlfn.IFNA(VLOOKUP('Week 5 Jan 27 - Feb 2 2020'!D:D,'Week 4 Jan 20 - Jan 26 2020'!D:E, 2, FALSE),"New")</f>
        <v>4222</v>
      </c>
      <c r="J14" s="28">
        <f t="shared" si="0"/>
        <v>3.458076740881099E-2</v>
      </c>
    </row>
    <row r="15" spans="1:10" x14ac:dyDescent="0.2">
      <c r="A15" s="27">
        <v>14</v>
      </c>
      <c r="B15" s="27">
        <v>18</v>
      </c>
      <c r="C15" s="18" t="s">
        <v>7</v>
      </c>
      <c r="D15" s="86" t="s">
        <v>20</v>
      </c>
      <c r="E15" s="12">
        <v>4142</v>
      </c>
      <c r="F15" s="12">
        <f>SUMIFS(Table367498[Total Sales],Table367498[Title],Table36749853[Title],Table367498[System],Table36749853[System])+Table36749853[[#This Row],[Week Sales]]</f>
        <v>385966</v>
      </c>
      <c r="G15" s="18" t="str">
        <f>(VLOOKUP(D:D,'Week 3 Jan 13 - Jan 19 2020'!D:G,4,FALSE))</f>
        <v>Bandai Namco</v>
      </c>
      <c r="H15" s="67">
        <f>(VLOOKUP(D:D,'Week 3 Jan 13 - Jan 19 2020'!D:H,5,FALSE))</f>
        <v>43671</v>
      </c>
      <c r="I15" s="12">
        <f>_xlfn.IFNA(VLOOKUP('Week 5 Jan 27 - Feb 2 2020'!D:D,'Week 4 Jan 20 - Jan 26 2020'!D:E, 2, FALSE),"New")</f>
        <v>4153</v>
      </c>
      <c r="J15" s="28">
        <f t="shared" si="0"/>
        <v>-2.6486876956417047E-3</v>
      </c>
    </row>
    <row r="16" spans="1:10" x14ac:dyDescent="0.2">
      <c r="A16" s="27">
        <v>15</v>
      </c>
      <c r="B16" s="27">
        <v>13</v>
      </c>
      <c r="C16" s="18" t="s">
        <v>7</v>
      </c>
      <c r="D16" s="86" t="s">
        <v>80</v>
      </c>
      <c r="E16" s="12">
        <v>4053</v>
      </c>
      <c r="F16" s="12">
        <f>SUMIFS(Table367498[Total Sales],Table367498[Title],Table36749853[Title],Table367498[System],Table36749853[System])+Table36749853[[#This Row],[Week Sales]]</f>
        <v>264635</v>
      </c>
      <c r="G16" s="18" t="str">
        <f>(VLOOKUP(D:D,'Week 3 Jan 13 - Jan 19 2020'!D:G,4,FALSE))</f>
        <v>Sega</v>
      </c>
      <c r="H16" s="67">
        <f>(VLOOKUP(D:D,'Week 3 Jan 13 - Jan 19 2020'!D:H,5,FALSE))</f>
        <v>43770</v>
      </c>
      <c r="I16" s="12">
        <f>_xlfn.IFNA(VLOOKUP('Week 5 Jan 27 - Feb 2 2020'!D:D,'Week 4 Jan 20 - Jan 26 2020'!D:E, 2, FALSE),"New")</f>
        <v>4882</v>
      </c>
      <c r="J16" s="28">
        <f t="shared" si="0"/>
        <v>-0.16980745596067184</v>
      </c>
    </row>
    <row r="17" spans="1:10" x14ac:dyDescent="0.2">
      <c r="A17" s="27">
        <v>16</v>
      </c>
      <c r="B17" s="27">
        <v>26</v>
      </c>
      <c r="C17" s="18" t="s">
        <v>8</v>
      </c>
      <c r="D17" s="86" t="s">
        <v>117</v>
      </c>
      <c r="E17" s="12">
        <v>3930</v>
      </c>
      <c r="F17" s="12">
        <f>SUMIFS(Table367498[Total Sales],Table367498[Title],Table36749853[Title],Table367498[System],Table36749853[System])+Table36749853[[#This Row],[Week Sales]]</f>
        <v>63415</v>
      </c>
      <c r="G17" s="18" t="str">
        <f>(VLOOKUP(D:D,'Week 3 Jan 13 - Jan 19 2020'!D:G,4,FALSE))</f>
        <v>Atlus</v>
      </c>
      <c r="H17" s="67">
        <f>(VLOOKUP(D:D,'Week 3 Jan 13 - Jan 19 2020'!D:H,5,FALSE))</f>
        <v>43797</v>
      </c>
      <c r="I17" s="12">
        <f>_xlfn.IFNA(VLOOKUP('Week 5 Jan 27 - Feb 2 2020'!D:D,'Week 4 Jan 20 - Jan 26 2020'!D:E, 2, FALSE),"New")</f>
        <v>1804</v>
      </c>
      <c r="J17" s="28">
        <f t="shared" si="0"/>
        <v>1.1784922394678492</v>
      </c>
    </row>
    <row r="18" spans="1:10" x14ac:dyDescent="0.2">
      <c r="A18" s="27">
        <v>17</v>
      </c>
      <c r="B18" s="27">
        <v>11</v>
      </c>
      <c r="C18" s="18" t="s">
        <v>8</v>
      </c>
      <c r="D18" s="47" t="s">
        <v>180</v>
      </c>
      <c r="E18" s="12">
        <v>3537</v>
      </c>
      <c r="F18" s="12">
        <f>SUMIFS(Table367498[Total Sales],Table367498[Title],Table36749853[Title],Table367498[System],Table36749853[System])+Table36749853[[#This Row],[Week Sales]]</f>
        <v>29372</v>
      </c>
      <c r="G18" s="18" t="str">
        <f>(VLOOKUP(D:D,'Week 3 Jan 13 - Jan 19 2020'!D:G,4,FALSE))</f>
        <v>Koei Tecmo</v>
      </c>
      <c r="H18" s="67">
        <f>(VLOOKUP(D:D,'Week 3 Jan 13 - Jan 19 2020'!D:H,5,FALSE))</f>
        <v>43847</v>
      </c>
      <c r="I18" s="12">
        <f>_xlfn.IFNA(VLOOKUP('Week 5 Jan 27 - Feb 2 2020'!D:D,'Week 4 Jan 20 - Jan 26 2020'!D:E, 2, FALSE),"New")</f>
        <v>5740</v>
      </c>
      <c r="J18" s="28">
        <f t="shared" si="0"/>
        <v>-0.38379790940766551</v>
      </c>
    </row>
    <row r="19" spans="1:10" x14ac:dyDescent="0.2">
      <c r="A19" s="27">
        <v>18</v>
      </c>
      <c r="B19" s="27">
        <v>20</v>
      </c>
      <c r="C19" s="18" t="s">
        <v>7</v>
      </c>
      <c r="D19" s="86" t="s">
        <v>17</v>
      </c>
      <c r="E19" s="12">
        <v>3253</v>
      </c>
      <c r="F19" s="12">
        <f>SUMIFS(Table367498[Total Sales],Table367498[Title],Table36749853[Title],Table367498[System],Table36749853[System])+Table36749853[[#This Row],[Week Sales]]</f>
        <v>774723</v>
      </c>
      <c r="G19" s="18" t="str">
        <f>(VLOOKUP(D:D,'Week 3 Jan 13 - Jan 19 2020'!D:G,4,FALSE))</f>
        <v>Nintendo</v>
      </c>
      <c r="H19" s="67">
        <f>(VLOOKUP(D:D,'Week 3 Jan 13 - Jan 19 2020'!D:H,5,FALSE))</f>
        <v>43476</v>
      </c>
      <c r="I19" s="12">
        <f>_xlfn.IFNA(VLOOKUP('Week 5 Jan 27 - Feb 2 2020'!D:D,'Week 4 Jan 20 - Jan 26 2020'!D:E, 2, FALSE),"New")</f>
        <v>2798</v>
      </c>
      <c r="J19" s="28">
        <f t="shared" si="0"/>
        <v>0.16261615439599714</v>
      </c>
    </row>
    <row r="20" spans="1:10" x14ac:dyDescent="0.2">
      <c r="A20" s="27">
        <v>19</v>
      </c>
      <c r="B20" s="27">
        <v>21</v>
      </c>
      <c r="C20" s="18" t="s">
        <v>7</v>
      </c>
      <c r="D20" s="86" t="s">
        <v>83</v>
      </c>
      <c r="E20" s="12">
        <v>2562</v>
      </c>
      <c r="F20" s="12">
        <f>SUMIFS(Table367498[Total Sales],Table367498[Title],Table36749853[Title],Table367498[System],Table36749853[System])+Table36749853[[#This Row],[Week Sales]]</f>
        <v>482833</v>
      </c>
      <c r="G20" s="18" t="str">
        <f>(VLOOKUP(D:D,'Week 3 Jan 13 - Jan 19 2020'!D:G,4,FALSE))</f>
        <v>Square Enix</v>
      </c>
      <c r="H20" s="67">
        <f>(VLOOKUP(D:D,'Week 3 Jan 13 - Jan 19 2020'!D:H,5,FALSE))</f>
        <v>43735</v>
      </c>
      <c r="I20" s="12">
        <f>_xlfn.IFNA(VLOOKUP('Week 5 Jan 27 - Feb 2 2020'!D:D,'Week 4 Jan 20 - Jan 26 2020'!D:E, 2, FALSE),"New")</f>
        <v>2489</v>
      </c>
      <c r="J20" s="28">
        <f t="shared" si="0"/>
        <v>2.9329047810365608E-2</v>
      </c>
    </row>
    <row r="21" spans="1:10" x14ac:dyDescent="0.2">
      <c r="A21" s="27">
        <v>20</v>
      </c>
      <c r="B21" s="27">
        <v>16</v>
      </c>
      <c r="C21" s="18" t="s">
        <v>7</v>
      </c>
      <c r="D21" s="47" t="s">
        <v>183</v>
      </c>
      <c r="E21" s="12">
        <v>2526</v>
      </c>
      <c r="F21" s="12">
        <f>SUMIFS(Table367498[Total Sales],Table367498[Title],Table36749853[Title],Table367498[System],Table36749853[System])+Table36749853[[#This Row],[Week Sales]]</f>
        <v>25620</v>
      </c>
      <c r="G21" s="18" t="str">
        <f>(VLOOKUP(D:D,'Week 3 Jan 13 - Jan 19 2020'!D:G,4,FALSE))</f>
        <v>Nintendo</v>
      </c>
      <c r="H21" s="67">
        <f>(VLOOKUP(D:D,'Week 3 Jan 13 - Jan 19 2020'!D:H,5,FALSE))</f>
        <v>43847</v>
      </c>
      <c r="I21" s="12">
        <f>_xlfn.IFNA(VLOOKUP('Week 5 Jan 27 - Feb 2 2020'!D:D,'Week 4 Jan 20 - Jan 26 2020'!D:E, 2, FALSE),"New")</f>
        <v>4297</v>
      </c>
      <c r="J21" s="28">
        <f t="shared" si="0"/>
        <v>-0.4121480102397021</v>
      </c>
    </row>
    <row r="22" spans="1:10" x14ac:dyDescent="0.2">
      <c r="A22" s="27">
        <v>21</v>
      </c>
      <c r="B22" s="27">
        <v>24</v>
      </c>
      <c r="C22" s="18" t="s">
        <v>7</v>
      </c>
      <c r="D22" s="47" t="s">
        <v>185</v>
      </c>
      <c r="E22" s="12">
        <v>2316</v>
      </c>
      <c r="F22" s="12">
        <f>SUMIFS(Table367498[Total Sales],Table367498[Title],Table36749853[Title],Table367498[System],Table36749853[System])+Table36749853[[#This Row],[Week Sales]]</f>
        <v>285392</v>
      </c>
      <c r="G22" s="18" t="str">
        <f>(VLOOKUP(D:D,'Week 3 Jan 13 - Jan 19 2020'!D:G,4,FALSE))</f>
        <v>Nintendo</v>
      </c>
      <c r="H22" s="67">
        <f>(VLOOKUP(D:D,'Week 3 Jan 13 - Jan 19 2020'!D:H,5,FALSE))</f>
        <v>43672</v>
      </c>
      <c r="I22" s="12">
        <f>_xlfn.IFNA(VLOOKUP('Week 5 Jan 27 - Feb 2 2020'!D:D,'Week 4 Jan 20 - Jan 26 2020'!D:E, 2, FALSE),"New")</f>
        <v>2044</v>
      </c>
      <c r="J22" s="28">
        <f t="shared" si="0"/>
        <v>0.13307240704500978</v>
      </c>
    </row>
    <row r="23" spans="1:10" x14ac:dyDescent="0.2">
      <c r="A23" s="29">
        <v>22</v>
      </c>
      <c r="B23" s="31" t="s">
        <v>53</v>
      </c>
      <c r="C23" s="31" t="s">
        <v>7</v>
      </c>
      <c r="D23" s="31" t="s">
        <v>87</v>
      </c>
      <c r="E23" s="33">
        <v>2040</v>
      </c>
      <c r="F23" s="33">
        <v>56886</v>
      </c>
      <c r="G23" s="31" t="str">
        <f>(VLOOKUP(D:D,'Week 1 Dec 30 - Jan 5 2020'!D:G,4,FALSE))</f>
        <v>Electronic Arts</v>
      </c>
      <c r="H23" s="93">
        <f>(VLOOKUP(D:D,'Week 1 Dec 30 - Jan 5 2020'!D:H,5,FALSE))</f>
        <v>43735</v>
      </c>
      <c r="I23" s="33"/>
      <c r="J23" s="97"/>
    </row>
    <row r="24" spans="1:10" x14ac:dyDescent="0.2">
      <c r="A24" s="27">
        <v>23</v>
      </c>
      <c r="B24" s="27">
        <v>23</v>
      </c>
      <c r="C24" s="18" t="s">
        <v>7</v>
      </c>
      <c r="D24" s="86" t="s">
        <v>25</v>
      </c>
      <c r="E24" s="12">
        <v>2026</v>
      </c>
      <c r="F24" s="12">
        <f>SUMIFS(Table367498[Total Sales],Table367498[Title],Table36749853[Title],Table367498[System],Table36749853[System])+Table36749853[[#This Row],[Week Sales]]</f>
        <v>441354</v>
      </c>
      <c r="G24" s="18" t="str">
        <f>(VLOOKUP(D:D,'Week 3 Jan 13 - Jan 19 2020'!D:G,4,FALSE))</f>
        <v>Bandai Namco</v>
      </c>
      <c r="H24" s="67">
        <f>(VLOOKUP(D:D,'Week 3 Jan 13 - Jan 19 2020'!D:H,5,FALSE))</f>
        <v>43300</v>
      </c>
      <c r="I24" s="12">
        <f>_xlfn.IFNA(VLOOKUP('Week 5 Jan 27 - Feb 2 2020'!D:D,'Week 4 Jan 20 - Jan 26 2020'!D:E, 2, FALSE),"New")</f>
        <v>2050</v>
      </c>
      <c r="J24" s="28">
        <f t="shared" si="0"/>
        <v>-1.1707317073170732E-2</v>
      </c>
    </row>
    <row r="25" spans="1:10" x14ac:dyDescent="0.2">
      <c r="A25" s="27">
        <v>24</v>
      </c>
      <c r="B25" s="27">
        <v>22</v>
      </c>
      <c r="C25" s="18" t="s">
        <v>7</v>
      </c>
      <c r="D25" s="86" t="s">
        <v>26</v>
      </c>
      <c r="E25" s="12">
        <v>1923</v>
      </c>
      <c r="F25" s="12">
        <f>SUMIFS(Table367498[Total Sales],Table367498[Title],Table36749853[Title],Table367498[System],Table36749853[System])+Table36749853[[#This Row],[Week Sales]]</f>
        <v>2066877</v>
      </c>
      <c r="G25" s="18" t="str">
        <f>(VLOOKUP(D:D,'Week 3 Jan 13 - Jan 19 2020'!D:G,4,FALSE))</f>
        <v>Nintendo</v>
      </c>
      <c r="H25" s="67">
        <f>(VLOOKUP(D:D,'Week 3 Jan 13 - Jan 19 2020'!D:H,5,FALSE))</f>
        <v>43035</v>
      </c>
      <c r="I25" s="12">
        <f>_xlfn.IFNA(VLOOKUP('Week 5 Jan 27 - Feb 2 2020'!D:D,'Week 4 Jan 20 - Jan 26 2020'!D:E, 2, FALSE),"New")</f>
        <v>2099</v>
      </c>
      <c r="J25" s="28">
        <f>IFERROR((E25-I25)/I25,"New")</f>
        <v>-8.3849452120057164E-2</v>
      </c>
    </row>
    <row r="26" spans="1:10" x14ac:dyDescent="0.2">
      <c r="A26" s="27">
        <v>25</v>
      </c>
      <c r="B26" s="27">
        <v>25</v>
      </c>
      <c r="C26" s="18" t="s">
        <v>8</v>
      </c>
      <c r="D26" s="86" t="s">
        <v>99</v>
      </c>
      <c r="E26" s="12">
        <v>1880</v>
      </c>
      <c r="F26" s="12">
        <f>SUMIFS(Table367498[Total Sales],Table367498[Title],Table36749853[Title],Table367498[System],Table36749853[System])+Table36749853[[#This Row],[Week Sales]]</f>
        <v>430813</v>
      </c>
      <c r="G26" s="18" t="str">
        <f>(VLOOKUP(D:D,'Week 3 Jan 13 - Jan 19 2020'!D:G,4,FALSE))</f>
        <v>Capcom</v>
      </c>
      <c r="H26" s="67">
        <f>(VLOOKUP(D:D,'Week 3 Jan 13 - Jan 19 2020'!D:H,5,FALSE))</f>
        <v>43714</v>
      </c>
      <c r="I26" s="12">
        <f>_xlfn.IFNA(VLOOKUP('Week 5 Jan 27 - Feb 2 2020'!D:D,'Week 4 Jan 20 - Jan 26 2020'!D:E, 2, FALSE),"New")</f>
        <v>1988</v>
      </c>
      <c r="J26" s="28">
        <f t="shared" ref="J26:J31" si="1">IFERROR((E26-I26)/I26,"New")</f>
        <v>-5.4325955734406441E-2</v>
      </c>
    </row>
    <row r="27" spans="1:10" x14ac:dyDescent="0.2">
      <c r="A27" s="27">
        <v>26</v>
      </c>
      <c r="B27" s="27">
        <v>27</v>
      </c>
      <c r="C27" s="18" t="s">
        <v>7</v>
      </c>
      <c r="D27" s="86" t="s">
        <v>89</v>
      </c>
      <c r="E27" s="12">
        <v>1650</v>
      </c>
      <c r="F27" s="12">
        <f>SUMIFS(Table367498[Total Sales],Table367498[Title],Table36749853[Title],Table367498[System],Table36749853[System])+Table36749853[[#This Row],[Week Sales]]</f>
        <v>131969</v>
      </c>
      <c r="G27" s="18" t="str">
        <f>(VLOOKUP(D:D,'Week 3 Jan 13 - Jan 19 2020'!D:G,4,FALSE))</f>
        <v>Marvelous</v>
      </c>
      <c r="H27" s="67">
        <f>(VLOOKUP(D:D,'Week 3 Jan 13 - Jan 19 2020'!D:H,5,FALSE))</f>
        <v>43755</v>
      </c>
      <c r="I27" s="12">
        <f>_xlfn.IFNA(VLOOKUP('Week 5 Jan 27 - Feb 2 2020'!D:D,'Week 4 Jan 20 - Jan 26 2020'!D:E, 2, FALSE),"New")</f>
        <v>1757</v>
      </c>
      <c r="J27" s="28">
        <f t="shared" si="1"/>
        <v>-6.0899260102447353E-2</v>
      </c>
    </row>
    <row r="28" spans="1:10" x14ac:dyDescent="0.2">
      <c r="A28" s="29">
        <v>27</v>
      </c>
      <c r="B28" s="29" t="s">
        <v>53</v>
      </c>
      <c r="C28" s="31" t="s">
        <v>7</v>
      </c>
      <c r="D28" s="31" t="s">
        <v>120</v>
      </c>
      <c r="E28" s="33">
        <v>1624</v>
      </c>
      <c r="F28" s="33">
        <v>262542</v>
      </c>
      <c r="G28" s="31" t="str">
        <f>(VLOOKUP(D:D,'Week 2 Jan 6 - Jan 12 2020'!D:G,4,FALSE))</f>
        <v>Nintendo</v>
      </c>
      <c r="H28" s="93">
        <f>(VLOOKUP(D:D,'Week 2 Jan 6 - Jan 12 2020'!D:H,5,FALSE))</f>
        <v>43728</v>
      </c>
      <c r="I28" s="33"/>
      <c r="J28" s="97"/>
    </row>
    <row r="29" spans="1:10" x14ac:dyDescent="0.2">
      <c r="A29" s="27">
        <v>28</v>
      </c>
      <c r="B29" s="27">
        <v>29</v>
      </c>
      <c r="C29" s="18" t="s">
        <v>8</v>
      </c>
      <c r="D29" s="47" t="s">
        <v>88</v>
      </c>
      <c r="E29" s="12">
        <v>1555</v>
      </c>
      <c r="F29" s="12">
        <f>SUMIFS(Table367498[Total Sales],Table367498[Title],Table36749853[Title],Table367498[System],Table36749853[System])+Table36749853[[#This Row],[Week Sales]]</f>
        <v>222870</v>
      </c>
      <c r="G29" s="18" t="str">
        <f>(VLOOKUP(D:D,'Week 3 Jan 13 - Jan 19 2020'!D:G,4,FALSE))</f>
        <v>Sony</v>
      </c>
      <c r="H29" s="67">
        <f>(VLOOKUP(D:D,'Week 3 Jan 13 - Jan 19 2020'!D:H,5,FALSE))</f>
        <v>43763</v>
      </c>
      <c r="I29" s="12">
        <f>_xlfn.IFNA(VLOOKUP('Week 5 Jan 27 - Feb 2 2020'!D:D,'Week 4 Jan 20 - Jan 26 2020'!D:E, 2, FALSE),"New")</f>
        <v>1582</v>
      </c>
      <c r="J29" s="28">
        <f t="shared" si="1"/>
        <v>-1.7067003792667509E-2</v>
      </c>
    </row>
    <row r="30" spans="1:10" x14ac:dyDescent="0.2">
      <c r="A30" s="29">
        <v>29</v>
      </c>
      <c r="B30" s="29" t="s">
        <v>53</v>
      </c>
      <c r="C30" s="31" t="s">
        <v>7</v>
      </c>
      <c r="D30" s="31" t="s">
        <v>93</v>
      </c>
      <c r="E30" s="33">
        <v>1488</v>
      </c>
      <c r="F30" s="33">
        <v>1697794</v>
      </c>
      <c r="G30" s="31" t="str">
        <f>(VLOOKUP(D:D,'Week 2 Jan 6 - Jan 12 2020'!D:G,4,FALSE))</f>
        <v>The Pokemon Company</v>
      </c>
      <c r="H30" s="93">
        <f>(VLOOKUP(D:D,'Week 2 Jan 6 - Jan 12 2020'!D:H,5,FALSE))</f>
        <v>43420</v>
      </c>
      <c r="I30" s="33"/>
      <c r="J30" s="97"/>
    </row>
    <row r="31" spans="1:10" x14ac:dyDescent="0.2">
      <c r="A31" s="29">
        <v>30</v>
      </c>
      <c r="B31" s="29" t="s">
        <v>53</v>
      </c>
      <c r="C31" s="31" t="s">
        <v>7</v>
      </c>
      <c r="D31" s="91" t="s">
        <v>82</v>
      </c>
      <c r="E31" s="33">
        <v>1421</v>
      </c>
      <c r="F31" s="33">
        <v>63674</v>
      </c>
      <c r="G31" s="31" t="str">
        <f>(VLOOKUP(D:D,'Week 3 Jan 13 - Jan 19 2020'!D:G,4,FALSE))</f>
        <v>Level-5</v>
      </c>
      <c r="H31" s="93">
        <f>(VLOOKUP(D:D,'Week 3 Jan 13 - Jan 19 2020'!D:H,5,FALSE))</f>
        <v>43804</v>
      </c>
      <c r="I31" s="37">
        <v>1363</v>
      </c>
      <c r="J31" s="97">
        <f t="shared" si="1"/>
        <v>4.2553191489361701E-2</v>
      </c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204917</v>
      </c>
      <c r="F33" s="2"/>
      <c r="J33" s="19"/>
    </row>
    <row r="34" spans="1:10" x14ac:dyDescent="0.2">
      <c r="A34" s="3"/>
      <c r="B34" s="3"/>
      <c r="D34" s="100" t="s">
        <v>178</v>
      </c>
      <c r="E34" s="101">
        <f>SUM('Week 4 Jan 20 - Jan 26 2020'!E34,'Week 5 Jan 27 - Feb 2 2020'!E33)</f>
        <v>2013187</v>
      </c>
      <c r="F34" s="2"/>
      <c r="I34" s="2"/>
      <c r="J34" s="19"/>
    </row>
    <row r="35" spans="1:10" x14ac:dyDescent="0.2">
      <c r="A35" s="3"/>
      <c r="B35" s="3"/>
      <c r="D35" s="98" t="s">
        <v>190</v>
      </c>
      <c r="E35" s="99">
        <v>1808270</v>
      </c>
      <c r="F35" s="2"/>
      <c r="I35" s="2"/>
      <c r="J35" s="19"/>
    </row>
    <row r="36" spans="1:10" x14ac:dyDescent="0.2">
      <c r="A36" s="3"/>
      <c r="B36" s="3"/>
      <c r="D36" s="2" t="s">
        <v>60</v>
      </c>
      <c r="E36" s="2">
        <f>AVERAGE(E2:E31)</f>
        <v>6830.5666666666666</v>
      </c>
      <c r="F36" s="2"/>
      <c r="I36" s="2"/>
      <c r="J36" s="19"/>
    </row>
    <row r="37" spans="1:10" x14ac:dyDescent="0.2">
      <c r="A37" s="3"/>
      <c r="B37" s="3"/>
      <c r="D37" s="9" t="s">
        <v>78</v>
      </c>
      <c r="E37" s="10">
        <f>COUNTIF(B:B,"New")</f>
        <v>0</v>
      </c>
      <c r="F37" s="2"/>
      <c r="I37" s="2"/>
      <c r="J37" s="19"/>
    </row>
    <row r="38" spans="1:10" x14ac:dyDescent="0.2">
      <c r="A38" s="3"/>
      <c r="B38" s="3"/>
      <c r="E38" s="2"/>
      <c r="F38" s="2"/>
      <c r="I38" s="2"/>
      <c r="J38" s="19"/>
    </row>
    <row r="39" spans="1:10" x14ac:dyDescent="0.2">
      <c r="A39" s="3"/>
      <c r="B39" s="3"/>
      <c r="D39" t="s">
        <v>66</v>
      </c>
      <c r="E39" s="2"/>
      <c r="F39" s="2"/>
      <c r="I39" s="2"/>
      <c r="J39" s="19"/>
    </row>
    <row r="40" spans="1:10" x14ac:dyDescent="0.2">
      <c r="A40" s="3"/>
      <c r="B40" s="3"/>
      <c r="D40" s="8" t="s">
        <v>67</v>
      </c>
      <c r="E40" s="2"/>
      <c r="F40" s="2"/>
      <c r="I40" s="2"/>
      <c r="J40" s="19"/>
    </row>
    <row r="41" spans="1:10" x14ac:dyDescent="0.2">
      <c r="D41" s="8" t="s">
        <v>65</v>
      </c>
      <c r="E41" s="2"/>
      <c r="F41" s="2"/>
    </row>
    <row r="42" spans="1:10" x14ac:dyDescent="0.2">
      <c r="D42" s="8" t="s">
        <v>71</v>
      </c>
      <c r="E42" s="2"/>
    </row>
  </sheetData>
  <hyperlinks>
    <hyperlink ref="D41" r:id="rId1" xr:uid="{BD92BF40-916A-1746-BCB3-A0995F3A326B}"/>
    <hyperlink ref="D42" r:id="rId2" xr:uid="{DCB49E5C-17BC-7541-B4E7-E21AEAE83FF1}"/>
    <hyperlink ref="D40" r:id="rId3" xr:uid="{E10D83C0-F449-C442-83F5-BEE23FB146C2}"/>
  </hyperlinks>
  <pageMargins left="0.7" right="0.7" top="0.75" bottom="0.75" header="0.3" footer="0.3"/>
  <pageSetup paperSize="9" orientation="portrait" horizontalDpi="0" verticalDpi="0"/>
  <ignoredErrors>
    <ignoredError sqref="F2 F23:H23 G30 G28:H29 H30 I2 I31 F28:F31" calculatedColumn="1"/>
  </ignoredErrors>
  <tableParts count="1">
    <tablePart r:id="rId4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862CB-D871-5047-949D-93CB3A650383}">
  <dimension ref="A1:J41"/>
  <sheetViews>
    <sheetView workbookViewId="0">
      <selection activeCell="C36" sqref="C36"/>
    </sheetView>
  </sheetViews>
  <sheetFormatPr baseColWidth="10" defaultRowHeight="16" x14ac:dyDescent="0.2"/>
  <cols>
    <col min="1" max="1" width="7.6640625" bestFit="1" customWidth="1"/>
    <col min="4" max="4" width="71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78" t="s">
        <v>0</v>
      </c>
      <c r="B1" s="78" t="s">
        <v>35</v>
      </c>
      <c r="C1" s="79" t="s">
        <v>1</v>
      </c>
      <c r="D1" s="79" t="s">
        <v>2</v>
      </c>
      <c r="E1" s="80" t="s">
        <v>3</v>
      </c>
      <c r="F1" s="80" t="s">
        <v>4</v>
      </c>
      <c r="G1" s="79" t="s">
        <v>5</v>
      </c>
      <c r="H1" s="81" t="s">
        <v>6</v>
      </c>
      <c r="I1" s="80" t="s">
        <v>64</v>
      </c>
      <c r="J1" s="82" t="s">
        <v>63</v>
      </c>
    </row>
    <row r="2" spans="1:10" x14ac:dyDescent="0.2">
      <c r="A2" s="47">
        <v>1</v>
      </c>
      <c r="B2" s="47">
        <v>1</v>
      </c>
      <c r="C2" s="47" t="s">
        <v>7</v>
      </c>
      <c r="D2" s="86" t="s">
        <v>163</v>
      </c>
      <c r="E2" s="55">
        <v>166774</v>
      </c>
      <c r="F2" s="55">
        <f>SUMIFS('Week 49 Nov 30 - Dec 6 2020'!F:F,'Week 49 Nov 30 - Dec 6 2020'!D:D,'Week 50 Dec 7 - Dec 13 2020'!D:D,'Week 49 Nov 30 - Dec 6 2020'!C:C,'Week 50 Dec 7 - Dec 13 2020'!C:C)+Table404243465051444825[[#This Row],[Week Sales]]</f>
        <v>755084</v>
      </c>
      <c r="G2" s="47" t="str">
        <f>(VLOOKUP(D:D,'Week 49 Nov 30 - Dec 6 2020'!D:G,4,FALSE))</f>
        <v>Konami</v>
      </c>
      <c r="H2" s="60">
        <f>(VLOOKUP(D:D,'Week 49 Nov 30 - Dec 6 2020'!D:H,5,FALSE))</f>
        <v>44154</v>
      </c>
      <c r="I2" s="55">
        <f>SUMIFS('Week 49 Nov 30 - Dec 6 2020'!E:E,'Week 49 Nov 30 - Dec 6 2020'!D:D,'Week 50 Dec 7 - Dec 13 2020'!D:D,'Week 49 Nov 30 - Dec 6 2020'!C:C,'Week 50 Dec 7 - Dec 13 2020'!C:C)</f>
        <v>115884</v>
      </c>
      <c r="J2" s="56">
        <f>IFERROR((E2-I2)/I2,"New")</f>
        <v>0.43914604259431844</v>
      </c>
    </row>
    <row r="3" spans="1:10" x14ac:dyDescent="0.2">
      <c r="A3" s="46">
        <v>2</v>
      </c>
      <c r="B3" s="46" t="s">
        <v>36</v>
      </c>
      <c r="C3" s="46" t="s">
        <v>8</v>
      </c>
      <c r="D3" s="9" t="s">
        <v>308</v>
      </c>
      <c r="E3" s="73">
        <v>104687</v>
      </c>
      <c r="F3" s="73">
        <f>SUMIFS('Week 49 Nov 30 - Dec 6 2020'!F:F,'Week 49 Nov 30 - Dec 6 2020'!D:D,'Week 50 Dec 7 - Dec 13 2020'!D:D,'Week 49 Nov 30 - Dec 6 2020'!C:C,'Week 50 Dec 7 - Dec 13 2020'!C:C)+Table404243465051444825[[#This Row],[Week Sales]]</f>
        <v>104687</v>
      </c>
      <c r="G3" s="46" t="s">
        <v>130</v>
      </c>
      <c r="H3" s="72">
        <v>44175</v>
      </c>
      <c r="I3" s="73" t="s">
        <v>36</v>
      </c>
      <c r="J3" s="90" t="str">
        <f t="shared" ref="J3:J29" si="0">IFERROR((E3-I3)/I3,"New")</f>
        <v>New</v>
      </c>
    </row>
    <row r="4" spans="1:10" x14ac:dyDescent="0.2">
      <c r="A4" s="47">
        <v>3</v>
      </c>
      <c r="B4" s="47">
        <v>3</v>
      </c>
      <c r="C4" s="47" t="s">
        <v>7</v>
      </c>
      <c r="D4" s="86" t="s">
        <v>46</v>
      </c>
      <c r="E4" s="55">
        <v>71455</v>
      </c>
      <c r="F4" s="55">
        <f>SUMIFS('Week 49 Nov 30 - Dec 6 2020'!F:F,'Week 49 Nov 30 - Dec 6 2020'!D:D,'Week 50 Dec 7 - Dec 13 2020'!D:D,'Week 49 Nov 30 - Dec 6 2020'!C:C,'Week 50 Dec 7 - Dec 13 2020'!C:C)+Table404243465051444825[[#This Row],[Week Sales]]</f>
        <v>6175256</v>
      </c>
      <c r="G4" s="47" t="str">
        <f>(VLOOKUP(D:D,'Week 49 Nov 30 - Dec 6 2020'!D:G,4,FALSE))</f>
        <v>Nintendo</v>
      </c>
      <c r="H4" s="60">
        <f>(VLOOKUP(D:D,'Week 49 Nov 30 - Dec 6 2020'!D:H,5,FALSE))</f>
        <v>43910</v>
      </c>
      <c r="I4" s="55">
        <f>SUMIFS('Week 49 Nov 30 - Dec 6 2020'!E:E,'Week 49 Nov 30 - Dec 6 2020'!D:D,'Week 50 Dec 7 - Dec 13 2020'!D:D,'Week 49 Nov 30 - Dec 6 2020'!C:C,'Week 50 Dec 7 - Dec 13 2020'!C:C)</f>
        <v>57104</v>
      </c>
      <c r="J4" s="56">
        <f t="shared" si="0"/>
        <v>0.25131339310731299</v>
      </c>
    </row>
    <row r="5" spans="1:10" x14ac:dyDescent="0.2">
      <c r="A5" s="105">
        <v>4</v>
      </c>
      <c r="B5" s="47">
        <v>5</v>
      </c>
      <c r="C5" s="47" t="s">
        <v>7</v>
      </c>
      <c r="D5" s="86" t="s">
        <v>45</v>
      </c>
      <c r="E5" s="55">
        <v>49803</v>
      </c>
      <c r="F5" s="55">
        <f>SUMIFS('Week 49 Nov 30 - Dec 6 2020'!F:F,'Week 49 Nov 30 - Dec 6 2020'!D:D,'Week 50 Dec 7 - Dec 13 2020'!D:D,'Week 49 Nov 30 - Dec 6 2020'!C:C,'Week 50 Dec 7 - Dec 13 2020'!C:C)+Table404243465051444825[[#This Row],[Week Sales]]</f>
        <v>1969790</v>
      </c>
      <c r="G5" s="47" t="str">
        <f>(VLOOKUP(D:D,'Week 49 Nov 30 - Dec 6 2020'!D:G,4,FALSE))</f>
        <v>Nintendo</v>
      </c>
      <c r="H5" s="60">
        <f>(VLOOKUP(D:D,'Week 49 Nov 30 - Dec 6 2020'!D:H,5,FALSE))</f>
        <v>43756</v>
      </c>
      <c r="I5" s="55">
        <f>SUMIFS('Week 49 Nov 30 - Dec 6 2020'!E:E,'Week 49 Nov 30 - Dec 6 2020'!D:D,'Week 50 Dec 7 - Dec 13 2020'!D:D,'Week 49 Nov 30 - Dec 6 2020'!C:C,'Week 50 Dec 7 - Dec 13 2020'!C:C)</f>
        <v>40176</v>
      </c>
      <c r="J5" s="56">
        <f t="shared" si="0"/>
        <v>0.23962066905615292</v>
      </c>
    </row>
    <row r="6" spans="1:10" x14ac:dyDescent="0.2">
      <c r="A6" s="47">
        <v>5</v>
      </c>
      <c r="B6" s="47">
        <v>9</v>
      </c>
      <c r="C6" s="47" t="s">
        <v>7</v>
      </c>
      <c r="D6" s="86" t="s">
        <v>49</v>
      </c>
      <c r="E6" s="55">
        <v>31896</v>
      </c>
      <c r="F6" s="55">
        <f>SUMIFS('Week 49 Nov 30 - Dec 6 2020'!F:F,'Week 49 Nov 30 - Dec 6 2020'!D:D,'Week 50 Dec 7 - Dec 13 2020'!D:D,'Week 49 Nov 30 - Dec 6 2020'!C:C,'Week 50 Dec 7 - Dec 13 2020'!C:C)+Table404243465051444825[[#This Row],[Week Sales]]</f>
        <v>3344534</v>
      </c>
      <c r="G6" s="47" t="str">
        <f>(VLOOKUP(D:D,'Week 49 Nov 30 - Dec 6 2020'!D:G,4,FALSE))</f>
        <v>Nintendo</v>
      </c>
      <c r="H6" s="60">
        <f>(VLOOKUP(D:D,'Week 49 Nov 30 - Dec 6 2020'!D:H,5,FALSE))</f>
        <v>42853</v>
      </c>
      <c r="I6" s="55">
        <f>SUMIFS('Week 49 Nov 30 - Dec 6 2020'!E:E,'Week 49 Nov 30 - Dec 6 2020'!D:D,'Week 50 Dec 7 - Dec 13 2020'!D:D,'Week 49 Nov 30 - Dec 6 2020'!C:C,'Week 50 Dec 7 - Dec 13 2020'!C:C)</f>
        <v>23180</v>
      </c>
      <c r="J6" s="56">
        <f t="shared" si="0"/>
        <v>0.37601380500431408</v>
      </c>
    </row>
    <row r="7" spans="1:10" x14ac:dyDescent="0.2">
      <c r="A7" s="105">
        <v>6</v>
      </c>
      <c r="B7" s="47">
        <v>11</v>
      </c>
      <c r="C7" s="47" t="s">
        <v>7</v>
      </c>
      <c r="D7" s="47" t="s">
        <v>132</v>
      </c>
      <c r="E7" s="55">
        <v>30319</v>
      </c>
      <c r="F7" s="55">
        <f>SUMIFS('Week 49 Nov 30 - Dec 6 2020'!F:F,'Week 49 Nov 30 - Dec 6 2020'!D:D,'Week 50 Dec 7 - Dec 13 2020'!D:D,'Week 49 Nov 30 - Dec 6 2020'!C:C,'Week 50 Dec 7 - Dec 13 2020'!C:C)+Table404243465051444825[[#This Row],[Week Sales]]</f>
        <v>367461</v>
      </c>
      <c r="G7" s="47" t="str">
        <f>(VLOOKUP(D:D,'Week 49 Nov 30 - Dec 6 2020'!D:G,4,FALSE))</f>
        <v>Nintendo</v>
      </c>
      <c r="H7" s="60">
        <f>(VLOOKUP(D:D,'Week 49 Nov 30 - Dec 6 2020'!D:H,5,FALSE))</f>
        <v>44134</v>
      </c>
      <c r="I7" s="55">
        <f>SUMIFS('Week 49 Nov 30 - Dec 6 2020'!E:E,'Week 49 Nov 30 - Dec 6 2020'!D:D,'Week 50 Dec 7 - Dec 13 2020'!D:D,'Week 49 Nov 30 - Dec 6 2020'!C:C,'Week 50 Dec 7 - Dec 13 2020'!C:C)</f>
        <v>21280</v>
      </c>
      <c r="J7" s="56">
        <f t="shared" si="0"/>
        <v>0.42476503759398498</v>
      </c>
    </row>
    <row r="8" spans="1:10" x14ac:dyDescent="0.2">
      <c r="A8" s="46">
        <v>7</v>
      </c>
      <c r="B8" s="46" t="s">
        <v>36</v>
      </c>
      <c r="C8" s="46" t="s">
        <v>7</v>
      </c>
      <c r="D8" s="9" t="s">
        <v>309</v>
      </c>
      <c r="E8" s="73">
        <v>26346</v>
      </c>
      <c r="F8" s="73">
        <f>SUMIFS('Week 49 Nov 30 - Dec 6 2020'!F:F,'Week 49 Nov 30 - Dec 6 2020'!D:D,'Week 50 Dec 7 - Dec 13 2020'!D:D,'Week 49 Nov 30 - Dec 6 2020'!C:C,'Week 50 Dec 7 - Dec 13 2020'!C:C)+Table404243465051444825[[#This Row],[Week Sales]]</f>
        <v>26346</v>
      </c>
      <c r="G8" s="46" t="s">
        <v>95</v>
      </c>
      <c r="H8" s="72">
        <v>44175</v>
      </c>
      <c r="I8" s="73" t="s">
        <v>36</v>
      </c>
      <c r="J8" s="90" t="str">
        <f t="shared" si="0"/>
        <v>New</v>
      </c>
    </row>
    <row r="9" spans="1:10" x14ac:dyDescent="0.2">
      <c r="A9" s="47">
        <v>8</v>
      </c>
      <c r="B9" s="47">
        <v>15</v>
      </c>
      <c r="C9" s="47" t="s">
        <v>7</v>
      </c>
      <c r="D9" s="86" t="s">
        <v>12</v>
      </c>
      <c r="E9" s="55">
        <v>25427</v>
      </c>
      <c r="F9" s="55">
        <f>SUMIFS('Week 49 Nov 30 - Dec 6 2020'!F:F,'Week 49 Nov 30 - Dec 6 2020'!D:D,'Week 50 Dec 7 - Dec 13 2020'!D:D,'Week 49 Nov 30 - Dec 6 2020'!C:C,'Week 50 Dec 7 - Dec 13 2020'!C:C)+Table404243465051444825[[#This Row],[Week Sales]]</f>
        <v>1619297</v>
      </c>
      <c r="G9" s="47" t="str">
        <f>(VLOOKUP(D:D,'Week 49 Nov 30 - Dec 6 2020'!D:G,4,FALSE))</f>
        <v>Microsoft</v>
      </c>
      <c r="H9" s="60">
        <f>(VLOOKUP(D:D,'Week 49 Nov 30 - Dec 6 2020'!D:H,5,FALSE))</f>
        <v>43272</v>
      </c>
      <c r="I9" s="55">
        <f>SUMIFS('Week 49 Nov 30 - Dec 6 2020'!E:E,'Week 49 Nov 30 - Dec 6 2020'!D:D,'Week 50 Dec 7 - Dec 13 2020'!D:D,'Week 49 Nov 30 - Dec 6 2020'!C:C,'Week 50 Dec 7 - Dec 13 2020'!C:C)</f>
        <v>15280</v>
      </c>
      <c r="J9" s="56">
        <f t="shared" si="0"/>
        <v>0.66407068062827224</v>
      </c>
    </row>
    <row r="10" spans="1:10" x14ac:dyDescent="0.2">
      <c r="A10" s="47">
        <v>9</v>
      </c>
      <c r="B10" s="47">
        <v>17</v>
      </c>
      <c r="C10" s="47" t="s">
        <v>7</v>
      </c>
      <c r="D10" s="86" t="s">
        <v>52</v>
      </c>
      <c r="E10" s="55">
        <v>22886</v>
      </c>
      <c r="F10" s="55">
        <f>SUMIFS('Week 49 Nov 30 - Dec 6 2020'!F:F,'Week 49 Nov 30 - Dec 6 2020'!D:D,'Week 50 Dec 7 - Dec 13 2020'!D:D,'Week 49 Nov 30 - Dec 6 2020'!C:C,'Week 50 Dec 7 - Dec 13 2020'!C:C)+Table404243465051444825[[#This Row],[Week Sales]]</f>
        <v>3926512</v>
      </c>
      <c r="G10" s="47" t="str">
        <f>(VLOOKUP(D:D,'Week 49 Nov 30 - Dec 6 2020'!D:G,4,FALSE))</f>
        <v>Nintendo</v>
      </c>
      <c r="H10" s="60">
        <f>(VLOOKUP(D:D,'Week 49 Nov 30 - Dec 6 2020'!D:H,5,FALSE))</f>
        <v>43441</v>
      </c>
      <c r="I10" s="55">
        <f>SUMIFS('Week 49 Nov 30 - Dec 6 2020'!E:E,'Week 49 Nov 30 - Dec 6 2020'!D:D,'Week 50 Dec 7 - Dec 13 2020'!D:D,'Week 49 Nov 30 - Dec 6 2020'!C:C,'Week 50 Dec 7 - Dec 13 2020'!C:C)</f>
        <v>12894</v>
      </c>
      <c r="J10" s="56">
        <f t="shared" si="0"/>
        <v>0.77493407786567392</v>
      </c>
    </row>
    <row r="11" spans="1:10" x14ac:dyDescent="0.2">
      <c r="A11" s="105">
        <v>10</v>
      </c>
      <c r="B11" s="47">
        <v>16</v>
      </c>
      <c r="C11" s="47" t="s">
        <v>7</v>
      </c>
      <c r="D11" s="86" t="s">
        <v>13</v>
      </c>
      <c r="E11" s="55">
        <v>22414</v>
      </c>
      <c r="F11" s="55">
        <f>SUMIFS('Week 49 Nov 30 - Dec 6 2020'!F:F,'Week 49 Nov 30 - Dec 6 2020'!D:D,'Week 50 Dec 7 - Dec 13 2020'!D:D,'Week 49 Nov 30 - Dec 6 2020'!C:C,'Week 50 Dec 7 - Dec 13 2020'!C:C)+Table404243465051444825[[#This Row],[Week Sales]]</f>
        <v>1657894</v>
      </c>
      <c r="G11" s="47" t="str">
        <f>(VLOOKUP(D:D,'Week 49 Nov 30 - Dec 6 2020'!D:G,4,FALSE))</f>
        <v>Nintendo</v>
      </c>
      <c r="H11" s="60">
        <f>(VLOOKUP(D:D,'Week 49 Nov 30 - Dec 6 2020'!D:H,5,FALSE))</f>
        <v>43378</v>
      </c>
      <c r="I11" s="55">
        <f>SUMIFS('Week 49 Nov 30 - Dec 6 2020'!E:E,'Week 49 Nov 30 - Dec 6 2020'!D:D,'Week 50 Dec 7 - Dec 13 2020'!D:D,'Week 49 Nov 30 - Dec 6 2020'!C:C,'Week 50 Dec 7 - Dec 13 2020'!C:C)</f>
        <v>14765</v>
      </c>
      <c r="J11" s="56">
        <f t="shared" si="0"/>
        <v>0.51804944124619035</v>
      </c>
    </row>
    <row r="12" spans="1:10" x14ac:dyDescent="0.2">
      <c r="A12" s="47">
        <v>11</v>
      </c>
      <c r="B12" s="47">
        <v>13</v>
      </c>
      <c r="C12" s="47" t="s">
        <v>7</v>
      </c>
      <c r="D12" s="103" t="s">
        <v>145</v>
      </c>
      <c r="E12" s="55">
        <v>21264</v>
      </c>
      <c r="F12" s="55">
        <f>SUMIFS('Week 49 Nov 30 - Dec 6 2020'!F:F,'Week 49 Nov 30 - Dec 6 2020'!D:D,'Week 50 Dec 7 - Dec 13 2020'!D:D,'Week 49 Nov 30 - Dec 6 2020'!C:C,'Week 50 Dec 7 - Dec 13 2020'!C:C)+Table404243465051444825[[#This Row],[Week Sales]]</f>
        <v>92265</v>
      </c>
      <c r="G12" s="47" t="str">
        <f>(VLOOKUP(D:D,'Week 49 Nov 30 - Dec 6 2020'!D:G,4,FALSE))</f>
        <v>The Pokemon Company</v>
      </c>
      <c r="H12" s="60">
        <f>(VLOOKUP(D:D,'Week 49 Nov 30 - Dec 6 2020'!D:H,5,FALSE))</f>
        <v>43784</v>
      </c>
      <c r="I12" s="55">
        <f>SUMIFS('Week 49 Nov 30 - Dec 6 2020'!E:E,'Week 49 Nov 30 - Dec 6 2020'!D:D,'Week 50 Dec 7 - Dec 13 2020'!D:D,'Week 49 Nov 30 - Dec 6 2020'!C:C,'Week 50 Dec 7 - Dec 13 2020'!C:C)</f>
        <v>15543</v>
      </c>
      <c r="J12" s="56">
        <f t="shared" si="0"/>
        <v>0.36807566106929163</v>
      </c>
    </row>
    <row r="13" spans="1:10" x14ac:dyDescent="0.2">
      <c r="A13" s="105">
        <v>12</v>
      </c>
      <c r="B13" s="47">
        <v>8</v>
      </c>
      <c r="C13" s="47" t="s">
        <v>7</v>
      </c>
      <c r="D13" s="86" t="s">
        <v>164</v>
      </c>
      <c r="E13" s="55">
        <v>18806</v>
      </c>
      <c r="F13" s="55">
        <f>SUMIFS('Week 49 Nov 30 - Dec 6 2020'!F:F,'Week 49 Nov 30 - Dec 6 2020'!D:D,'Week 50 Dec 7 - Dec 13 2020'!D:D,'Week 49 Nov 30 - Dec 6 2020'!C:C,'Week 50 Dec 7 - Dec 13 2020'!C:C)+Table404243465051444825[[#This Row],[Week Sales]]</f>
        <v>255964</v>
      </c>
      <c r="G13" s="47" t="str">
        <f>(VLOOKUP(D:D,'Week 49 Nov 30 - Dec 6 2020'!D:G,4,FALSE))</f>
        <v>Koei Tecmo</v>
      </c>
      <c r="H13" s="60">
        <f>(VLOOKUP(D:D,'Week 49 Nov 30 - Dec 6 2020'!D:H,5,FALSE))</f>
        <v>44155</v>
      </c>
      <c r="I13" s="55">
        <f>SUMIFS('Week 49 Nov 30 - Dec 6 2020'!E:E,'Week 49 Nov 30 - Dec 6 2020'!D:D,'Week 50 Dec 7 - Dec 13 2020'!D:D,'Week 49 Nov 30 - Dec 6 2020'!C:C,'Week 50 Dec 7 - Dec 13 2020'!C:C)</f>
        <v>23276</v>
      </c>
      <c r="J13" s="56">
        <f t="shared" si="0"/>
        <v>-0.19204330641003609</v>
      </c>
    </row>
    <row r="14" spans="1:10" x14ac:dyDescent="0.2">
      <c r="A14" s="47">
        <v>13</v>
      </c>
      <c r="B14" s="47">
        <v>20</v>
      </c>
      <c r="C14" s="47" t="s">
        <v>7</v>
      </c>
      <c r="D14" s="86" t="s">
        <v>40</v>
      </c>
      <c r="E14" s="55">
        <v>18761</v>
      </c>
      <c r="F14" s="55">
        <f>SUMIFS('Week 49 Nov 30 - Dec 6 2020'!F:F,'Week 49 Nov 30 - Dec 6 2020'!D:D,'Week 50 Dec 7 - Dec 13 2020'!D:D,'Week 49 Nov 30 - Dec 6 2020'!C:C,'Week 50 Dec 7 - Dec 13 2020'!C:C)+Table404243465051444825[[#This Row],[Week Sales]]</f>
        <v>427367</v>
      </c>
      <c r="G14" s="47" t="str">
        <f>(VLOOKUP(D:D,'Week 49 Nov 30 - Dec 6 2020'!D:G,4,FALSE))</f>
        <v>Nintendo</v>
      </c>
      <c r="H14" s="60">
        <f>(VLOOKUP(D:D,'Week 49 Nov 30 - Dec 6 2020'!D:H,5,FALSE))</f>
        <v>44092</v>
      </c>
      <c r="I14" s="55">
        <f>SUMIFS('Week 49 Nov 30 - Dec 6 2020'!E:E,'Week 49 Nov 30 - Dec 6 2020'!D:D,'Week 50 Dec 7 - Dec 13 2020'!D:D,'Week 49 Nov 30 - Dec 6 2020'!C:C,'Week 50 Dec 7 - Dec 13 2020'!C:C)</f>
        <v>11668</v>
      </c>
      <c r="J14" s="56">
        <f t="shared" si="0"/>
        <v>0.60790195406239289</v>
      </c>
    </row>
    <row r="15" spans="1:10" x14ac:dyDescent="0.2">
      <c r="A15" s="105">
        <v>14</v>
      </c>
      <c r="B15" s="47">
        <v>2</v>
      </c>
      <c r="C15" s="47" t="s">
        <v>7</v>
      </c>
      <c r="D15" s="47" t="s">
        <v>173</v>
      </c>
      <c r="E15" s="55">
        <v>16911</v>
      </c>
      <c r="F15" s="55">
        <f>SUMIFS('Week 49 Nov 30 - Dec 6 2020'!F:F,'Week 49 Nov 30 - Dec 6 2020'!D:D,'Week 50 Dec 7 - Dec 13 2020'!D:D,'Week 49 Nov 30 - Dec 6 2020'!C:C,'Week 50 Dec 7 - Dec 13 2020'!C:C)+Table404243465051444825[[#This Row],[Week Sales]]</f>
        <v>91155</v>
      </c>
      <c r="G15" s="47" t="str">
        <f>(VLOOKUP(D:D,'Week 49 Nov 30 - Dec 6 2020'!D:G,4,FALSE))</f>
        <v>Game Addict</v>
      </c>
      <c r="H15" s="60">
        <f>(VLOOKUP(D:D,'Week 49 Nov 30 - Dec 6 2020'!D:H,5,FALSE))</f>
        <v>44168</v>
      </c>
      <c r="I15" s="55">
        <f>SUMIFS('Week 49 Nov 30 - Dec 6 2020'!E:E,'Week 49 Nov 30 - Dec 6 2020'!D:D,'Week 50 Dec 7 - Dec 13 2020'!D:D,'Week 49 Nov 30 - Dec 6 2020'!C:C,'Week 50 Dec 7 - Dec 13 2020'!C:C)</f>
        <v>74244</v>
      </c>
      <c r="J15" s="56">
        <f t="shared" si="0"/>
        <v>-0.77222401810247288</v>
      </c>
    </row>
    <row r="16" spans="1:10" x14ac:dyDescent="0.2">
      <c r="A16" s="47">
        <v>15</v>
      </c>
      <c r="B16" s="47">
        <v>23</v>
      </c>
      <c r="C16" s="47" t="s">
        <v>7</v>
      </c>
      <c r="D16" s="86" t="s">
        <v>154</v>
      </c>
      <c r="E16" s="55">
        <v>15874</v>
      </c>
      <c r="F16" s="55">
        <f>SUMIFS('Week 49 Nov 30 - Dec 6 2020'!F:F,'Week 49 Nov 30 - Dec 6 2020'!D:D,'Week 50 Dec 7 - Dec 13 2020'!D:D,'Week 49 Nov 30 - Dec 6 2020'!C:C,'Week 50 Dec 7 - Dec 13 2020'!C:C)+Table404243465051444825[[#This Row],[Week Sales]]</f>
        <v>64918</v>
      </c>
      <c r="G16" s="47" t="str">
        <f>(VLOOKUP(D:D,'Week 49 Nov 30 - Dec 6 2020'!D:G,4,FALSE))</f>
        <v>Marvelous</v>
      </c>
      <c r="H16" s="60">
        <f>(VLOOKUP(D:D,'Week 49 Nov 30 - Dec 6 2020'!D:H,5,FALSE))</f>
        <v>44147</v>
      </c>
      <c r="I16" s="55">
        <f>SUMIFS('Week 49 Nov 30 - Dec 6 2020'!E:E,'Week 49 Nov 30 - Dec 6 2020'!D:D,'Week 50 Dec 7 - Dec 13 2020'!D:D,'Week 49 Nov 30 - Dec 6 2020'!C:C,'Week 50 Dec 7 - Dec 13 2020'!C:C)</f>
        <v>8587</v>
      </c>
      <c r="J16" s="56">
        <f t="shared" si="0"/>
        <v>0.84860836147665075</v>
      </c>
    </row>
    <row r="17" spans="1:10" x14ac:dyDescent="0.2">
      <c r="A17" s="47">
        <v>16</v>
      </c>
      <c r="B17" s="47">
        <v>24</v>
      </c>
      <c r="C17" s="47" t="s">
        <v>7</v>
      </c>
      <c r="D17" s="86" t="s">
        <v>10</v>
      </c>
      <c r="E17" s="55">
        <v>13942</v>
      </c>
      <c r="F17" s="55">
        <f>SUMIFS('Week 49 Nov 30 - Dec 6 2020'!F:F,'Week 49 Nov 30 - Dec 6 2020'!D:D,'Week 50 Dec 7 - Dec 13 2020'!D:D,'Week 49 Nov 30 - Dec 6 2020'!C:C,'Week 50 Dec 7 - Dec 13 2020'!C:C)+Table404243465051444825[[#This Row],[Week Sales]]</f>
        <v>3636490</v>
      </c>
      <c r="G17" s="47" t="str">
        <f>(VLOOKUP(D:D,'Week 49 Nov 30 - Dec 6 2020'!D:G,4,FALSE))</f>
        <v>Nintendo</v>
      </c>
      <c r="H17" s="60">
        <f>(VLOOKUP(D:D,'Week 49 Nov 30 - Dec 6 2020'!D:H,5,FALSE))</f>
        <v>42937</v>
      </c>
      <c r="I17" s="55">
        <f>SUMIFS('Week 49 Nov 30 - Dec 6 2020'!E:E,'Week 49 Nov 30 - Dec 6 2020'!D:D,'Week 50 Dec 7 - Dec 13 2020'!D:D,'Week 49 Nov 30 - Dec 6 2020'!C:C,'Week 50 Dec 7 - Dec 13 2020'!C:C)</f>
        <v>8396</v>
      </c>
      <c r="J17" s="56">
        <f t="shared" si="0"/>
        <v>0.66055264411624581</v>
      </c>
    </row>
    <row r="18" spans="1:10" x14ac:dyDescent="0.2">
      <c r="A18" s="47">
        <v>17</v>
      </c>
      <c r="B18" s="47">
        <v>22</v>
      </c>
      <c r="C18" s="47" t="s">
        <v>7</v>
      </c>
      <c r="D18" s="86" t="s">
        <v>62</v>
      </c>
      <c r="E18" s="55">
        <v>13852</v>
      </c>
      <c r="F18" s="55">
        <f>SUMIFS('Week 49 Nov 30 - Dec 6 2020'!F:F,'Week 49 Nov 30 - Dec 6 2020'!D:D,'Week 50 Dec 7 - Dec 13 2020'!D:D,'Week 49 Nov 30 - Dec 6 2020'!C:C,'Week 50 Dec 7 - Dec 13 2020'!C:C)+Table404243465051444825[[#This Row],[Week Sales]]</f>
        <v>3830974</v>
      </c>
      <c r="G18" s="47" t="str">
        <f>(VLOOKUP(D:D,'Week 49 Nov 30 - Dec 6 2020'!D:G,4,FALSE))</f>
        <v>The Pokemon Company</v>
      </c>
      <c r="H18" s="60">
        <f>(VLOOKUP(D:D,'Week 49 Nov 30 - Dec 6 2020'!D:H,5,FALSE))</f>
        <v>43784</v>
      </c>
      <c r="I18" s="55">
        <f>SUMIFS('Week 49 Nov 30 - Dec 6 2020'!E:E,'Week 49 Nov 30 - Dec 6 2020'!D:D,'Week 50 Dec 7 - Dec 13 2020'!D:D,'Week 49 Nov 30 - Dec 6 2020'!C:C,'Week 50 Dec 7 - Dec 13 2020'!C:C)</f>
        <v>8827</v>
      </c>
      <c r="J18" s="56">
        <f t="shared" si="0"/>
        <v>0.56927608474000224</v>
      </c>
    </row>
    <row r="19" spans="1:10" x14ac:dyDescent="0.2">
      <c r="A19" s="105">
        <v>18</v>
      </c>
      <c r="B19" s="47">
        <v>27</v>
      </c>
      <c r="C19" s="47" t="s">
        <v>7</v>
      </c>
      <c r="D19" s="86" t="s">
        <v>50</v>
      </c>
      <c r="E19" s="55">
        <v>13319</v>
      </c>
      <c r="F19" s="55">
        <f>SUMIFS('Week 49 Nov 30 - Dec 6 2020'!F:F,'Week 49 Nov 30 - Dec 6 2020'!D:D,'Week 50 Dec 7 - Dec 13 2020'!D:D,'Week 49 Nov 30 - Dec 6 2020'!C:C,'Week 50 Dec 7 - Dec 13 2020'!C:C)+Table404243465051444825[[#This Row],[Week Sales]]</f>
        <v>455474</v>
      </c>
      <c r="G19" s="47" t="str">
        <f>(VLOOKUP(D:D,'Week 49 Nov 30 - Dec 6 2020'!D:G,4,FALSE))</f>
        <v>Nintendo</v>
      </c>
      <c r="H19" s="60">
        <f>(VLOOKUP(D:D,'Week 49 Nov 30 - Dec 6 2020'!D:H,5,FALSE))</f>
        <v>43987</v>
      </c>
      <c r="I19" s="55">
        <f>SUMIFS('Week 49 Nov 30 - Dec 6 2020'!E:E,'Week 49 Nov 30 - Dec 6 2020'!D:D,'Week 50 Dec 7 - Dec 13 2020'!D:D,'Week 49 Nov 30 - Dec 6 2020'!C:C,'Week 50 Dec 7 - Dec 13 2020'!C:C)</f>
        <v>6941</v>
      </c>
      <c r="J19" s="56">
        <f t="shared" si="0"/>
        <v>0.91888776833309327</v>
      </c>
    </row>
    <row r="20" spans="1:10" x14ac:dyDescent="0.2">
      <c r="A20" s="46">
        <v>19</v>
      </c>
      <c r="B20" s="46" t="s">
        <v>36</v>
      </c>
      <c r="C20" s="46" t="s">
        <v>7</v>
      </c>
      <c r="D20" s="95" t="s">
        <v>310</v>
      </c>
      <c r="E20" s="73">
        <v>9334</v>
      </c>
      <c r="F20" s="73">
        <f>SUMIFS('Week 49 Nov 30 - Dec 6 2020'!F:F,'Week 49 Nov 30 - Dec 6 2020'!D:D,'Week 50 Dec 7 - Dec 13 2020'!D:D,'Week 49 Nov 30 - Dec 6 2020'!C:C,'Week 50 Dec 7 - Dec 13 2020'!C:C)+Table404243465051444825[[#This Row],[Week Sales]]</f>
        <v>9334</v>
      </c>
      <c r="G20" s="46" t="s">
        <v>311</v>
      </c>
      <c r="H20" s="72">
        <v>44175</v>
      </c>
      <c r="I20" s="73" t="s">
        <v>36</v>
      </c>
      <c r="J20" s="90" t="str">
        <f t="shared" si="0"/>
        <v>New</v>
      </c>
    </row>
    <row r="21" spans="1:10" x14ac:dyDescent="0.2">
      <c r="A21" s="47">
        <v>20</v>
      </c>
      <c r="B21" s="47">
        <v>29</v>
      </c>
      <c r="C21" s="47" t="s">
        <v>7</v>
      </c>
      <c r="D21" s="86" t="s">
        <v>17</v>
      </c>
      <c r="E21" s="55">
        <v>8925</v>
      </c>
      <c r="F21" s="55">
        <f>SUMIFS('Week 49 Nov 30 - Dec 6 2020'!F:F,'Week 49 Nov 30 - Dec 6 2020'!D:D,'Week 50 Dec 7 - Dec 13 2020'!D:D,'Week 49 Nov 30 - Dec 6 2020'!C:C,'Week 50 Dec 7 - Dec 13 2020'!C:C)+Table404243465051444825[[#This Row],[Week Sales]]</f>
        <v>950776</v>
      </c>
      <c r="G21" s="47" t="str">
        <f>(VLOOKUP(D:D,'Week 49 Nov 30 - Dec 6 2020'!D:G,4,FALSE))</f>
        <v>Nintendo</v>
      </c>
      <c r="H21" s="60">
        <f>(VLOOKUP(D:D,'Week 49 Nov 30 - Dec 6 2020'!D:H,5,FALSE))</f>
        <v>43476</v>
      </c>
      <c r="I21" s="55">
        <f>SUMIFS('Week 49 Nov 30 - Dec 6 2020'!E:E,'Week 49 Nov 30 - Dec 6 2020'!D:D,'Week 50 Dec 7 - Dec 13 2020'!D:D,'Week 49 Nov 30 - Dec 6 2020'!C:C,'Week 50 Dec 7 - Dec 13 2020'!C:C)</f>
        <v>6319</v>
      </c>
      <c r="J21" s="56">
        <f t="shared" si="0"/>
        <v>0.41240702642823229</v>
      </c>
    </row>
    <row r="22" spans="1:10" x14ac:dyDescent="0.2">
      <c r="A22" s="52">
        <v>21</v>
      </c>
      <c r="B22" s="52" t="s">
        <v>53</v>
      </c>
      <c r="C22" s="52" t="s">
        <v>7</v>
      </c>
      <c r="D22" s="91" t="s">
        <v>19</v>
      </c>
      <c r="E22" s="75">
        <v>8758</v>
      </c>
      <c r="F22" s="128">
        <v>1005111</v>
      </c>
      <c r="G22" s="52" t="str">
        <f>(VLOOKUP(D:D,'Week 48 Nov 23 - Nov 29 2020'!D:G,4,FALSE))</f>
        <v>Nintendo</v>
      </c>
      <c r="H22" s="74">
        <f>(VLOOKUP(D:D,'Week 48 Nov 23 - Nov 29 2020'!D:H,5,FALSE))</f>
        <v>43644</v>
      </c>
      <c r="I22" s="75">
        <v>4860</v>
      </c>
      <c r="J22" s="76">
        <f t="shared" si="0"/>
        <v>0.80205761316872426</v>
      </c>
    </row>
    <row r="23" spans="1:10" x14ac:dyDescent="0.2">
      <c r="A23" s="46">
        <v>22</v>
      </c>
      <c r="B23" s="46" t="s">
        <v>36</v>
      </c>
      <c r="C23" s="46" t="s">
        <v>7</v>
      </c>
      <c r="D23" s="95" t="s">
        <v>312</v>
      </c>
      <c r="E23" s="73">
        <v>7929</v>
      </c>
      <c r="F23" s="73">
        <f>SUMIFS('Week 49 Nov 30 - Dec 6 2020'!F:F,'Week 49 Nov 30 - Dec 6 2020'!D:D,'Week 50 Dec 7 - Dec 13 2020'!D:D,'Week 49 Nov 30 - Dec 6 2020'!C:C,'Week 50 Dec 7 - Dec 13 2020'!C:C)+Table404243465051444825[[#This Row],[Week Sales]]</f>
        <v>7929</v>
      </c>
      <c r="G23" s="46" t="s">
        <v>166</v>
      </c>
      <c r="H23" s="72">
        <v>44175</v>
      </c>
      <c r="I23" s="73" t="s">
        <v>36</v>
      </c>
      <c r="J23" s="90" t="str">
        <f t="shared" si="0"/>
        <v>New</v>
      </c>
    </row>
    <row r="24" spans="1:10" x14ac:dyDescent="0.2">
      <c r="A24" s="47">
        <v>23</v>
      </c>
      <c r="B24" s="47">
        <v>28</v>
      </c>
      <c r="C24" s="47" t="s">
        <v>7</v>
      </c>
      <c r="D24" s="86" t="s">
        <v>39</v>
      </c>
      <c r="E24" s="55">
        <v>7761</v>
      </c>
      <c r="F24" s="55">
        <f>SUMIFS('Week 49 Nov 30 - Dec 6 2020'!F:F,'Week 49 Nov 30 - Dec 6 2020'!D:D,'Week 50 Dec 7 - Dec 13 2020'!D:D,'Week 49 Nov 30 - Dec 6 2020'!C:C,'Week 50 Dec 7 - Dec 13 2020'!C:C)+Table404243465051444825[[#This Row],[Week Sales]]</f>
        <v>1704639</v>
      </c>
      <c r="G24" s="47" t="str">
        <f>(VLOOKUP(D:D,'Week 49 Nov 30 - Dec 6 2020'!D:G,4,FALSE))</f>
        <v>Nintendo</v>
      </c>
      <c r="H24" s="60">
        <f>(VLOOKUP(D:D,'Week 49 Nov 30 - Dec 6 2020'!D:H,5,FALSE))</f>
        <v>42797</v>
      </c>
      <c r="I24" s="55">
        <f>SUMIFS('Week 49 Nov 30 - Dec 6 2020'!E:E,'Week 49 Nov 30 - Dec 6 2020'!D:D,'Week 50 Dec 7 - Dec 13 2020'!D:D,'Week 49 Nov 30 - Dec 6 2020'!C:C,'Week 50 Dec 7 - Dec 13 2020'!C:C)</f>
        <v>6519</v>
      </c>
      <c r="J24" s="56">
        <f t="shared" si="0"/>
        <v>0.19052001840773125</v>
      </c>
    </row>
    <row r="25" spans="1:10" x14ac:dyDescent="0.2">
      <c r="A25" s="47">
        <v>24</v>
      </c>
      <c r="B25" s="47">
        <v>26</v>
      </c>
      <c r="C25" s="47" t="s">
        <v>7</v>
      </c>
      <c r="D25" s="47" t="s">
        <v>168</v>
      </c>
      <c r="E25" s="55">
        <v>7407</v>
      </c>
      <c r="F25" s="55">
        <f>SUMIFS('Week 49 Nov 30 - Dec 6 2020'!F:F,'Week 49 Nov 30 - Dec 6 2020'!D:D,'Week 50 Dec 7 - Dec 13 2020'!D:D,'Week 49 Nov 30 - Dec 6 2020'!C:C,'Week 50 Dec 7 - Dec 13 2020'!C:C)+Table404243465051444825[[#This Row],[Week Sales]]</f>
        <v>30343</v>
      </c>
      <c r="G25" s="47" t="str">
        <f>(VLOOKUP(D:D,'Week 49 Nov 30 - Dec 6 2020'!D:G,4,FALSE))</f>
        <v>Bandai Namco</v>
      </c>
      <c r="H25" s="60">
        <f>(VLOOKUP(D:D,'Week 49 Nov 30 - Dec 6 2020'!D:H,5,FALSE))</f>
        <v>44161</v>
      </c>
      <c r="I25" s="55">
        <f>SUMIFS('Week 49 Nov 30 - Dec 6 2020'!E:E,'Week 49 Nov 30 - Dec 6 2020'!D:D,'Week 50 Dec 7 - Dec 13 2020'!D:D,'Week 49 Nov 30 - Dec 6 2020'!C:C,'Week 50 Dec 7 - Dec 13 2020'!C:C)</f>
        <v>7432</v>
      </c>
      <c r="J25" s="56">
        <f t="shared" si="0"/>
        <v>-3.3638320775026911E-3</v>
      </c>
    </row>
    <row r="26" spans="1:10" x14ac:dyDescent="0.2">
      <c r="A26" s="47">
        <v>25</v>
      </c>
      <c r="B26" s="47">
        <v>7</v>
      </c>
      <c r="C26" s="47" t="s">
        <v>8</v>
      </c>
      <c r="D26" s="47" t="s">
        <v>175</v>
      </c>
      <c r="E26" s="55">
        <v>7243</v>
      </c>
      <c r="F26" s="55">
        <f>SUMIFS('Week 49 Nov 30 - Dec 6 2020'!F:F,'Week 49 Nov 30 - Dec 6 2020'!D:D,'Week 50 Dec 7 - Dec 13 2020'!D:D,'Week 49 Nov 30 - Dec 6 2020'!C:C,'Week 50 Dec 7 - Dec 13 2020'!C:C)+Table404243465051444825[[#This Row],[Week Sales]]</f>
        <v>35855</v>
      </c>
      <c r="G26" s="47" t="str">
        <f>(VLOOKUP(D:D,'Week 49 Nov 30 - Dec 6 2020'!D:G,4,FALSE))</f>
        <v>Square Enix</v>
      </c>
      <c r="H26" s="60">
        <f>(VLOOKUP(D:D,'Week 49 Nov 30 - Dec 6 2020'!D:H,5,FALSE))</f>
        <v>44169</v>
      </c>
      <c r="I26" s="55">
        <f>SUMIFS('Week 49 Nov 30 - Dec 6 2020'!E:E,'Week 49 Nov 30 - Dec 6 2020'!D:D,'Week 50 Dec 7 - Dec 13 2020'!D:D,'Week 49 Nov 30 - Dec 6 2020'!C:C,'Week 50 Dec 7 - Dec 13 2020'!C:C)</f>
        <v>28612</v>
      </c>
      <c r="J26" s="56">
        <f t="shared" si="0"/>
        <v>-0.74685446665734656</v>
      </c>
    </row>
    <row r="27" spans="1:10" x14ac:dyDescent="0.2">
      <c r="A27" s="47">
        <v>26</v>
      </c>
      <c r="B27" s="47">
        <v>18</v>
      </c>
      <c r="C27" s="47" t="s">
        <v>7</v>
      </c>
      <c r="D27" s="47" t="s">
        <v>304</v>
      </c>
      <c r="E27" s="55">
        <v>7164</v>
      </c>
      <c r="F27" s="55">
        <f>SUMIFS('Week 49 Nov 30 - Dec 6 2020'!F:F,'Week 49 Nov 30 - Dec 6 2020'!D:D,'Week 50 Dec 7 - Dec 13 2020'!D:D,'Week 49 Nov 30 - Dec 6 2020'!C:C,'Week 50 Dec 7 - Dec 13 2020'!C:C)+Table404243465051444825[[#This Row],[Week Sales]]</f>
        <v>19819</v>
      </c>
      <c r="G27" s="47" t="str">
        <f>(VLOOKUP(D:D,'Week 49 Nov 30 - Dec 6 2020'!D:G,4,FALSE))</f>
        <v>Square Enix</v>
      </c>
      <c r="H27" s="60">
        <f>(VLOOKUP(D:D,'Week 49 Nov 30 - Dec 6 2020'!D:H,5,FALSE))</f>
        <v>44169</v>
      </c>
      <c r="I27" s="55">
        <f>SUMIFS('Week 49 Nov 30 - Dec 6 2020'!E:E,'Week 49 Nov 30 - Dec 6 2020'!D:D,'Week 50 Dec 7 - Dec 13 2020'!D:D,'Week 49 Nov 30 - Dec 6 2020'!C:C,'Week 50 Dec 7 - Dec 13 2020'!C:C)</f>
        <v>12655</v>
      </c>
      <c r="J27" s="56">
        <f t="shared" si="0"/>
        <v>-0.43389964440932438</v>
      </c>
    </row>
    <row r="28" spans="1:10" x14ac:dyDescent="0.2">
      <c r="A28" s="52">
        <v>27</v>
      </c>
      <c r="B28" s="52" t="s">
        <v>53</v>
      </c>
      <c r="C28" s="52" t="s">
        <v>7</v>
      </c>
      <c r="D28" s="52" t="s">
        <v>20</v>
      </c>
      <c r="E28" s="75">
        <v>6720</v>
      </c>
      <c r="F28" s="75">
        <v>522049</v>
      </c>
      <c r="G28" s="52" t="str">
        <f>(VLOOKUP(D:D,'Week 47 Nov 16 - Nov 22 2020'!D:G,4,FALSE))</f>
        <v>Bandai Namco</v>
      </c>
      <c r="H28" s="74">
        <f>(VLOOKUP(D:D,'Week 47 Nov 16 - Nov 22 2020'!D:H,5,FALSE))</f>
        <v>43671</v>
      </c>
      <c r="I28" s="75"/>
      <c r="J28" s="76"/>
    </row>
    <row r="29" spans="1:10" x14ac:dyDescent="0.2">
      <c r="A29" s="47">
        <v>28</v>
      </c>
      <c r="B29" s="47">
        <v>14</v>
      </c>
      <c r="C29" s="47" t="s">
        <v>7</v>
      </c>
      <c r="D29" s="47" t="s">
        <v>303</v>
      </c>
      <c r="E29" s="55">
        <v>6547</v>
      </c>
      <c r="F29" s="55">
        <f>SUMIFS('Week 49 Nov 30 - Dec 6 2020'!F:F,'Week 49 Nov 30 - Dec 6 2020'!D:D,'Week 50 Dec 7 - Dec 13 2020'!D:D,'Week 49 Nov 30 - Dec 6 2020'!C:C,'Week 50 Dec 7 - Dec 13 2020'!C:C)+Table404243465051444825[[#This Row],[Week Sales]]</f>
        <v>22067</v>
      </c>
      <c r="G29" s="47" t="str">
        <f>(VLOOKUP(D:D,'Week 49 Nov 30 - Dec 6 2020'!D:G,4,FALSE))</f>
        <v>Imagineer</v>
      </c>
      <c r="H29" s="60">
        <f>(VLOOKUP(D:D,'Week 49 Nov 30 - Dec 6 2020'!D:H,5,FALSE))</f>
        <v>44168</v>
      </c>
      <c r="I29" s="55">
        <f>SUMIFS('Week 49 Nov 30 - Dec 6 2020'!E:E,'Week 49 Nov 30 - Dec 6 2020'!D:D,'Week 50 Dec 7 - Dec 13 2020'!D:D,'Week 49 Nov 30 - Dec 6 2020'!C:C,'Week 50 Dec 7 - Dec 13 2020'!C:C)</f>
        <v>15520</v>
      </c>
      <c r="J29" s="56">
        <f t="shared" si="0"/>
        <v>-0.57815721649484542</v>
      </c>
    </row>
    <row r="30" spans="1:10" x14ac:dyDescent="0.2">
      <c r="A30" s="52">
        <v>29</v>
      </c>
      <c r="B30" s="52" t="s">
        <v>53</v>
      </c>
      <c r="C30" s="52" t="s">
        <v>7</v>
      </c>
      <c r="D30" s="91" t="s">
        <v>26</v>
      </c>
      <c r="E30" s="75">
        <v>6480</v>
      </c>
      <c r="F30" s="75">
        <v>2157081</v>
      </c>
      <c r="G30" s="52" t="str">
        <f>(VLOOKUP(D:D,'Week 45 Nov 2 - Nov 8 2020'!D:G,4,FALSE))</f>
        <v>Nintendo</v>
      </c>
      <c r="H30" s="74">
        <f>(VLOOKUP(D:D,'Week 45 Nov 2 - Nov 8 2020'!D:H,5,FALSE))</f>
        <v>43035</v>
      </c>
      <c r="I30" s="75"/>
      <c r="J30" s="76"/>
    </row>
    <row r="31" spans="1:10" x14ac:dyDescent="0.2">
      <c r="A31" s="129">
        <v>30</v>
      </c>
      <c r="B31" s="58" t="s">
        <v>53</v>
      </c>
      <c r="C31" s="52" t="s">
        <v>7</v>
      </c>
      <c r="D31" s="31" t="s">
        <v>56</v>
      </c>
      <c r="E31" s="88">
        <v>6447</v>
      </c>
      <c r="F31" s="75">
        <v>64456</v>
      </c>
      <c r="G31" s="52" t="str">
        <f>(VLOOKUP(D:D,'Week 45 Nov 2 - Nov 8 2020'!D:G,4,FALSE))</f>
        <v>Teyon Japan</v>
      </c>
      <c r="H31" s="74">
        <f>(VLOOKUP(D:D,'Week 45 Nov 2 - Nov 8 2020'!D:H,5,FALSE))</f>
        <v>44007</v>
      </c>
      <c r="I31" s="75"/>
      <c r="J31" s="76"/>
    </row>
    <row r="33" spans="4:5" x14ac:dyDescent="0.2">
      <c r="D33" s="2" t="s">
        <v>59</v>
      </c>
      <c r="E33" s="2">
        <f>SUM(E2:E31)</f>
        <v>775451</v>
      </c>
    </row>
    <row r="34" spans="4:5" x14ac:dyDescent="0.2">
      <c r="D34" s="100" t="s">
        <v>178</v>
      </c>
      <c r="E34" s="101">
        <f>SUM('Week 49 Nov 30 - Dec 6 2020'!E34,'Week 50 Dec 7 - Dec 13 2020'!E33)</f>
        <v>22540238</v>
      </c>
    </row>
    <row r="35" spans="4:5" x14ac:dyDescent="0.2">
      <c r="D35" s="2" t="s">
        <v>60</v>
      </c>
      <c r="E35" s="2">
        <f>AVERAGE(E2:E31)</f>
        <v>25848.366666666665</v>
      </c>
    </row>
    <row r="36" spans="4:5" x14ac:dyDescent="0.2">
      <c r="D36" s="9" t="s">
        <v>78</v>
      </c>
      <c r="E36" s="10">
        <f>COUNTIF(B:B,"New")</f>
        <v>4</v>
      </c>
    </row>
    <row r="38" spans="4:5" x14ac:dyDescent="0.2">
      <c r="D38" t="s">
        <v>66</v>
      </c>
    </row>
    <row r="39" spans="4:5" x14ac:dyDescent="0.2">
      <c r="D39" s="8" t="s">
        <v>67</v>
      </c>
    </row>
    <row r="40" spans="4:5" x14ac:dyDescent="0.2">
      <c r="D40" s="8" t="s">
        <v>65</v>
      </c>
    </row>
    <row r="41" spans="4:5" x14ac:dyDescent="0.2">
      <c r="D41" s="8" t="s">
        <v>71</v>
      </c>
    </row>
  </sheetData>
  <hyperlinks>
    <hyperlink ref="D40" r:id="rId1" xr:uid="{066FA6B7-424A-C74A-B34B-D812393FA962}"/>
    <hyperlink ref="D39" r:id="rId2" xr:uid="{ABA4E317-47DE-0D4B-ADE3-E34EDA1110FF}"/>
    <hyperlink ref="D41" r:id="rId3" xr:uid="{41CF017A-9E02-F241-B408-86F454E9B0E2}"/>
  </hyperlinks>
  <pageMargins left="0.7" right="0.7" top="0.75" bottom="0.75" header="0.3" footer="0.3"/>
  <ignoredErrors>
    <ignoredError sqref="I2 G3:H8 F9:J29 F3:F8 I3:J8 F31:J31 F30:H30 J30" calculatedColumn="1"/>
  </ignoredErrors>
  <tableParts count="1">
    <tablePart r:id="rId4"/>
  </tablePar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975C9-D908-E743-B92A-4E2EC2A4E5D6}">
  <dimension ref="A1:J41"/>
  <sheetViews>
    <sheetView workbookViewId="0">
      <selection activeCell="I2" sqref="I2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5.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78" t="s">
        <v>0</v>
      </c>
      <c r="B1" s="78" t="s">
        <v>35</v>
      </c>
      <c r="C1" s="79" t="s">
        <v>1</v>
      </c>
      <c r="D1" s="79" t="s">
        <v>2</v>
      </c>
      <c r="E1" s="80" t="s">
        <v>3</v>
      </c>
      <c r="F1" s="80" t="s">
        <v>4</v>
      </c>
      <c r="G1" s="79" t="s">
        <v>5</v>
      </c>
      <c r="H1" s="81" t="s">
        <v>6</v>
      </c>
      <c r="I1" s="80" t="s">
        <v>64</v>
      </c>
      <c r="J1" s="82" t="s">
        <v>63</v>
      </c>
    </row>
    <row r="2" spans="1:10" x14ac:dyDescent="0.2">
      <c r="A2" s="47">
        <v>1</v>
      </c>
      <c r="B2" s="47">
        <v>1</v>
      </c>
      <c r="C2" s="47" t="s">
        <v>7</v>
      </c>
      <c r="D2" s="86" t="s">
        <v>163</v>
      </c>
      <c r="E2" s="55">
        <v>209123</v>
      </c>
      <c r="F2" s="55">
        <f>SUMIFS('Week 50 Dec 7 - Dec 13 2020'!F:F,'Week 50 Dec 7 - Dec 13 2020'!D:D,'Week 51 Dec 14 - Dec 20 2020'!D:D,'Week 50 Dec 7 - Dec 13 2020'!C:C,'Week 51 Dec 14 - Dec 20 2020'!C:C)+Table40424346505144482522[[#This Row],[Week Sales]]</f>
        <v>964207</v>
      </c>
      <c r="G2" s="47" t="str">
        <f>(VLOOKUP(D:D,'Week 50 Dec 7 - Dec 13 2020'!D:G,4,FALSE))</f>
        <v>Konami</v>
      </c>
      <c r="H2" s="60">
        <f>(VLOOKUP(D:D,'Week 50 Dec 7 - Dec 13 2020'!D:H,5,FALSE))</f>
        <v>44154</v>
      </c>
      <c r="I2" s="55">
        <f>SUMIFS('Week 50 Dec 7 - Dec 13 2020'!E:E,'Week 50 Dec 7 - Dec 13 2020'!D:D,'Week 51 Dec 14 - Dec 20 2020'!D:D,'Week 50 Dec 7 - Dec 13 2020'!C:C,'Week 51 Dec 14 - Dec 20 2020'!C:C)</f>
        <v>166774</v>
      </c>
      <c r="J2" s="56">
        <f>IFERROR((E2-I2)/I2,"New")</f>
        <v>0.25393046877810688</v>
      </c>
    </row>
    <row r="3" spans="1:10" x14ac:dyDescent="0.2">
      <c r="A3" s="47">
        <v>2</v>
      </c>
      <c r="B3" s="47">
        <v>3</v>
      </c>
      <c r="C3" s="47" t="s">
        <v>7</v>
      </c>
      <c r="D3" s="86" t="s">
        <v>46</v>
      </c>
      <c r="E3" s="55">
        <v>95097</v>
      </c>
      <c r="F3" s="55">
        <f>SUMIFS('Week 50 Dec 7 - Dec 13 2020'!F:F,'Week 50 Dec 7 - Dec 13 2020'!D:D,'Week 51 Dec 14 - Dec 20 2020'!D:D,'Week 50 Dec 7 - Dec 13 2020'!C:C,'Week 51 Dec 14 - Dec 20 2020'!C:C)+Table40424346505144482522[[#This Row],[Week Sales]]</f>
        <v>6270353</v>
      </c>
      <c r="G3" s="47" t="str">
        <f>(VLOOKUP(D:D,'Week 50 Dec 7 - Dec 13 2020'!D:G,4,FALSE))</f>
        <v>Nintendo</v>
      </c>
      <c r="H3" s="60">
        <f>(VLOOKUP(D:D,'Week 50 Dec 7 - Dec 13 2020'!D:H,5,FALSE))</f>
        <v>43910</v>
      </c>
      <c r="I3" s="55">
        <f>SUMIFS('Week 50 Dec 7 - Dec 13 2020'!E:E,'Week 50 Dec 7 - Dec 13 2020'!D:D,'Week 51 Dec 14 - Dec 20 2020'!D:D,'Week 50 Dec 7 - Dec 13 2020'!C:C,'Week 51 Dec 14 - Dec 20 2020'!C:C)</f>
        <v>71455</v>
      </c>
      <c r="J3" s="56">
        <f t="shared" ref="J3:J30" si="0">IFERROR((E3-I3)/I3,"New")</f>
        <v>0.33086557973549785</v>
      </c>
    </row>
    <row r="4" spans="1:10" x14ac:dyDescent="0.2">
      <c r="A4" s="47">
        <v>3</v>
      </c>
      <c r="B4" s="47">
        <v>4</v>
      </c>
      <c r="C4" s="47" t="s">
        <v>7</v>
      </c>
      <c r="D4" s="86" t="s">
        <v>45</v>
      </c>
      <c r="E4" s="55">
        <v>58654</v>
      </c>
      <c r="F4" s="55">
        <f>SUMIFS('Week 50 Dec 7 - Dec 13 2020'!F:F,'Week 50 Dec 7 - Dec 13 2020'!D:D,'Week 51 Dec 14 - Dec 20 2020'!D:D,'Week 50 Dec 7 - Dec 13 2020'!C:C,'Week 51 Dec 14 - Dec 20 2020'!C:C)+Table40424346505144482522[[#This Row],[Week Sales]]</f>
        <v>2028444</v>
      </c>
      <c r="G4" s="47" t="str">
        <f>(VLOOKUP(D:D,'Week 50 Dec 7 - Dec 13 2020'!D:G,4,FALSE))</f>
        <v>Nintendo</v>
      </c>
      <c r="H4" s="60">
        <f>(VLOOKUP(D:D,'Week 50 Dec 7 - Dec 13 2020'!D:H,5,FALSE))</f>
        <v>43756</v>
      </c>
      <c r="I4" s="55">
        <f>SUMIFS('Week 50 Dec 7 - Dec 13 2020'!E:E,'Week 50 Dec 7 - Dec 13 2020'!D:D,'Week 51 Dec 14 - Dec 20 2020'!D:D,'Week 50 Dec 7 - Dec 13 2020'!C:C,'Week 51 Dec 14 - Dec 20 2020'!C:C)</f>
        <v>49803</v>
      </c>
      <c r="J4" s="56">
        <f t="shared" si="0"/>
        <v>0.17772021765757082</v>
      </c>
    </row>
    <row r="5" spans="1:10" x14ac:dyDescent="0.2">
      <c r="A5" s="47">
        <v>4</v>
      </c>
      <c r="B5" s="47">
        <v>5</v>
      </c>
      <c r="C5" s="47" t="s">
        <v>7</v>
      </c>
      <c r="D5" s="86" t="s">
        <v>49</v>
      </c>
      <c r="E5" s="55">
        <v>44450</v>
      </c>
      <c r="F5" s="55">
        <f>SUMIFS('Week 50 Dec 7 - Dec 13 2020'!F:F,'Week 50 Dec 7 - Dec 13 2020'!D:D,'Week 51 Dec 14 - Dec 20 2020'!D:D,'Week 50 Dec 7 - Dec 13 2020'!C:C,'Week 51 Dec 14 - Dec 20 2020'!C:C)+Table40424346505144482522[[#This Row],[Week Sales]]</f>
        <v>3388984</v>
      </c>
      <c r="G5" s="47" t="str">
        <f>(VLOOKUP(D:D,'Week 50 Dec 7 - Dec 13 2020'!D:G,4,FALSE))</f>
        <v>Nintendo</v>
      </c>
      <c r="H5" s="60">
        <f>(VLOOKUP(D:D,'Week 50 Dec 7 - Dec 13 2020'!D:H,5,FALSE))</f>
        <v>42853</v>
      </c>
      <c r="I5" s="55">
        <f>SUMIFS('Week 50 Dec 7 - Dec 13 2020'!E:E,'Week 50 Dec 7 - Dec 13 2020'!D:D,'Week 51 Dec 14 - Dec 20 2020'!D:D,'Week 50 Dec 7 - Dec 13 2020'!C:C,'Week 51 Dec 14 - Dec 20 2020'!C:C)</f>
        <v>31896</v>
      </c>
      <c r="J5" s="56">
        <f t="shared" si="0"/>
        <v>0.39359167293704539</v>
      </c>
    </row>
    <row r="6" spans="1:10" x14ac:dyDescent="0.2">
      <c r="A6" s="47">
        <v>5</v>
      </c>
      <c r="B6" s="47">
        <v>6</v>
      </c>
      <c r="C6" s="47" t="s">
        <v>7</v>
      </c>
      <c r="D6" s="47" t="s">
        <v>132</v>
      </c>
      <c r="E6" s="55">
        <v>40359</v>
      </c>
      <c r="F6" s="55">
        <f>SUMIFS('Week 50 Dec 7 - Dec 13 2020'!F:F,'Week 50 Dec 7 - Dec 13 2020'!D:D,'Week 51 Dec 14 - Dec 20 2020'!D:D,'Week 50 Dec 7 - Dec 13 2020'!C:C,'Week 51 Dec 14 - Dec 20 2020'!C:C)+Table40424346505144482522[[#This Row],[Week Sales]]</f>
        <v>407820</v>
      </c>
      <c r="G6" s="47" t="str">
        <f>(VLOOKUP(D:D,'Week 50 Dec 7 - Dec 13 2020'!D:G,4,FALSE))</f>
        <v>Nintendo</v>
      </c>
      <c r="H6" s="60">
        <f>(VLOOKUP(D:D,'Week 50 Dec 7 - Dec 13 2020'!D:H,5,FALSE))</f>
        <v>44134</v>
      </c>
      <c r="I6" s="55">
        <f>SUMIFS('Week 50 Dec 7 - Dec 13 2020'!E:E,'Week 50 Dec 7 - Dec 13 2020'!D:D,'Week 51 Dec 14 - Dec 20 2020'!D:D,'Week 50 Dec 7 - Dec 13 2020'!C:C,'Week 51 Dec 14 - Dec 20 2020'!C:C)</f>
        <v>30319</v>
      </c>
      <c r="J6" s="56">
        <f t="shared" si="0"/>
        <v>0.33114548632870477</v>
      </c>
    </row>
    <row r="7" spans="1:10" x14ac:dyDescent="0.2">
      <c r="A7" s="47">
        <v>6</v>
      </c>
      <c r="B7" s="47">
        <v>8</v>
      </c>
      <c r="C7" s="47" t="s">
        <v>7</v>
      </c>
      <c r="D7" s="86" t="s">
        <v>12</v>
      </c>
      <c r="E7" s="55">
        <v>35165</v>
      </c>
      <c r="F7" s="55">
        <f>SUMIFS('Week 50 Dec 7 - Dec 13 2020'!F:F,'Week 50 Dec 7 - Dec 13 2020'!D:D,'Week 51 Dec 14 - Dec 20 2020'!D:D,'Week 50 Dec 7 - Dec 13 2020'!C:C,'Week 51 Dec 14 - Dec 20 2020'!C:C)+Table40424346505144482522[[#This Row],[Week Sales]]</f>
        <v>1654462</v>
      </c>
      <c r="G7" s="47" t="str">
        <f>(VLOOKUP(D:D,'Week 50 Dec 7 - Dec 13 2020'!D:G,4,FALSE))</f>
        <v>Microsoft</v>
      </c>
      <c r="H7" s="60">
        <f>(VLOOKUP(D:D,'Week 50 Dec 7 - Dec 13 2020'!D:H,5,FALSE))</f>
        <v>43272</v>
      </c>
      <c r="I7" s="55">
        <f>SUMIFS('Week 50 Dec 7 - Dec 13 2020'!E:E,'Week 50 Dec 7 - Dec 13 2020'!D:D,'Week 51 Dec 14 - Dec 20 2020'!D:D,'Week 50 Dec 7 - Dec 13 2020'!C:C,'Week 51 Dec 14 - Dec 20 2020'!C:C)</f>
        <v>25427</v>
      </c>
      <c r="J7" s="56">
        <f t="shared" si="0"/>
        <v>0.38297872340425532</v>
      </c>
    </row>
    <row r="8" spans="1:10" x14ac:dyDescent="0.2">
      <c r="A8" s="47">
        <v>7</v>
      </c>
      <c r="B8" s="47">
        <v>9</v>
      </c>
      <c r="C8" s="47" t="s">
        <v>7</v>
      </c>
      <c r="D8" s="86" t="s">
        <v>52</v>
      </c>
      <c r="E8" s="55">
        <v>33475</v>
      </c>
      <c r="F8" s="55">
        <f>SUMIFS('Week 50 Dec 7 - Dec 13 2020'!F:F,'Week 50 Dec 7 - Dec 13 2020'!D:D,'Week 51 Dec 14 - Dec 20 2020'!D:D,'Week 50 Dec 7 - Dec 13 2020'!C:C,'Week 51 Dec 14 - Dec 20 2020'!C:C)+Table40424346505144482522[[#This Row],[Week Sales]]</f>
        <v>3959987</v>
      </c>
      <c r="G8" s="47" t="str">
        <f>(VLOOKUP(D:D,'Week 50 Dec 7 - Dec 13 2020'!D:G,4,FALSE))</f>
        <v>Nintendo</v>
      </c>
      <c r="H8" s="60">
        <f>(VLOOKUP(D:D,'Week 50 Dec 7 - Dec 13 2020'!D:H,5,FALSE))</f>
        <v>43441</v>
      </c>
      <c r="I8" s="55">
        <f>SUMIFS('Week 50 Dec 7 - Dec 13 2020'!E:E,'Week 50 Dec 7 - Dec 13 2020'!D:D,'Week 51 Dec 14 - Dec 20 2020'!D:D,'Week 50 Dec 7 - Dec 13 2020'!C:C,'Week 51 Dec 14 - Dec 20 2020'!C:C)</f>
        <v>22886</v>
      </c>
      <c r="J8" s="56">
        <f t="shared" si="0"/>
        <v>0.46268461067901773</v>
      </c>
    </row>
    <row r="9" spans="1:10" x14ac:dyDescent="0.2">
      <c r="A9" s="47">
        <v>8</v>
      </c>
      <c r="B9" s="47">
        <v>10</v>
      </c>
      <c r="C9" s="47" t="s">
        <v>7</v>
      </c>
      <c r="D9" s="86" t="s">
        <v>13</v>
      </c>
      <c r="E9" s="55">
        <v>30046</v>
      </c>
      <c r="F9" s="55">
        <f>SUMIFS('Week 50 Dec 7 - Dec 13 2020'!F:F,'Week 50 Dec 7 - Dec 13 2020'!D:D,'Week 51 Dec 14 - Dec 20 2020'!D:D,'Week 50 Dec 7 - Dec 13 2020'!C:C,'Week 51 Dec 14 - Dec 20 2020'!C:C)+Table40424346505144482522[[#This Row],[Week Sales]]</f>
        <v>1687940</v>
      </c>
      <c r="G9" s="47" t="str">
        <f>(VLOOKUP(D:D,'Week 50 Dec 7 - Dec 13 2020'!D:G,4,FALSE))</f>
        <v>Nintendo</v>
      </c>
      <c r="H9" s="60">
        <f>(VLOOKUP(D:D,'Week 50 Dec 7 - Dec 13 2020'!D:H,5,FALSE))</f>
        <v>43378</v>
      </c>
      <c r="I9" s="55">
        <f>SUMIFS('Week 50 Dec 7 - Dec 13 2020'!E:E,'Week 50 Dec 7 - Dec 13 2020'!D:D,'Week 51 Dec 14 - Dec 20 2020'!D:D,'Week 50 Dec 7 - Dec 13 2020'!C:C,'Week 51 Dec 14 - Dec 20 2020'!C:C)</f>
        <v>22414</v>
      </c>
      <c r="J9" s="56">
        <f t="shared" si="0"/>
        <v>0.34050147229410188</v>
      </c>
    </row>
    <row r="10" spans="1:10" x14ac:dyDescent="0.2">
      <c r="A10" s="47">
        <v>9</v>
      </c>
      <c r="B10" s="47">
        <v>13</v>
      </c>
      <c r="C10" s="47" t="s">
        <v>7</v>
      </c>
      <c r="D10" s="86" t="s">
        <v>40</v>
      </c>
      <c r="E10" s="55">
        <v>28102</v>
      </c>
      <c r="F10" s="55">
        <f>SUMIFS('Week 50 Dec 7 - Dec 13 2020'!F:F,'Week 50 Dec 7 - Dec 13 2020'!D:D,'Week 51 Dec 14 - Dec 20 2020'!D:D,'Week 50 Dec 7 - Dec 13 2020'!C:C,'Week 51 Dec 14 - Dec 20 2020'!C:C)+Table40424346505144482522[[#This Row],[Week Sales]]</f>
        <v>455469</v>
      </c>
      <c r="G10" s="47" t="str">
        <f>(VLOOKUP(D:D,'Week 50 Dec 7 - Dec 13 2020'!D:G,4,FALSE))</f>
        <v>Nintendo</v>
      </c>
      <c r="H10" s="60">
        <f>(VLOOKUP(D:D,'Week 50 Dec 7 - Dec 13 2020'!D:H,5,FALSE))</f>
        <v>44092</v>
      </c>
      <c r="I10" s="55">
        <f>SUMIFS('Week 50 Dec 7 - Dec 13 2020'!E:E,'Week 50 Dec 7 - Dec 13 2020'!D:D,'Week 51 Dec 14 - Dec 20 2020'!D:D,'Week 50 Dec 7 - Dec 13 2020'!C:C,'Week 51 Dec 14 - Dec 20 2020'!C:C)</f>
        <v>18761</v>
      </c>
      <c r="J10" s="56">
        <f t="shared" si="0"/>
        <v>0.49789456851980174</v>
      </c>
    </row>
    <row r="11" spans="1:10" x14ac:dyDescent="0.2">
      <c r="A11" s="47">
        <v>10</v>
      </c>
      <c r="B11" s="47">
        <v>18</v>
      </c>
      <c r="C11" s="47" t="s">
        <v>7</v>
      </c>
      <c r="D11" s="86" t="s">
        <v>50</v>
      </c>
      <c r="E11" s="55">
        <v>24502</v>
      </c>
      <c r="F11" s="55">
        <f>SUMIFS('Week 50 Dec 7 - Dec 13 2020'!F:F,'Week 50 Dec 7 - Dec 13 2020'!D:D,'Week 51 Dec 14 - Dec 20 2020'!D:D,'Week 50 Dec 7 - Dec 13 2020'!C:C,'Week 51 Dec 14 - Dec 20 2020'!C:C)+Table40424346505144482522[[#This Row],[Week Sales]]</f>
        <v>479976</v>
      </c>
      <c r="G11" s="47" t="str">
        <f>(VLOOKUP(D:D,'Week 50 Dec 7 - Dec 13 2020'!D:G,4,FALSE))</f>
        <v>Nintendo</v>
      </c>
      <c r="H11" s="60">
        <f>(VLOOKUP(D:D,'Week 50 Dec 7 - Dec 13 2020'!D:H,5,FALSE))</f>
        <v>43987</v>
      </c>
      <c r="I11" s="55">
        <f>SUMIFS('Week 50 Dec 7 - Dec 13 2020'!E:E,'Week 50 Dec 7 - Dec 13 2020'!D:D,'Week 51 Dec 14 - Dec 20 2020'!D:D,'Week 50 Dec 7 - Dec 13 2020'!C:C,'Week 51 Dec 14 - Dec 20 2020'!C:C)</f>
        <v>13319</v>
      </c>
      <c r="J11" s="56">
        <f t="shared" si="0"/>
        <v>0.83962759966964484</v>
      </c>
    </row>
    <row r="12" spans="1:10" x14ac:dyDescent="0.2">
      <c r="A12" s="47">
        <v>11</v>
      </c>
      <c r="B12" s="47">
        <v>11</v>
      </c>
      <c r="C12" s="47" t="s">
        <v>7</v>
      </c>
      <c r="D12" s="86" t="s">
        <v>145</v>
      </c>
      <c r="E12" s="55">
        <v>23189</v>
      </c>
      <c r="F12" s="55">
        <f>SUMIFS('Week 50 Dec 7 - Dec 13 2020'!F:F,'Week 50 Dec 7 - Dec 13 2020'!D:D,'Week 51 Dec 14 - Dec 20 2020'!D:D,'Week 50 Dec 7 - Dec 13 2020'!C:C,'Week 51 Dec 14 - Dec 20 2020'!C:C)+Table40424346505144482522[[#This Row],[Week Sales]]</f>
        <v>115454</v>
      </c>
      <c r="G12" s="47" t="str">
        <f>(VLOOKUP(D:D,'Week 50 Dec 7 - Dec 13 2020'!D:G,4,FALSE))</f>
        <v>The Pokemon Company</v>
      </c>
      <c r="H12" s="60">
        <f>(VLOOKUP(D:D,'Week 50 Dec 7 - Dec 13 2020'!D:H,5,FALSE))</f>
        <v>43784</v>
      </c>
      <c r="I12" s="55">
        <f>SUMIFS('Week 50 Dec 7 - Dec 13 2020'!E:E,'Week 50 Dec 7 - Dec 13 2020'!D:D,'Week 51 Dec 14 - Dec 20 2020'!D:D,'Week 50 Dec 7 - Dec 13 2020'!C:C,'Week 51 Dec 14 - Dec 20 2020'!C:C)</f>
        <v>21264</v>
      </c>
      <c r="J12" s="56">
        <f t="shared" si="0"/>
        <v>9.0528592927012791E-2</v>
      </c>
    </row>
    <row r="13" spans="1:10" x14ac:dyDescent="0.2">
      <c r="A13" s="47">
        <v>12</v>
      </c>
      <c r="B13" s="47">
        <v>12</v>
      </c>
      <c r="C13" s="47" t="s">
        <v>7</v>
      </c>
      <c r="D13" s="86" t="s">
        <v>164</v>
      </c>
      <c r="E13" s="55">
        <v>22648</v>
      </c>
      <c r="F13" s="55">
        <f>SUMIFS('Week 50 Dec 7 - Dec 13 2020'!F:F,'Week 50 Dec 7 - Dec 13 2020'!D:D,'Week 51 Dec 14 - Dec 20 2020'!D:D,'Week 50 Dec 7 - Dec 13 2020'!C:C,'Week 51 Dec 14 - Dec 20 2020'!C:C)+Table40424346505144482522[[#This Row],[Week Sales]]</f>
        <v>278612</v>
      </c>
      <c r="G13" s="47" t="str">
        <f>(VLOOKUP(D:D,'Week 50 Dec 7 - Dec 13 2020'!D:G,4,FALSE))</f>
        <v>Koei Tecmo</v>
      </c>
      <c r="H13" s="60">
        <f>(VLOOKUP(D:D,'Week 50 Dec 7 - Dec 13 2020'!D:H,5,FALSE))</f>
        <v>44155</v>
      </c>
      <c r="I13" s="55">
        <f>SUMIFS('Week 50 Dec 7 - Dec 13 2020'!E:E,'Week 50 Dec 7 - Dec 13 2020'!D:D,'Week 51 Dec 14 - Dec 20 2020'!D:D,'Week 50 Dec 7 - Dec 13 2020'!C:C,'Week 51 Dec 14 - Dec 20 2020'!C:C)</f>
        <v>18806</v>
      </c>
      <c r="J13" s="56">
        <f t="shared" si="0"/>
        <v>0.20429650111666489</v>
      </c>
    </row>
    <row r="14" spans="1:10" x14ac:dyDescent="0.2">
      <c r="A14" s="131">
        <v>13</v>
      </c>
      <c r="B14" s="46" t="s">
        <v>36</v>
      </c>
      <c r="C14" s="46" t="s">
        <v>7</v>
      </c>
      <c r="D14" s="95" t="s">
        <v>313</v>
      </c>
      <c r="E14" s="73">
        <v>21147</v>
      </c>
      <c r="F14" s="73">
        <v>30590</v>
      </c>
      <c r="G14" s="46" t="s">
        <v>98</v>
      </c>
      <c r="H14" s="72">
        <v>44182</v>
      </c>
      <c r="I14" s="73" t="s">
        <v>36</v>
      </c>
      <c r="J14" s="90" t="str">
        <f t="shared" si="0"/>
        <v>New</v>
      </c>
    </row>
    <row r="15" spans="1:10" x14ac:dyDescent="0.2">
      <c r="A15" s="47">
        <v>14</v>
      </c>
      <c r="B15" s="47">
        <v>17</v>
      </c>
      <c r="C15" s="47" t="s">
        <v>7</v>
      </c>
      <c r="D15" s="86" t="s">
        <v>62</v>
      </c>
      <c r="E15" s="55">
        <v>21081</v>
      </c>
      <c r="F15" s="55">
        <f>SUMIFS('Week 50 Dec 7 - Dec 13 2020'!F:F,'Week 50 Dec 7 - Dec 13 2020'!D:D,'Week 51 Dec 14 - Dec 20 2020'!D:D,'Week 50 Dec 7 - Dec 13 2020'!C:C,'Week 51 Dec 14 - Dec 20 2020'!C:C)+Table40424346505144482522[[#This Row],[Week Sales]]</f>
        <v>3852055</v>
      </c>
      <c r="G15" s="47" t="str">
        <f>(VLOOKUP(D:D,'Week 50 Dec 7 - Dec 13 2020'!D:G,4,FALSE))</f>
        <v>The Pokemon Company</v>
      </c>
      <c r="H15" s="60">
        <f>(VLOOKUP(D:D,'Week 50 Dec 7 - Dec 13 2020'!D:H,5,FALSE))</f>
        <v>43784</v>
      </c>
      <c r="I15" s="55">
        <f>SUMIFS('Week 50 Dec 7 - Dec 13 2020'!E:E,'Week 50 Dec 7 - Dec 13 2020'!D:D,'Week 51 Dec 14 - Dec 20 2020'!D:D,'Week 50 Dec 7 - Dec 13 2020'!C:C,'Week 51 Dec 14 - Dec 20 2020'!C:C)</f>
        <v>13852</v>
      </c>
      <c r="J15" s="56">
        <f t="shared" si="0"/>
        <v>0.52187409760323422</v>
      </c>
    </row>
    <row r="16" spans="1:10" x14ac:dyDescent="0.2">
      <c r="A16" s="47">
        <v>15</v>
      </c>
      <c r="B16" s="47">
        <v>16</v>
      </c>
      <c r="C16" s="47" t="s">
        <v>7</v>
      </c>
      <c r="D16" s="86" t="s">
        <v>10</v>
      </c>
      <c r="E16" s="55">
        <v>19871</v>
      </c>
      <c r="F16" s="55">
        <f>SUMIFS('Week 50 Dec 7 - Dec 13 2020'!F:F,'Week 50 Dec 7 - Dec 13 2020'!D:D,'Week 51 Dec 14 - Dec 20 2020'!D:D,'Week 50 Dec 7 - Dec 13 2020'!C:C,'Week 51 Dec 14 - Dec 20 2020'!C:C)+Table40424346505144482522[[#This Row],[Week Sales]]</f>
        <v>3656361</v>
      </c>
      <c r="G16" s="47" t="str">
        <f>(VLOOKUP(D:D,'Week 50 Dec 7 - Dec 13 2020'!D:G,4,FALSE))</f>
        <v>Nintendo</v>
      </c>
      <c r="H16" s="60">
        <f>(VLOOKUP(D:D,'Week 50 Dec 7 - Dec 13 2020'!D:H,5,FALSE))</f>
        <v>42937</v>
      </c>
      <c r="I16" s="55">
        <f>SUMIFS('Week 50 Dec 7 - Dec 13 2020'!E:E,'Week 50 Dec 7 - Dec 13 2020'!D:D,'Week 51 Dec 14 - Dec 20 2020'!D:D,'Week 50 Dec 7 - Dec 13 2020'!C:C,'Week 51 Dec 14 - Dec 20 2020'!C:C)</f>
        <v>13942</v>
      </c>
      <c r="J16" s="56">
        <f t="shared" si="0"/>
        <v>0.42526179888107873</v>
      </c>
    </row>
    <row r="17" spans="1:10" x14ac:dyDescent="0.2">
      <c r="A17" s="47">
        <v>16</v>
      </c>
      <c r="B17" s="47">
        <v>7</v>
      </c>
      <c r="C17" s="47" t="s">
        <v>7</v>
      </c>
      <c r="D17" s="47" t="s">
        <v>309</v>
      </c>
      <c r="E17" s="55">
        <v>13806</v>
      </c>
      <c r="F17" s="55">
        <f>SUMIFS('Week 50 Dec 7 - Dec 13 2020'!F:F,'Week 50 Dec 7 - Dec 13 2020'!D:D,'Week 51 Dec 14 - Dec 20 2020'!D:D,'Week 50 Dec 7 - Dec 13 2020'!C:C,'Week 51 Dec 14 - Dec 20 2020'!C:C)+Table40424346505144482522[[#This Row],[Week Sales]]</f>
        <v>40152</v>
      </c>
      <c r="G17" s="47" t="str">
        <f>(VLOOKUP(D:D,'Week 50 Dec 7 - Dec 13 2020'!D:G,4,FALSE))</f>
        <v>Sega</v>
      </c>
      <c r="H17" s="60">
        <f>(VLOOKUP(D:D,'Week 50 Dec 7 - Dec 13 2020'!D:H,5,FALSE))</f>
        <v>44175</v>
      </c>
      <c r="I17" s="55">
        <f>SUMIFS('Week 50 Dec 7 - Dec 13 2020'!E:E,'Week 50 Dec 7 - Dec 13 2020'!D:D,'Week 51 Dec 14 - Dec 20 2020'!D:D,'Week 50 Dec 7 - Dec 13 2020'!C:C,'Week 51 Dec 14 - Dec 20 2020'!C:C)</f>
        <v>26346</v>
      </c>
      <c r="J17" s="56">
        <f t="shared" si="0"/>
        <v>-0.47597358232748804</v>
      </c>
    </row>
    <row r="18" spans="1:10" x14ac:dyDescent="0.2">
      <c r="A18" s="47">
        <v>17</v>
      </c>
      <c r="B18" s="47">
        <v>20</v>
      </c>
      <c r="C18" s="47" t="s">
        <v>7</v>
      </c>
      <c r="D18" s="86" t="s">
        <v>17</v>
      </c>
      <c r="E18" s="55">
        <v>13312</v>
      </c>
      <c r="F18" s="55">
        <f>SUMIFS('Week 50 Dec 7 - Dec 13 2020'!F:F,'Week 50 Dec 7 - Dec 13 2020'!D:D,'Week 51 Dec 14 - Dec 20 2020'!D:D,'Week 50 Dec 7 - Dec 13 2020'!C:C,'Week 51 Dec 14 - Dec 20 2020'!C:C)+Table40424346505144482522[[#This Row],[Week Sales]]</f>
        <v>964088</v>
      </c>
      <c r="G18" s="47" t="str">
        <f>(VLOOKUP(D:D,'Week 50 Dec 7 - Dec 13 2020'!D:G,4,FALSE))</f>
        <v>Nintendo</v>
      </c>
      <c r="H18" s="60">
        <f>(VLOOKUP(D:D,'Week 50 Dec 7 - Dec 13 2020'!D:H,5,FALSE))</f>
        <v>43476</v>
      </c>
      <c r="I18" s="55">
        <f>SUMIFS('Week 50 Dec 7 - Dec 13 2020'!E:E,'Week 50 Dec 7 - Dec 13 2020'!D:D,'Week 51 Dec 14 - Dec 20 2020'!D:D,'Week 50 Dec 7 - Dec 13 2020'!C:C,'Week 51 Dec 14 - Dec 20 2020'!C:C)</f>
        <v>8925</v>
      </c>
      <c r="J18" s="56">
        <f t="shared" si="0"/>
        <v>0.49154061624649859</v>
      </c>
    </row>
    <row r="19" spans="1:10" x14ac:dyDescent="0.2">
      <c r="A19" s="46">
        <v>18</v>
      </c>
      <c r="B19" s="46" t="s">
        <v>36</v>
      </c>
      <c r="C19" s="46" t="s">
        <v>7</v>
      </c>
      <c r="D19" s="95" t="s">
        <v>314</v>
      </c>
      <c r="E19" s="73">
        <v>13189</v>
      </c>
      <c r="F19" s="73">
        <f>SUMIFS('Week 50 Dec 7 - Dec 13 2020'!F:F,'Week 50 Dec 7 - Dec 13 2020'!D:D,'Week 51 Dec 14 - Dec 20 2020'!D:D,'Week 50 Dec 7 - Dec 13 2020'!C:C,'Week 51 Dec 14 - Dec 20 2020'!C:C)+Table40424346505144482522[[#This Row],[Week Sales]]</f>
        <v>13189</v>
      </c>
      <c r="G19" s="46" t="s">
        <v>34</v>
      </c>
      <c r="H19" s="72">
        <v>44182</v>
      </c>
      <c r="I19" s="73" t="s">
        <v>36</v>
      </c>
      <c r="J19" s="90" t="str">
        <f t="shared" si="0"/>
        <v>New</v>
      </c>
    </row>
    <row r="20" spans="1:10" x14ac:dyDescent="0.2">
      <c r="A20" s="47">
        <v>19</v>
      </c>
      <c r="B20" s="47">
        <v>21</v>
      </c>
      <c r="C20" s="47" t="s">
        <v>7</v>
      </c>
      <c r="D20" s="86" t="s">
        <v>19</v>
      </c>
      <c r="E20" s="55">
        <v>12897</v>
      </c>
      <c r="F20" s="55">
        <f>SUMIFS('Week 50 Dec 7 - Dec 13 2020'!F:F,'Week 50 Dec 7 - Dec 13 2020'!D:D,'Week 51 Dec 14 - Dec 20 2020'!D:D,'Week 50 Dec 7 - Dec 13 2020'!C:C,'Week 51 Dec 14 - Dec 20 2020'!C:C)+Table40424346505144482522[[#This Row],[Week Sales]]</f>
        <v>1018008</v>
      </c>
      <c r="G20" s="47" t="str">
        <f>(VLOOKUP(D:D,'Week 50 Dec 7 - Dec 13 2020'!D:G,4,FALSE))</f>
        <v>Nintendo</v>
      </c>
      <c r="H20" s="60">
        <f>(VLOOKUP(D:D,'Week 50 Dec 7 - Dec 13 2020'!D:H,5,FALSE))</f>
        <v>43644</v>
      </c>
      <c r="I20" s="55">
        <f>SUMIFS('Week 50 Dec 7 - Dec 13 2020'!E:E,'Week 50 Dec 7 - Dec 13 2020'!D:D,'Week 51 Dec 14 - Dec 20 2020'!D:D,'Week 50 Dec 7 - Dec 13 2020'!C:C,'Week 51 Dec 14 - Dec 20 2020'!C:C)</f>
        <v>8758</v>
      </c>
      <c r="J20" s="56">
        <f t="shared" si="0"/>
        <v>0.47259648321534597</v>
      </c>
    </row>
    <row r="21" spans="1:10" x14ac:dyDescent="0.2">
      <c r="A21" s="47">
        <v>20</v>
      </c>
      <c r="B21" s="47">
        <v>30</v>
      </c>
      <c r="C21" s="47" t="s">
        <v>7</v>
      </c>
      <c r="D21" s="86" t="s">
        <v>56</v>
      </c>
      <c r="E21" s="55">
        <v>10496</v>
      </c>
      <c r="F21" s="55">
        <f>SUMIFS('Week 50 Dec 7 - Dec 13 2020'!F:F,'Week 50 Dec 7 - Dec 13 2020'!D:D,'Week 51 Dec 14 - Dec 20 2020'!D:D,'Week 50 Dec 7 - Dec 13 2020'!C:C,'Week 51 Dec 14 - Dec 20 2020'!C:C)+Table40424346505144482522[[#This Row],[Week Sales]]</f>
        <v>74952</v>
      </c>
      <c r="G21" s="47" t="str">
        <f>(VLOOKUP(D:D,'Week 50 Dec 7 - Dec 13 2020'!D:G,4,FALSE))</f>
        <v>Teyon Japan</v>
      </c>
      <c r="H21" s="60">
        <f>(VLOOKUP(D:D,'Week 50 Dec 7 - Dec 13 2020'!D:H,5,FALSE))</f>
        <v>44007</v>
      </c>
      <c r="I21" s="55">
        <f>SUMIFS('Week 50 Dec 7 - Dec 13 2020'!E:E,'Week 50 Dec 7 - Dec 13 2020'!D:D,'Week 51 Dec 14 - Dec 20 2020'!D:D,'Week 50 Dec 7 - Dec 13 2020'!C:C,'Week 51 Dec 14 - Dec 20 2020'!C:C)</f>
        <v>6447</v>
      </c>
      <c r="J21" s="56">
        <f t="shared" si="0"/>
        <v>0.62804405149682019</v>
      </c>
    </row>
    <row r="22" spans="1:10" x14ac:dyDescent="0.2">
      <c r="A22" s="47">
        <v>21</v>
      </c>
      <c r="B22" s="47">
        <v>27</v>
      </c>
      <c r="C22" s="47" t="s">
        <v>7</v>
      </c>
      <c r="D22" s="47" t="s">
        <v>20</v>
      </c>
      <c r="E22" s="55">
        <v>9779</v>
      </c>
      <c r="F22" s="55">
        <f>SUMIFS('Week 50 Dec 7 - Dec 13 2020'!F:F,'Week 50 Dec 7 - Dec 13 2020'!D:D,'Week 51 Dec 14 - Dec 20 2020'!D:D,'Week 50 Dec 7 - Dec 13 2020'!C:C,'Week 51 Dec 14 - Dec 20 2020'!C:C)+Table40424346505144482522[[#This Row],[Week Sales]]</f>
        <v>531828</v>
      </c>
      <c r="G22" s="47" t="str">
        <f>(VLOOKUP(D:D,'Week 50 Dec 7 - Dec 13 2020'!D:G,4,FALSE))</f>
        <v>Bandai Namco</v>
      </c>
      <c r="H22" s="60">
        <f>(VLOOKUP(D:D,'Week 50 Dec 7 - Dec 13 2020'!D:H,5,FALSE))</f>
        <v>43671</v>
      </c>
      <c r="I22" s="55">
        <f>SUMIFS('Week 50 Dec 7 - Dec 13 2020'!E:E,'Week 50 Dec 7 - Dec 13 2020'!D:D,'Week 51 Dec 14 - Dec 20 2020'!D:D,'Week 50 Dec 7 - Dec 13 2020'!C:C,'Week 51 Dec 14 - Dec 20 2020'!C:C)</f>
        <v>6720</v>
      </c>
      <c r="J22" s="56">
        <f t="shared" si="0"/>
        <v>0.45520833333333333</v>
      </c>
    </row>
    <row r="23" spans="1:10" x14ac:dyDescent="0.2">
      <c r="A23" s="52">
        <v>22</v>
      </c>
      <c r="B23" s="52" t="s">
        <v>53</v>
      </c>
      <c r="C23" s="52" t="s">
        <v>7</v>
      </c>
      <c r="D23" s="91" t="s">
        <v>122</v>
      </c>
      <c r="E23" s="75">
        <v>9749</v>
      </c>
      <c r="F23" s="75">
        <v>116515</v>
      </c>
      <c r="G23" s="52" t="s">
        <v>9</v>
      </c>
      <c r="H23" s="74">
        <v>44120</v>
      </c>
      <c r="I23" s="75"/>
      <c r="J23" s="76"/>
    </row>
    <row r="24" spans="1:10" x14ac:dyDescent="0.2">
      <c r="A24" s="47">
        <v>23</v>
      </c>
      <c r="B24" s="47">
        <v>24</v>
      </c>
      <c r="C24" s="47" t="s">
        <v>7</v>
      </c>
      <c r="D24" s="47" t="s">
        <v>168</v>
      </c>
      <c r="E24" s="55">
        <v>9533</v>
      </c>
      <c r="F24" s="55">
        <f>SUMIFS('Week 50 Dec 7 - Dec 13 2020'!F:F,'Week 50 Dec 7 - Dec 13 2020'!D:D,'Week 51 Dec 14 - Dec 20 2020'!D:D,'Week 50 Dec 7 - Dec 13 2020'!C:C,'Week 51 Dec 14 - Dec 20 2020'!C:C)+Table40424346505144482522[[#This Row],[Week Sales]]</f>
        <v>39876</v>
      </c>
      <c r="G24" s="47" t="str">
        <f>(VLOOKUP(D:D,'Week 50 Dec 7 - Dec 13 2020'!D:G,4,FALSE))</f>
        <v>Bandai Namco</v>
      </c>
      <c r="H24" s="60">
        <f>(VLOOKUP(D:D,'Week 50 Dec 7 - Dec 13 2020'!D:H,5,FALSE))</f>
        <v>44161</v>
      </c>
      <c r="I24" s="55">
        <f>SUMIFS('Week 50 Dec 7 - Dec 13 2020'!E:E,'Week 50 Dec 7 - Dec 13 2020'!D:D,'Week 51 Dec 14 - Dec 20 2020'!D:D,'Week 50 Dec 7 - Dec 13 2020'!C:C,'Week 51 Dec 14 - Dec 20 2020'!C:C)</f>
        <v>7407</v>
      </c>
      <c r="J24" s="56">
        <f t="shared" si="0"/>
        <v>0.28702578641825299</v>
      </c>
    </row>
    <row r="25" spans="1:10" x14ac:dyDescent="0.2">
      <c r="A25" s="47">
        <v>24</v>
      </c>
      <c r="B25" s="47">
        <v>23</v>
      </c>
      <c r="C25" s="47" t="s">
        <v>7</v>
      </c>
      <c r="D25" s="86" t="s">
        <v>39</v>
      </c>
      <c r="E25" s="55">
        <v>9496</v>
      </c>
      <c r="F25" s="55">
        <f>SUMIFS('Week 50 Dec 7 - Dec 13 2020'!F:F,'Week 50 Dec 7 - Dec 13 2020'!D:D,'Week 51 Dec 14 - Dec 20 2020'!D:D,'Week 50 Dec 7 - Dec 13 2020'!C:C,'Week 51 Dec 14 - Dec 20 2020'!C:C)+Table40424346505144482522[[#This Row],[Week Sales]]</f>
        <v>1714135</v>
      </c>
      <c r="G25" s="47" t="str">
        <f>(VLOOKUP(D:D,'Week 50 Dec 7 - Dec 13 2020'!D:G,4,FALSE))</f>
        <v>Nintendo</v>
      </c>
      <c r="H25" s="60">
        <f>(VLOOKUP(D:D,'Week 50 Dec 7 - Dec 13 2020'!D:H,5,FALSE))</f>
        <v>42797</v>
      </c>
      <c r="I25" s="55">
        <f>SUMIFS('Week 50 Dec 7 - Dec 13 2020'!E:E,'Week 50 Dec 7 - Dec 13 2020'!D:D,'Week 51 Dec 14 - Dec 20 2020'!D:D,'Week 50 Dec 7 - Dec 13 2020'!C:C,'Week 51 Dec 14 - Dec 20 2020'!C:C)</f>
        <v>7761</v>
      </c>
      <c r="J25" s="56">
        <f t="shared" si="0"/>
        <v>0.22355366576472105</v>
      </c>
    </row>
    <row r="26" spans="1:10" x14ac:dyDescent="0.2">
      <c r="A26" s="47">
        <v>25</v>
      </c>
      <c r="B26" s="47">
        <v>29</v>
      </c>
      <c r="C26" s="47" t="s">
        <v>7</v>
      </c>
      <c r="D26" s="86" t="s">
        <v>26</v>
      </c>
      <c r="E26" s="55">
        <v>9344</v>
      </c>
      <c r="F26" s="55">
        <f>SUMIFS('Week 50 Dec 7 - Dec 13 2020'!F:F,'Week 50 Dec 7 - Dec 13 2020'!D:D,'Week 51 Dec 14 - Dec 20 2020'!D:D,'Week 50 Dec 7 - Dec 13 2020'!C:C,'Week 51 Dec 14 - Dec 20 2020'!C:C)+Table40424346505144482522[[#This Row],[Week Sales]]</f>
        <v>2166425</v>
      </c>
      <c r="G26" s="47" t="str">
        <f>(VLOOKUP(D:D,'Week 50 Dec 7 - Dec 13 2020'!D:G,4,FALSE))</f>
        <v>Nintendo</v>
      </c>
      <c r="H26" s="60">
        <f>(VLOOKUP(D:D,'Week 50 Dec 7 - Dec 13 2020'!D:H,5,FALSE))</f>
        <v>43035</v>
      </c>
      <c r="I26" s="55">
        <f>SUMIFS('Week 50 Dec 7 - Dec 13 2020'!E:E,'Week 50 Dec 7 - Dec 13 2020'!D:D,'Week 51 Dec 14 - Dec 20 2020'!D:D,'Week 50 Dec 7 - Dec 13 2020'!C:C,'Week 51 Dec 14 - Dec 20 2020'!C:C)</f>
        <v>6480</v>
      </c>
      <c r="J26" s="56">
        <f t="shared" si="0"/>
        <v>0.44197530864197532</v>
      </c>
    </row>
    <row r="27" spans="1:10" x14ac:dyDescent="0.2">
      <c r="A27" s="47">
        <v>26</v>
      </c>
      <c r="B27" s="47">
        <v>14</v>
      </c>
      <c r="C27" s="47" t="s">
        <v>7</v>
      </c>
      <c r="D27" s="47" t="s">
        <v>173</v>
      </c>
      <c r="E27" s="55">
        <v>9209</v>
      </c>
      <c r="F27" s="55">
        <f>SUMIFS('Week 50 Dec 7 - Dec 13 2020'!F:F,'Week 50 Dec 7 - Dec 13 2020'!D:D,'Week 51 Dec 14 - Dec 20 2020'!D:D,'Week 50 Dec 7 - Dec 13 2020'!C:C,'Week 51 Dec 14 - Dec 20 2020'!C:C)+Table40424346505144482522[[#This Row],[Week Sales]]</f>
        <v>100364</v>
      </c>
      <c r="G27" s="47" t="str">
        <f>(VLOOKUP(D:D,'Week 50 Dec 7 - Dec 13 2020'!D:G,4,FALSE))</f>
        <v>Game Addict</v>
      </c>
      <c r="H27" s="60">
        <f>(VLOOKUP(D:D,'Week 50 Dec 7 - Dec 13 2020'!D:H,5,FALSE))</f>
        <v>44168</v>
      </c>
      <c r="I27" s="55">
        <f>SUMIFS('Week 50 Dec 7 - Dec 13 2020'!E:E,'Week 50 Dec 7 - Dec 13 2020'!D:D,'Week 51 Dec 14 - Dec 20 2020'!D:D,'Week 50 Dec 7 - Dec 13 2020'!C:C,'Week 51 Dec 14 - Dec 20 2020'!C:C)</f>
        <v>16911</v>
      </c>
      <c r="J27" s="56">
        <f t="shared" si="0"/>
        <v>-0.45544320264916327</v>
      </c>
    </row>
    <row r="28" spans="1:10" x14ac:dyDescent="0.2">
      <c r="A28" s="52">
        <v>27</v>
      </c>
      <c r="B28" s="52" t="s">
        <v>53</v>
      </c>
      <c r="C28" s="52" t="s">
        <v>7</v>
      </c>
      <c r="D28" s="52" t="s">
        <v>58</v>
      </c>
      <c r="E28" s="75">
        <v>8946</v>
      </c>
      <c r="F28" s="75">
        <v>65831</v>
      </c>
      <c r="G28" s="52" t="str">
        <f>(VLOOKUP(D:D,'Week 43 Oct 19 - Oct 25 2020'!D:G,4,FALSE))</f>
        <v>Microsoft</v>
      </c>
      <c r="H28" s="74">
        <f>(VLOOKUP(D:D,'Week 43 Oct 19 - Oct 25 2020'!D:H,5,FALSE))</f>
        <v>44082</v>
      </c>
      <c r="I28" s="75"/>
      <c r="J28" s="76"/>
    </row>
    <row r="29" spans="1:10" x14ac:dyDescent="0.2">
      <c r="A29" s="47">
        <v>28</v>
      </c>
      <c r="B29" s="47">
        <v>2</v>
      </c>
      <c r="C29" s="47" t="s">
        <v>8</v>
      </c>
      <c r="D29" s="47" t="s">
        <v>308</v>
      </c>
      <c r="E29" s="55">
        <v>7721</v>
      </c>
      <c r="F29" s="55">
        <f>SUMIFS('Week 50 Dec 7 - Dec 13 2020'!F:F,'Week 50 Dec 7 - Dec 13 2020'!D:D,'Week 51 Dec 14 - Dec 20 2020'!D:D,'Week 50 Dec 7 - Dec 13 2020'!C:C,'Week 51 Dec 14 - Dec 20 2020'!C:C)+Table40424346505144482522[[#This Row],[Week Sales]]</f>
        <v>112408</v>
      </c>
      <c r="G29" s="47" t="str">
        <f>(VLOOKUP(D:D,'Week 50 Dec 7 - Dec 13 2020'!D:G,4,FALSE))</f>
        <v>Spike Chunsoft</v>
      </c>
      <c r="H29" s="60">
        <f>(VLOOKUP(D:D,'Week 50 Dec 7 - Dec 13 2020'!D:H,5,FALSE))</f>
        <v>44175</v>
      </c>
      <c r="I29" s="55">
        <f>SUMIFS('Week 50 Dec 7 - Dec 13 2020'!E:E,'Week 50 Dec 7 - Dec 13 2020'!D:D,'Week 51 Dec 14 - Dec 20 2020'!D:D,'Week 50 Dec 7 - Dec 13 2020'!C:C,'Week 51 Dec 14 - Dec 20 2020'!C:C)</f>
        <v>104687</v>
      </c>
      <c r="J29" s="56">
        <f t="shared" si="0"/>
        <v>-0.92624681192507186</v>
      </c>
    </row>
    <row r="30" spans="1:10" x14ac:dyDescent="0.2">
      <c r="A30" s="52">
        <v>29</v>
      </c>
      <c r="B30" s="52" t="s">
        <v>53</v>
      </c>
      <c r="C30" s="52" t="s">
        <v>7</v>
      </c>
      <c r="D30" s="91" t="s">
        <v>305</v>
      </c>
      <c r="E30" s="75">
        <v>6680</v>
      </c>
      <c r="F30" s="75">
        <v>17980</v>
      </c>
      <c r="G30" s="52" t="str">
        <f>(VLOOKUP(D:D,'Week 49 Nov 30 - Dec 6 2020'!D:G,4,FALSE))</f>
        <v>Nippon Columbia</v>
      </c>
      <c r="H30" s="74">
        <f>(VLOOKUP(D:D,'Week 49 Nov 30 - Dec 6 2020'!D:H,5,FALSE))</f>
        <v>44168</v>
      </c>
      <c r="I30" s="75">
        <v>5110</v>
      </c>
      <c r="J30" s="76">
        <f t="shared" si="0"/>
        <v>0.30724070450097846</v>
      </c>
    </row>
    <row r="31" spans="1:10" x14ac:dyDescent="0.2">
      <c r="A31" s="58">
        <v>30</v>
      </c>
      <c r="B31" s="58" t="s">
        <v>53</v>
      </c>
      <c r="C31" s="52" t="s">
        <v>7</v>
      </c>
      <c r="D31" s="31" t="s">
        <v>25</v>
      </c>
      <c r="E31" s="88">
        <v>6612</v>
      </c>
      <c r="F31" s="75">
        <v>545603</v>
      </c>
      <c r="G31" s="52" t="str">
        <f>(VLOOKUP(D:D,'Week 43 Oct 19 - Oct 25 2020'!D:G,4,FALSE))</f>
        <v>Bandai Namco</v>
      </c>
      <c r="H31" s="74">
        <f>(VLOOKUP(D:D,'Week 43 Oct 19 - Oct 25 2020'!D:H,5,FALSE))</f>
        <v>43300</v>
      </c>
      <c r="I31" s="75"/>
      <c r="J31" s="76"/>
    </row>
    <row r="33" spans="4:5" x14ac:dyDescent="0.2">
      <c r="D33" s="2" t="s">
        <v>59</v>
      </c>
      <c r="E33" s="2">
        <f>SUM(E2:E31)</f>
        <v>857678</v>
      </c>
    </row>
    <row r="34" spans="4:5" x14ac:dyDescent="0.2">
      <c r="D34" s="100" t="s">
        <v>178</v>
      </c>
      <c r="E34" s="101">
        <f>SUM('Week 50 Dec 7 - Dec 13 2020'!E34,'Week 51 Dec 14 - Dec 20 2020'!E33)</f>
        <v>23397916</v>
      </c>
    </row>
    <row r="35" spans="4:5" x14ac:dyDescent="0.2">
      <c r="D35" s="2" t="s">
        <v>60</v>
      </c>
      <c r="E35" s="2">
        <f>AVERAGE(E2:E31)</f>
        <v>28589.266666666666</v>
      </c>
    </row>
    <row r="36" spans="4:5" x14ac:dyDescent="0.2">
      <c r="D36" s="9" t="s">
        <v>78</v>
      </c>
      <c r="E36" s="10">
        <f>COUNTIF(B:B,"New")</f>
        <v>2</v>
      </c>
    </row>
    <row r="38" spans="4:5" x14ac:dyDescent="0.2">
      <c r="D38" t="s">
        <v>66</v>
      </c>
    </row>
    <row r="39" spans="4:5" x14ac:dyDescent="0.2">
      <c r="D39" s="8" t="s">
        <v>67</v>
      </c>
    </row>
    <row r="40" spans="4:5" x14ac:dyDescent="0.2">
      <c r="D40" s="8" t="s">
        <v>65</v>
      </c>
    </row>
    <row r="41" spans="4:5" x14ac:dyDescent="0.2">
      <c r="D41" s="8" t="s">
        <v>71</v>
      </c>
    </row>
  </sheetData>
  <hyperlinks>
    <hyperlink ref="D40" r:id="rId1" xr:uid="{8D035C06-BC19-F04F-A2F7-0DC02DB42538}"/>
    <hyperlink ref="D39" r:id="rId2" xr:uid="{2AC12889-5725-6B43-BC01-41AF8BE34D65}"/>
    <hyperlink ref="D41" r:id="rId3" xr:uid="{94888534-104C-8C44-9F47-1D2CAE17F0EA}"/>
  </hyperlinks>
  <pageMargins left="0.7" right="0.7" top="0.75" bottom="0.75" header="0.3" footer="0.3"/>
  <ignoredErrors>
    <ignoredError sqref="F2:J31" calculatedColumn="1"/>
  </ignoredErrors>
  <tableParts count="1">
    <tablePart r:id="rId4"/>
  </tablePart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1889A-8DB3-2043-880D-BE06EDA6AACB}">
  <dimension ref="A1:J41"/>
  <sheetViews>
    <sheetView topLeftCell="A8" workbookViewId="0">
      <selection activeCell="D39" sqref="D39:D41"/>
    </sheetView>
  </sheetViews>
  <sheetFormatPr baseColWidth="10" defaultRowHeight="16" x14ac:dyDescent="0.2"/>
  <cols>
    <col min="1" max="1" width="7.6640625" bestFit="1" customWidth="1"/>
    <col min="4" max="4" width="47.3320312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78" t="s">
        <v>0</v>
      </c>
      <c r="B1" s="78" t="s">
        <v>35</v>
      </c>
      <c r="C1" s="79" t="s">
        <v>1</v>
      </c>
      <c r="D1" s="79" t="s">
        <v>2</v>
      </c>
      <c r="E1" s="80" t="s">
        <v>3</v>
      </c>
      <c r="F1" s="80" t="s">
        <v>4</v>
      </c>
      <c r="G1" s="79" t="s">
        <v>5</v>
      </c>
      <c r="H1" s="81" t="s">
        <v>6</v>
      </c>
      <c r="I1" s="80" t="s">
        <v>64</v>
      </c>
      <c r="J1" s="82" t="s">
        <v>63</v>
      </c>
    </row>
    <row r="2" spans="1:10" x14ac:dyDescent="0.2">
      <c r="A2" s="47">
        <v>1</v>
      </c>
      <c r="B2" s="47"/>
      <c r="C2" s="47"/>
      <c r="D2" s="86"/>
      <c r="E2" s="55"/>
      <c r="F2" s="55">
        <f>SUMIFS('Week 51 Dec 14 - Dec 20 2020'!F:F,'Week 51 Dec 14 - Dec 20 2020'!D:D,'Week 52 Dec 21 - Dec 27 2020'!D:D,'Week 51 Dec 14 - Dec 20 2020'!C:C,'Week 52 Dec 21 - Dec 27 2020'!C:C)+Table404243465051444854[[#This Row],[Week Sales]]</f>
        <v>0</v>
      </c>
      <c r="G2" s="47" t="e">
        <f>(VLOOKUP(D:D,'Week 51 Dec 14 - Dec 20 2020'!D:G,4,FALSE))</f>
        <v>#N/A</v>
      </c>
      <c r="H2" s="60" t="e">
        <f>(VLOOKUP(D:D,'Week 51 Dec 14 - Dec 20 2020'!D:H,5,FALSE))</f>
        <v>#N/A</v>
      </c>
      <c r="I2" s="55">
        <f>SUMIFS('Week 51 Dec 14 - Dec 20 2020'!E:E,'Week 51 Dec 14 - Dec 20 2020'!D:D,'Week 52 Dec 21 - Dec 27 2020'!D:D,'Week 51 Dec 14 - Dec 20 2020'!C:C,'Week 52 Dec 21 - Dec 27 2020'!C:C)</f>
        <v>0</v>
      </c>
      <c r="J2" s="56" t="e">
        <f t="shared" ref="J2:J31" si="0">(E2-I2)/I2</f>
        <v>#DIV/0!</v>
      </c>
    </row>
    <row r="3" spans="1:10" x14ac:dyDescent="0.2">
      <c r="A3" s="105">
        <v>2</v>
      </c>
      <c r="B3" s="47"/>
      <c r="C3" s="47"/>
      <c r="D3" s="18"/>
      <c r="E3" s="55"/>
      <c r="F3" s="55">
        <f>SUMIFS('Week 51 Dec 14 - Dec 20 2020'!F:F,'Week 51 Dec 14 - Dec 20 2020'!D:D,'Week 52 Dec 21 - Dec 27 2020'!D:D,'Week 51 Dec 14 - Dec 20 2020'!C:C,'Week 52 Dec 21 - Dec 27 2020'!C:C)+Table404243465051444854[[#This Row],[Week Sales]]</f>
        <v>0</v>
      </c>
      <c r="G3" s="47" t="e">
        <f>(VLOOKUP(D:D,'Week 51 Dec 14 - Dec 20 2020'!D:G,4,FALSE))</f>
        <v>#N/A</v>
      </c>
      <c r="H3" s="60" t="e">
        <f>(VLOOKUP(D:D,'Week 51 Dec 14 - Dec 20 2020'!D:H,5,FALSE))</f>
        <v>#N/A</v>
      </c>
      <c r="I3" s="55">
        <f>SUMIFS('Week 51 Dec 14 - Dec 20 2020'!E:E,'Week 51 Dec 14 - Dec 20 2020'!D:D,'Week 52 Dec 21 - Dec 27 2020'!D:D,'Week 51 Dec 14 - Dec 20 2020'!C:C,'Week 52 Dec 21 - Dec 27 2020'!C:C)</f>
        <v>0</v>
      </c>
      <c r="J3" s="56" t="e">
        <f t="shared" si="0"/>
        <v>#DIV/0!</v>
      </c>
    </row>
    <row r="4" spans="1:10" x14ac:dyDescent="0.2">
      <c r="A4" s="47">
        <v>3</v>
      </c>
      <c r="B4" s="47"/>
      <c r="C4" s="47"/>
      <c r="D4" s="86"/>
      <c r="E4" s="55"/>
      <c r="F4" s="55">
        <f>SUMIFS('Week 51 Dec 14 - Dec 20 2020'!F:F,'Week 51 Dec 14 - Dec 20 2020'!D:D,'Week 52 Dec 21 - Dec 27 2020'!D:D,'Week 51 Dec 14 - Dec 20 2020'!C:C,'Week 52 Dec 21 - Dec 27 2020'!C:C)+Table404243465051444854[[#This Row],[Week Sales]]</f>
        <v>0</v>
      </c>
      <c r="G4" s="47" t="e">
        <f>(VLOOKUP(D:D,'Week 51 Dec 14 - Dec 20 2020'!D:G,4,FALSE))</f>
        <v>#N/A</v>
      </c>
      <c r="H4" s="60" t="e">
        <f>(VLOOKUP(D:D,'Week 51 Dec 14 - Dec 20 2020'!D:H,5,FALSE))</f>
        <v>#N/A</v>
      </c>
      <c r="I4" s="55">
        <f>SUMIFS('Week 51 Dec 14 - Dec 20 2020'!E:E,'Week 51 Dec 14 - Dec 20 2020'!D:D,'Week 52 Dec 21 - Dec 27 2020'!D:D,'Week 51 Dec 14 - Dec 20 2020'!C:C,'Week 52 Dec 21 - Dec 27 2020'!C:C)</f>
        <v>0</v>
      </c>
      <c r="J4" s="56" t="e">
        <f t="shared" si="0"/>
        <v>#DIV/0!</v>
      </c>
    </row>
    <row r="5" spans="1:10" x14ac:dyDescent="0.2">
      <c r="A5" s="105">
        <v>4</v>
      </c>
      <c r="B5" s="47"/>
      <c r="C5" s="47"/>
      <c r="D5" s="18"/>
      <c r="E5" s="55"/>
      <c r="F5" s="55">
        <f>SUMIFS('Week 51 Dec 14 - Dec 20 2020'!F:F,'Week 51 Dec 14 - Dec 20 2020'!D:D,'Week 52 Dec 21 - Dec 27 2020'!D:D,'Week 51 Dec 14 - Dec 20 2020'!C:C,'Week 52 Dec 21 - Dec 27 2020'!C:C)+Table404243465051444854[[#This Row],[Week Sales]]</f>
        <v>0</v>
      </c>
      <c r="G5" s="47" t="e">
        <f>(VLOOKUP(D:D,'Week 51 Dec 14 - Dec 20 2020'!D:G,4,FALSE))</f>
        <v>#N/A</v>
      </c>
      <c r="H5" s="60" t="e">
        <f>(VLOOKUP(D:D,'Week 51 Dec 14 - Dec 20 2020'!D:H,5,FALSE))</f>
        <v>#N/A</v>
      </c>
      <c r="I5" s="55">
        <f>SUMIFS('Week 51 Dec 14 - Dec 20 2020'!E:E,'Week 51 Dec 14 - Dec 20 2020'!D:D,'Week 52 Dec 21 - Dec 27 2020'!D:D,'Week 51 Dec 14 - Dec 20 2020'!C:C,'Week 52 Dec 21 - Dec 27 2020'!C:C)</f>
        <v>0</v>
      </c>
      <c r="J5" s="56" t="e">
        <f t="shared" si="0"/>
        <v>#DIV/0!</v>
      </c>
    </row>
    <row r="6" spans="1:10" x14ac:dyDescent="0.2">
      <c r="A6" s="47">
        <v>5</v>
      </c>
      <c r="B6" s="47"/>
      <c r="C6" s="47"/>
      <c r="D6" s="86"/>
      <c r="E6" s="55"/>
      <c r="F6" s="55">
        <f>SUMIFS('Week 51 Dec 14 - Dec 20 2020'!F:F,'Week 51 Dec 14 - Dec 20 2020'!D:D,'Week 52 Dec 21 - Dec 27 2020'!D:D,'Week 51 Dec 14 - Dec 20 2020'!C:C,'Week 52 Dec 21 - Dec 27 2020'!C:C)+Table404243465051444854[[#This Row],[Week Sales]]</f>
        <v>0</v>
      </c>
      <c r="G6" s="47" t="e">
        <f>(VLOOKUP(D:D,'Week 51 Dec 14 - Dec 20 2020'!D:G,4,FALSE))</f>
        <v>#N/A</v>
      </c>
      <c r="H6" s="60" t="e">
        <f>(VLOOKUP(D:D,'Week 51 Dec 14 - Dec 20 2020'!D:H,5,FALSE))</f>
        <v>#N/A</v>
      </c>
      <c r="I6" s="55">
        <f>SUMIFS('Week 51 Dec 14 - Dec 20 2020'!E:E,'Week 51 Dec 14 - Dec 20 2020'!D:D,'Week 52 Dec 21 - Dec 27 2020'!D:D,'Week 51 Dec 14 - Dec 20 2020'!C:C,'Week 52 Dec 21 - Dec 27 2020'!C:C)</f>
        <v>0</v>
      </c>
      <c r="J6" s="56" t="e">
        <f t="shared" si="0"/>
        <v>#DIV/0!</v>
      </c>
    </row>
    <row r="7" spans="1:10" x14ac:dyDescent="0.2">
      <c r="A7" s="105">
        <v>6</v>
      </c>
      <c r="B7" s="47"/>
      <c r="C7" s="47"/>
      <c r="D7" s="18"/>
      <c r="E7" s="55"/>
      <c r="F7" s="55">
        <f>SUMIFS('Week 51 Dec 14 - Dec 20 2020'!F:F,'Week 51 Dec 14 - Dec 20 2020'!D:D,'Week 52 Dec 21 - Dec 27 2020'!D:D,'Week 51 Dec 14 - Dec 20 2020'!C:C,'Week 52 Dec 21 - Dec 27 2020'!C:C)+Table404243465051444854[[#This Row],[Week Sales]]</f>
        <v>0</v>
      </c>
      <c r="G7" s="47" t="e">
        <f>(VLOOKUP(D:D,'Week 51 Dec 14 - Dec 20 2020'!D:G,4,FALSE))</f>
        <v>#N/A</v>
      </c>
      <c r="H7" s="60" t="e">
        <f>(VLOOKUP(D:D,'Week 51 Dec 14 - Dec 20 2020'!D:H,5,FALSE))</f>
        <v>#N/A</v>
      </c>
      <c r="I7" s="55">
        <f>SUMIFS('Week 51 Dec 14 - Dec 20 2020'!E:E,'Week 51 Dec 14 - Dec 20 2020'!D:D,'Week 52 Dec 21 - Dec 27 2020'!D:D,'Week 51 Dec 14 - Dec 20 2020'!C:C,'Week 52 Dec 21 - Dec 27 2020'!C:C)</f>
        <v>0</v>
      </c>
      <c r="J7" s="56" t="e">
        <f t="shared" si="0"/>
        <v>#DIV/0!</v>
      </c>
    </row>
    <row r="8" spans="1:10" x14ac:dyDescent="0.2">
      <c r="A8" s="105">
        <v>7</v>
      </c>
      <c r="B8" s="47"/>
      <c r="C8" s="68"/>
      <c r="D8" s="18"/>
      <c r="E8" s="55"/>
      <c r="F8" s="55">
        <f>SUMIFS('Week 51 Dec 14 - Dec 20 2020'!F:F,'Week 51 Dec 14 - Dec 20 2020'!D:D,'Week 52 Dec 21 - Dec 27 2020'!D:D,'Week 51 Dec 14 - Dec 20 2020'!C:C,'Week 52 Dec 21 - Dec 27 2020'!C:C)+Table404243465051444854[[#This Row],[Week Sales]]</f>
        <v>0</v>
      </c>
      <c r="G8" s="47" t="e">
        <f>(VLOOKUP(D:D,'Week 51 Dec 14 - Dec 20 2020'!D:G,4,FALSE))</f>
        <v>#N/A</v>
      </c>
      <c r="H8" s="60" t="e">
        <f>(VLOOKUP(D:D,'Week 51 Dec 14 - Dec 20 2020'!D:H,5,FALSE))</f>
        <v>#N/A</v>
      </c>
      <c r="I8" s="55">
        <f>SUMIFS('Week 51 Dec 14 - Dec 20 2020'!E:E,'Week 51 Dec 14 - Dec 20 2020'!D:D,'Week 52 Dec 21 - Dec 27 2020'!D:D,'Week 51 Dec 14 - Dec 20 2020'!C:C,'Week 52 Dec 21 - Dec 27 2020'!C:C)</f>
        <v>0</v>
      </c>
      <c r="J8" s="56" t="e">
        <f t="shared" si="0"/>
        <v>#DIV/0!</v>
      </c>
    </row>
    <row r="9" spans="1:10" x14ac:dyDescent="0.2">
      <c r="A9" s="47">
        <v>8</v>
      </c>
      <c r="B9" s="47"/>
      <c r="C9" s="68"/>
      <c r="D9" s="86"/>
      <c r="E9" s="55"/>
      <c r="F9" s="55">
        <f>SUMIFS('Week 51 Dec 14 - Dec 20 2020'!F:F,'Week 51 Dec 14 - Dec 20 2020'!D:D,'Week 52 Dec 21 - Dec 27 2020'!D:D,'Week 51 Dec 14 - Dec 20 2020'!C:C,'Week 52 Dec 21 - Dec 27 2020'!C:C)+Table404243465051444854[[#This Row],[Week Sales]]</f>
        <v>0</v>
      </c>
      <c r="G9" s="47" t="e">
        <f>(VLOOKUP(D:D,'Week 51 Dec 14 - Dec 20 2020'!D:G,4,FALSE))</f>
        <v>#N/A</v>
      </c>
      <c r="H9" s="60" t="e">
        <f>(VLOOKUP(D:D,'Week 51 Dec 14 - Dec 20 2020'!D:H,5,FALSE))</f>
        <v>#N/A</v>
      </c>
      <c r="I9" s="55">
        <f>SUMIFS('Week 51 Dec 14 - Dec 20 2020'!E:E,'Week 51 Dec 14 - Dec 20 2020'!D:D,'Week 52 Dec 21 - Dec 27 2020'!D:D,'Week 51 Dec 14 - Dec 20 2020'!C:C,'Week 52 Dec 21 - Dec 27 2020'!C:C)</f>
        <v>0</v>
      </c>
      <c r="J9" s="56" t="e">
        <f t="shared" si="0"/>
        <v>#DIV/0!</v>
      </c>
    </row>
    <row r="10" spans="1:10" x14ac:dyDescent="0.2">
      <c r="A10" s="47">
        <v>9</v>
      </c>
      <c r="B10" s="47"/>
      <c r="C10" s="68"/>
      <c r="D10" s="86"/>
      <c r="E10" s="55"/>
      <c r="F10" s="55">
        <f>SUMIFS('Week 51 Dec 14 - Dec 20 2020'!F:F,'Week 51 Dec 14 - Dec 20 2020'!D:D,'Week 52 Dec 21 - Dec 27 2020'!D:D,'Week 51 Dec 14 - Dec 20 2020'!C:C,'Week 52 Dec 21 - Dec 27 2020'!C:C)+Table404243465051444854[[#This Row],[Week Sales]]</f>
        <v>0</v>
      </c>
      <c r="G10" s="47" t="e">
        <f>(VLOOKUP(D:D,'Week 51 Dec 14 - Dec 20 2020'!D:G,4,FALSE))</f>
        <v>#N/A</v>
      </c>
      <c r="H10" s="60" t="e">
        <f>(VLOOKUP(D:D,'Week 51 Dec 14 - Dec 20 2020'!D:H,5,FALSE))</f>
        <v>#N/A</v>
      </c>
      <c r="I10" s="55">
        <f>SUMIFS('Week 51 Dec 14 - Dec 20 2020'!E:E,'Week 51 Dec 14 - Dec 20 2020'!D:D,'Week 52 Dec 21 - Dec 27 2020'!D:D,'Week 51 Dec 14 - Dec 20 2020'!C:C,'Week 52 Dec 21 - Dec 27 2020'!C:C)</f>
        <v>0</v>
      </c>
      <c r="J10" s="56" t="e">
        <f t="shared" si="0"/>
        <v>#DIV/0!</v>
      </c>
    </row>
    <row r="11" spans="1:10" x14ac:dyDescent="0.2">
      <c r="A11" s="105">
        <v>10</v>
      </c>
      <c r="B11" s="47"/>
      <c r="C11" s="68"/>
      <c r="D11" s="18"/>
      <c r="E11" s="55"/>
      <c r="F11" s="55">
        <f>SUMIFS('Week 51 Dec 14 - Dec 20 2020'!F:F,'Week 51 Dec 14 - Dec 20 2020'!D:D,'Week 52 Dec 21 - Dec 27 2020'!D:D,'Week 51 Dec 14 - Dec 20 2020'!C:C,'Week 52 Dec 21 - Dec 27 2020'!C:C)+Table404243465051444854[[#This Row],[Week Sales]]</f>
        <v>0</v>
      </c>
      <c r="G11" s="47" t="e">
        <f>(VLOOKUP(D:D,'Week 51 Dec 14 - Dec 20 2020'!D:G,4,FALSE))</f>
        <v>#N/A</v>
      </c>
      <c r="H11" s="60" t="e">
        <f>(VLOOKUP(D:D,'Week 51 Dec 14 - Dec 20 2020'!D:H,5,FALSE))</f>
        <v>#N/A</v>
      </c>
      <c r="I11" s="55">
        <f>SUMIFS('Week 51 Dec 14 - Dec 20 2020'!E:E,'Week 51 Dec 14 - Dec 20 2020'!D:D,'Week 52 Dec 21 - Dec 27 2020'!D:D,'Week 51 Dec 14 - Dec 20 2020'!C:C,'Week 52 Dec 21 - Dec 27 2020'!C:C)</f>
        <v>0</v>
      </c>
      <c r="J11" s="56" t="e">
        <f t="shared" si="0"/>
        <v>#DIV/0!</v>
      </c>
    </row>
    <row r="12" spans="1:10" x14ac:dyDescent="0.2">
      <c r="A12" s="47">
        <v>11</v>
      </c>
      <c r="B12" s="47"/>
      <c r="C12" s="68"/>
      <c r="D12" s="18"/>
      <c r="E12" s="55"/>
      <c r="F12" s="55">
        <f>SUMIFS('Week 51 Dec 14 - Dec 20 2020'!F:F,'Week 51 Dec 14 - Dec 20 2020'!D:D,'Week 52 Dec 21 - Dec 27 2020'!D:D,'Week 51 Dec 14 - Dec 20 2020'!C:C,'Week 52 Dec 21 - Dec 27 2020'!C:C)+Table404243465051444854[[#This Row],[Week Sales]]</f>
        <v>0</v>
      </c>
      <c r="G12" s="47" t="e">
        <f>(VLOOKUP(D:D,'Week 51 Dec 14 - Dec 20 2020'!D:G,4,FALSE))</f>
        <v>#N/A</v>
      </c>
      <c r="H12" s="60" t="e">
        <f>(VLOOKUP(D:D,'Week 51 Dec 14 - Dec 20 2020'!D:H,5,FALSE))</f>
        <v>#N/A</v>
      </c>
      <c r="I12" s="55">
        <f>SUMIFS('Week 51 Dec 14 - Dec 20 2020'!E:E,'Week 51 Dec 14 - Dec 20 2020'!D:D,'Week 52 Dec 21 - Dec 27 2020'!D:D,'Week 51 Dec 14 - Dec 20 2020'!C:C,'Week 52 Dec 21 - Dec 27 2020'!C:C)</f>
        <v>0</v>
      </c>
      <c r="J12" s="56" t="e">
        <f t="shared" si="0"/>
        <v>#DIV/0!</v>
      </c>
    </row>
    <row r="13" spans="1:10" x14ac:dyDescent="0.2">
      <c r="A13" s="47">
        <v>12</v>
      </c>
      <c r="B13" s="47"/>
      <c r="C13" s="68"/>
      <c r="D13" s="18"/>
      <c r="E13" s="55"/>
      <c r="F13" s="55">
        <f>SUMIFS('Week 51 Dec 14 - Dec 20 2020'!F:F,'Week 51 Dec 14 - Dec 20 2020'!D:D,'Week 52 Dec 21 - Dec 27 2020'!D:D,'Week 51 Dec 14 - Dec 20 2020'!C:C,'Week 52 Dec 21 - Dec 27 2020'!C:C)+Table404243465051444854[[#This Row],[Week Sales]]</f>
        <v>0</v>
      </c>
      <c r="G13" s="47" t="e">
        <f>(VLOOKUP(D:D,'Week 51 Dec 14 - Dec 20 2020'!D:G,4,FALSE))</f>
        <v>#N/A</v>
      </c>
      <c r="H13" s="60" t="e">
        <f>(VLOOKUP(D:D,'Week 51 Dec 14 - Dec 20 2020'!D:H,5,FALSE))</f>
        <v>#N/A</v>
      </c>
      <c r="I13" s="55">
        <f>SUMIFS('Week 51 Dec 14 - Dec 20 2020'!E:E,'Week 51 Dec 14 - Dec 20 2020'!D:D,'Week 52 Dec 21 - Dec 27 2020'!D:D,'Week 51 Dec 14 - Dec 20 2020'!C:C,'Week 52 Dec 21 - Dec 27 2020'!C:C)</f>
        <v>0</v>
      </c>
      <c r="J13" s="56" t="e">
        <f t="shared" si="0"/>
        <v>#DIV/0!</v>
      </c>
    </row>
    <row r="14" spans="1:10" x14ac:dyDescent="0.2">
      <c r="A14" s="47">
        <v>13</v>
      </c>
      <c r="B14" s="47"/>
      <c r="C14" s="47"/>
      <c r="D14" s="18"/>
      <c r="E14" s="55"/>
      <c r="F14" s="55">
        <f>SUMIFS('Week 51 Dec 14 - Dec 20 2020'!F:F,'Week 51 Dec 14 - Dec 20 2020'!D:D,'Week 52 Dec 21 - Dec 27 2020'!D:D,'Week 51 Dec 14 - Dec 20 2020'!C:C,'Week 52 Dec 21 - Dec 27 2020'!C:C)+Table404243465051444854[[#This Row],[Week Sales]]</f>
        <v>0</v>
      </c>
      <c r="G14" s="47" t="e">
        <f>(VLOOKUP(D:D,'Week 51 Dec 14 - Dec 20 2020'!D:G,4,FALSE))</f>
        <v>#N/A</v>
      </c>
      <c r="H14" s="60" t="e">
        <f>(VLOOKUP(D:D,'Week 51 Dec 14 - Dec 20 2020'!D:H,5,FALSE))</f>
        <v>#N/A</v>
      </c>
      <c r="I14" s="55">
        <f>SUMIFS('Week 51 Dec 14 - Dec 20 2020'!E:E,'Week 51 Dec 14 - Dec 20 2020'!D:D,'Week 52 Dec 21 - Dec 27 2020'!D:D,'Week 51 Dec 14 - Dec 20 2020'!C:C,'Week 52 Dec 21 - Dec 27 2020'!C:C)</f>
        <v>0</v>
      </c>
      <c r="J14" s="56" t="e">
        <f t="shared" si="0"/>
        <v>#DIV/0!</v>
      </c>
    </row>
    <row r="15" spans="1:10" x14ac:dyDescent="0.2">
      <c r="A15" s="47">
        <v>14</v>
      </c>
      <c r="B15" s="47"/>
      <c r="C15" s="47"/>
      <c r="D15" s="18"/>
      <c r="E15" s="55"/>
      <c r="F15" s="55">
        <f>SUMIFS('Week 51 Dec 14 - Dec 20 2020'!F:F,'Week 51 Dec 14 - Dec 20 2020'!D:D,'Week 52 Dec 21 - Dec 27 2020'!D:D,'Week 51 Dec 14 - Dec 20 2020'!C:C,'Week 52 Dec 21 - Dec 27 2020'!C:C)+Table404243465051444854[[#This Row],[Week Sales]]</f>
        <v>0</v>
      </c>
      <c r="G15" s="47" t="e">
        <f>(VLOOKUP(D:D,'Week 51 Dec 14 - Dec 20 2020'!D:G,4,FALSE))</f>
        <v>#N/A</v>
      </c>
      <c r="H15" s="60" t="e">
        <f>(VLOOKUP(D:D,'Week 51 Dec 14 - Dec 20 2020'!D:H,5,FALSE))</f>
        <v>#N/A</v>
      </c>
      <c r="I15" s="55">
        <f>SUMIFS('Week 51 Dec 14 - Dec 20 2020'!E:E,'Week 51 Dec 14 - Dec 20 2020'!D:D,'Week 52 Dec 21 - Dec 27 2020'!D:D,'Week 51 Dec 14 - Dec 20 2020'!C:C,'Week 52 Dec 21 - Dec 27 2020'!C:C)</f>
        <v>0</v>
      </c>
      <c r="J15" s="56" t="e">
        <f t="shared" si="0"/>
        <v>#DIV/0!</v>
      </c>
    </row>
    <row r="16" spans="1:10" x14ac:dyDescent="0.2">
      <c r="A16" s="47">
        <v>15</v>
      </c>
      <c r="B16" s="47"/>
      <c r="C16" s="47"/>
      <c r="D16" s="18"/>
      <c r="E16" s="55"/>
      <c r="F16" s="55">
        <f>SUMIFS('Week 51 Dec 14 - Dec 20 2020'!F:F,'Week 51 Dec 14 - Dec 20 2020'!D:D,'Week 52 Dec 21 - Dec 27 2020'!D:D,'Week 51 Dec 14 - Dec 20 2020'!C:C,'Week 52 Dec 21 - Dec 27 2020'!C:C)+Table404243465051444854[[#This Row],[Week Sales]]</f>
        <v>0</v>
      </c>
      <c r="G16" s="47" t="e">
        <f>(VLOOKUP(D:D,'Week 51 Dec 14 - Dec 20 2020'!D:G,4,FALSE))</f>
        <v>#N/A</v>
      </c>
      <c r="H16" s="60" t="e">
        <f>(VLOOKUP(D:D,'Week 51 Dec 14 - Dec 20 2020'!D:H,5,FALSE))</f>
        <v>#N/A</v>
      </c>
      <c r="I16" s="55">
        <f>SUMIFS('Week 51 Dec 14 - Dec 20 2020'!E:E,'Week 51 Dec 14 - Dec 20 2020'!D:D,'Week 52 Dec 21 - Dec 27 2020'!D:D,'Week 51 Dec 14 - Dec 20 2020'!C:C,'Week 52 Dec 21 - Dec 27 2020'!C:C)</f>
        <v>0</v>
      </c>
      <c r="J16" s="56" t="e">
        <f t="shared" si="0"/>
        <v>#DIV/0!</v>
      </c>
    </row>
    <row r="17" spans="1:10" x14ac:dyDescent="0.2">
      <c r="A17" s="47">
        <v>16</v>
      </c>
      <c r="B17" s="47"/>
      <c r="C17" s="68"/>
      <c r="D17" s="18"/>
      <c r="E17" s="55"/>
      <c r="F17" s="55">
        <f>SUMIFS('Week 51 Dec 14 - Dec 20 2020'!F:F,'Week 51 Dec 14 - Dec 20 2020'!D:D,'Week 52 Dec 21 - Dec 27 2020'!D:D,'Week 51 Dec 14 - Dec 20 2020'!C:C,'Week 52 Dec 21 - Dec 27 2020'!C:C)+Table404243465051444854[[#This Row],[Week Sales]]</f>
        <v>0</v>
      </c>
      <c r="G17" s="47" t="e">
        <f>(VLOOKUP(D:D,'Week 51 Dec 14 - Dec 20 2020'!D:G,4,FALSE))</f>
        <v>#N/A</v>
      </c>
      <c r="H17" s="60" t="e">
        <f>(VLOOKUP(D:D,'Week 51 Dec 14 - Dec 20 2020'!D:H,5,FALSE))</f>
        <v>#N/A</v>
      </c>
      <c r="I17" s="55">
        <f>SUMIFS('Week 51 Dec 14 - Dec 20 2020'!E:E,'Week 51 Dec 14 - Dec 20 2020'!D:D,'Week 52 Dec 21 - Dec 27 2020'!D:D,'Week 51 Dec 14 - Dec 20 2020'!C:C,'Week 52 Dec 21 - Dec 27 2020'!C:C)</f>
        <v>0</v>
      </c>
      <c r="J17" s="56" t="e">
        <f t="shared" si="0"/>
        <v>#DIV/0!</v>
      </c>
    </row>
    <row r="18" spans="1:10" x14ac:dyDescent="0.2">
      <c r="A18" s="47">
        <v>17</v>
      </c>
      <c r="B18" s="47"/>
      <c r="C18" s="68"/>
      <c r="D18" s="18"/>
      <c r="E18" s="55"/>
      <c r="F18" s="55">
        <f>SUMIFS('Week 51 Dec 14 - Dec 20 2020'!F:F,'Week 51 Dec 14 - Dec 20 2020'!D:D,'Week 52 Dec 21 - Dec 27 2020'!D:D,'Week 51 Dec 14 - Dec 20 2020'!C:C,'Week 52 Dec 21 - Dec 27 2020'!C:C)+Table404243465051444854[[#This Row],[Week Sales]]</f>
        <v>0</v>
      </c>
      <c r="G18" s="47" t="e">
        <f>(VLOOKUP(D:D,'Week 51 Dec 14 - Dec 20 2020'!D:G,4,FALSE))</f>
        <v>#N/A</v>
      </c>
      <c r="H18" s="60" t="e">
        <f>(VLOOKUP(D:D,'Week 51 Dec 14 - Dec 20 2020'!D:H,5,FALSE))</f>
        <v>#N/A</v>
      </c>
      <c r="I18" s="55">
        <f>SUMIFS('Week 51 Dec 14 - Dec 20 2020'!E:E,'Week 51 Dec 14 - Dec 20 2020'!D:D,'Week 52 Dec 21 - Dec 27 2020'!D:D,'Week 51 Dec 14 - Dec 20 2020'!C:C,'Week 52 Dec 21 - Dec 27 2020'!C:C)</f>
        <v>0</v>
      </c>
      <c r="J18" s="56" t="e">
        <f t="shared" si="0"/>
        <v>#DIV/0!</v>
      </c>
    </row>
    <row r="19" spans="1:10" x14ac:dyDescent="0.2">
      <c r="A19" s="47">
        <v>18</v>
      </c>
      <c r="B19" s="47"/>
      <c r="C19" s="68"/>
      <c r="D19" s="18"/>
      <c r="E19" s="55"/>
      <c r="F19" s="55">
        <f>SUMIFS('Week 51 Dec 14 - Dec 20 2020'!F:F,'Week 51 Dec 14 - Dec 20 2020'!D:D,'Week 52 Dec 21 - Dec 27 2020'!D:D,'Week 51 Dec 14 - Dec 20 2020'!C:C,'Week 52 Dec 21 - Dec 27 2020'!C:C)+Table404243465051444854[[#This Row],[Week Sales]]</f>
        <v>0</v>
      </c>
      <c r="G19" s="47" t="e">
        <f>(VLOOKUP(D:D,'Week 51 Dec 14 - Dec 20 2020'!D:G,4,FALSE))</f>
        <v>#N/A</v>
      </c>
      <c r="H19" s="60" t="e">
        <f>(VLOOKUP(D:D,'Week 51 Dec 14 - Dec 20 2020'!D:H,5,FALSE))</f>
        <v>#N/A</v>
      </c>
      <c r="I19" s="55">
        <f>SUMIFS('Week 51 Dec 14 - Dec 20 2020'!E:E,'Week 51 Dec 14 - Dec 20 2020'!D:D,'Week 52 Dec 21 - Dec 27 2020'!D:D,'Week 51 Dec 14 - Dec 20 2020'!C:C,'Week 52 Dec 21 - Dec 27 2020'!C:C)</f>
        <v>0</v>
      </c>
      <c r="J19" s="56" t="e">
        <f t="shared" si="0"/>
        <v>#DIV/0!</v>
      </c>
    </row>
    <row r="20" spans="1:10" x14ac:dyDescent="0.2">
      <c r="A20" s="47">
        <v>19</v>
      </c>
      <c r="B20" s="47"/>
      <c r="C20" s="68"/>
      <c r="D20" s="18"/>
      <c r="E20" s="55"/>
      <c r="F20" s="55">
        <f>SUMIFS('Week 51 Dec 14 - Dec 20 2020'!F:F,'Week 51 Dec 14 - Dec 20 2020'!D:D,'Week 52 Dec 21 - Dec 27 2020'!D:D,'Week 51 Dec 14 - Dec 20 2020'!C:C,'Week 52 Dec 21 - Dec 27 2020'!C:C)+Table404243465051444854[[#This Row],[Week Sales]]</f>
        <v>0</v>
      </c>
      <c r="G20" s="47" t="e">
        <f>(VLOOKUP(D:D,'Week 51 Dec 14 - Dec 20 2020'!D:G,4,FALSE))</f>
        <v>#N/A</v>
      </c>
      <c r="H20" s="60" t="e">
        <f>(VLOOKUP(D:D,'Week 51 Dec 14 - Dec 20 2020'!D:H,5,FALSE))</f>
        <v>#N/A</v>
      </c>
      <c r="I20" s="55">
        <f>SUMIFS('Week 51 Dec 14 - Dec 20 2020'!E:E,'Week 51 Dec 14 - Dec 20 2020'!D:D,'Week 52 Dec 21 - Dec 27 2020'!D:D,'Week 51 Dec 14 - Dec 20 2020'!C:C,'Week 52 Dec 21 - Dec 27 2020'!C:C)</f>
        <v>0</v>
      </c>
      <c r="J20" s="56" t="e">
        <f t="shared" si="0"/>
        <v>#DIV/0!</v>
      </c>
    </row>
    <row r="21" spans="1:10" x14ac:dyDescent="0.2">
      <c r="A21" s="47">
        <v>20</v>
      </c>
      <c r="B21" s="47"/>
      <c r="C21" s="68"/>
      <c r="D21" s="18"/>
      <c r="E21" s="55"/>
      <c r="F21" s="55">
        <f>SUMIFS('Week 51 Dec 14 - Dec 20 2020'!F:F,'Week 51 Dec 14 - Dec 20 2020'!D:D,'Week 52 Dec 21 - Dec 27 2020'!D:D,'Week 51 Dec 14 - Dec 20 2020'!C:C,'Week 52 Dec 21 - Dec 27 2020'!C:C)+Table404243465051444854[[#This Row],[Week Sales]]</f>
        <v>0</v>
      </c>
      <c r="G21" s="47" t="e">
        <f>(VLOOKUP(D:D,'Week 51 Dec 14 - Dec 20 2020'!D:G,4,FALSE))</f>
        <v>#N/A</v>
      </c>
      <c r="H21" s="60" t="e">
        <f>(VLOOKUP(D:D,'Week 51 Dec 14 - Dec 20 2020'!D:H,5,FALSE))</f>
        <v>#N/A</v>
      </c>
      <c r="I21" s="55">
        <f>SUMIFS('Week 51 Dec 14 - Dec 20 2020'!E:E,'Week 51 Dec 14 - Dec 20 2020'!D:D,'Week 52 Dec 21 - Dec 27 2020'!D:D,'Week 51 Dec 14 - Dec 20 2020'!C:C,'Week 52 Dec 21 - Dec 27 2020'!C:C)</f>
        <v>0</v>
      </c>
      <c r="J21" s="56" t="e">
        <f t="shared" si="0"/>
        <v>#DIV/0!</v>
      </c>
    </row>
    <row r="22" spans="1:10" x14ac:dyDescent="0.2">
      <c r="A22" s="47">
        <v>21</v>
      </c>
      <c r="B22" s="47"/>
      <c r="C22" s="68"/>
      <c r="D22" s="18"/>
      <c r="E22" s="55"/>
      <c r="F22" s="55">
        <f>SUMIFS('Week 51 Dec 14 - Dec 20 2020'!F:F,'Week 51 Dec 14 - Dec 20 2020'!D:D,'Week 52 Dec 21 - Dec 27 2020'!D:D,'Week 51 Dec 14 - Dec 20 2020'!C:C,'Week 52 Dec 21 - Dec 27 2020'!C:C)+Table404243465051444854[[#This Row],[Week Sales]]</f>
        <v>0</v>
      </c>
      <c r="G22" s="47" t="e">
        <f>(VLOOKUP(D:D,'Week 51 Dec 14 - Dec 20 2020'!D:G,4,FALSE))</f>
        <v>#N/A</v>
      </c>
      <c r="H22" s="60" t="e">
        <f>(VLOOKUP(D:D,'Week 51 Dec 14 - Dec 20 2020'!D:H,5,FALSE))</f>
        <v>#N/A</v>
      </c>
      <c r="I22" s="55">
        <f>SUMIFS('Week 51 Dec 14 - Dec 20 2020'!E:E,'Week 51 Dec 14 - Dec 20 2020'!D:D,'Week 52 Dec 21 - Dec 27 2020'!D:D,'Week 51 Dec 14 - Dec 20 2020'!C:C,'Week 52 Dec 21 - Dec 27 2020'!C:C)</f>
        <v>0</v>
      </c>
      <c r="J22" s="56" t="e">
        <f t="shared" si="0"/>
        <v>#DIV/0!</v>
      </c>
    </row>
    <row r="23" spans="1:10" x14ac:dyDescent="0.2">
      <c r="A23" s="47">
        <v>22</v>
      </c>
      <c r="B23" s="47"/>
      <c r="C23" s="68"/>
      <c r="D23" s="18"/>
      <c r="E23" s="55"/>
      <c r="F23" s="55">
        <f>SUMIFS('Week 51 Dec 14 - Dec 20 2020'!F:F,'Week 51 Dec 14 - Dec 20 2020'!D:D,'Week 52 Dec 21 - Dec 27 2020'!D:D,'Week 51 Dec 14 - Dec 20 2020'!C:C,'Week 52 Dec 21 - Dec 27 2020'!C:C)+Table404243465051444854[[#This Row],[Week Sales]]</f>
        <v>0</v>
      </c>
      <c r="G23" s="47" t="e">
        <f>(VLOOKUP(D:D,'Week 51 Dec 14 - Dec 20 2020'!D:G,4,FALSE))</f>
        <v>#N/A</v>
      </c>
      <c r="H23" s="60" t="e">
        <f>(VLOOKUP(D:D,'Week 51 Dec 14 - Dec 20 2020'!D:H,5,FALSE))</f>
        <v>#N/A</v>
      </c>
      <c r="I23" s="55">
        <f>SUMIFS('Week 51 Dec 14 - Dec 20 2020'!E:E,'Week 51 Dec 14 - Dec 20 2020'!D:D,'Week 52 Dec 21 - Dec 27 2020'!D:D,'Week 51 Dec 14 - Dec 20 2020'!C:C,'Week 52 Dec 21 - Dec 27 2020'!C:C)</f>
        <v>0</v>
      </c>
      <c r="J23" s="56" t="e">
        <f t="shared" si="0"/>
        <v>#DIV/0!</v>
      </c>
    </row>
    <row r="24" spans="1:10" x14ac:dyDescent="0.2">
      <c r="A24" s="47">
        <v>23</v>
      </c>
      <c r="B24" s="47"/>
      <c r="C24" s="68"/>
      <c r="D24" s="18"/>
      <c r="E24" s="55"/>
      <c r="F24" s="55">
        <f>SUMIFS('Week 51 Dec 14 - Dec 20 2020'!F:F,'Week 51 Dec 14 - Dec 20 2020'!D:D,'Week 52 Dec 21 - Dec 27 2020'!D:D,'Week 51 Dec 14 - Dec 20 2020'!C:C,'Week 52 Dec 21 - Dec 27 2020'!C:C)+Table404243465051444854[[#This Row],[Week Sales]]</f>
        <v>0</v>
      </c>
      <c r="G24" s="47" t="e">
        <f>(VLOOKUP(D:D,'Week 51 Dec 14 - Dec 20 2020'!D:G,4,FALSE))</f>
        <v>#N/A</v>
      </c>
      <c r="H24" s="60" t="e">
        <f>(VLOOKUP(D:D,'Week 51 Dec 14 - Dec 20 2020'!D:H,5,FALSE))</f>
        <v>#N/A</v>
      </c>
      <c r="I24" s="55">
        <f>SUMIFS('Week 51 Dec 14 - Dec 20 2020'!E:E,'Week 51 Dec 14 - Dec 20 2020'!D:D,'Week 52 Dec 21 - Dec 27 2020'!D:D,'Week 51 Dec 14 - Dec 20 2020'!C:C,'Week 52 Dec 21 - Dec 27 2020'!C:C)</f>
        <v>0</v>
      </c>
      <c r="J24" s="56" t="e">
        <f t="shared" si="0"/>
        <v>#DIV/0!</v>
      </c>
    </row>
    <row r="25" spans="1:10" x14ac:dyDescent="0.2">
      <c r="A25" s="47">
        <v>24</v>
      </c>
      <c r="B25" s="47"/>
      <c r="C25" s="68"/>
      <c r="D25" s="18"/>
      <c r="E25" s="55"/>
      <c r="F25" s="55">
        <f>SUMIFS('Week 51 Dec 14 - Dec 20 2020'!F:F,'Week 51 Dec 14 - Dec 20 2020'!D:D,'Week 52 Dec 21 - Dec 27 2020'!D:D,'Week 51 Dec 14 - Dec 20 2020'!C:C,'Week 52 Dec 21 - Dec 27 2020'!C:C)+Table404243465051444854[[#This Row],[Week Sales]]</f>
        <v>0</v>
      </c>
      <c r="G25" s="47" t="e">
        <f>(VLOOKUP(D:D,'Week 51 Dec 14 - Dec 20 2020'!D:G,4,FALSE))</f>
        <v>#N/A</v>
      </c>
      <c r="H25" s="60" t="e">
        <f>(VLOOKUP(D:D,'Week 51 Dec 14 - Dec 20 2020'!D:H,5,FALSE))</f>
        <v>#N/A</v>
      </c>
      <c r="I25" s="55">
        <f>SUMIFS('Week 51 Dec 14 - Dec 20 2020'!E:E,'Week 51 Dec 14 - Dec 20 2020'!D:D,'Week 52 Dec 21 - Dec 27 2020'!D:D,'Week 51 Dec 14 - Dec 20 2020'!C:C,'Week 52 Dec 21 - Dec 27 2020'!C:C)</f>
        <v>0</v>
      </c>
      <c r="J25" s="56" t="e">
        <f t="shared" si="0"/>
        <v>#DIV/0!</v>
      </c>
    </row>
    <row r="26" spans="1:10" x14ac:dyDescent="0.2">
      <c r="A26" s="47">
        <v>25</v>
      </c>
      <c r="B26" s="47"/>
      <c r="C26" s="68"/>
      <c r="D26" s="18"/>
      <c r="E26" s="55"/>
      <c r="F26" s="55">
        <f>SUMIFS('Week 51 Dec 14 - Dec 20 2020'!F:F,'Week 51 Dec 14 - Dec 20 2020'!D:D,'Week 52 Dec 21 - Dec 27 2020'!D:D,'Week 51 Dec 14 - Dec 20 2020'!C:C,'Week 52 Dec 21 - Dec 27 2020'!C:C)+Table404243465051444854[[#This Row],[Week Sales]]</f>
        <v>0</v>
      </c>
      <c r="G26" s="47" t="e">
        <f>(VLOOKUP(D:D,'Week 51 Dec 14 - Dec 20 2020'!D:G,4,FALSE))</f>
        <v>#N/A</v>
      </c>
      <c r="H26" s="60" t="e">
        <f>(VLOOKUP(D:D,'Week 51 Dec 14 - Dec 20 2020'!D:H,5,FALSE))</f>
        <v>#N/A</v>
      </c>
      <c r="I26" s="55">
        <f>SUMIFS('Week 51 Dec 14 - Dec 20 2020'!E:E,'Week 51 Dec 14 - Dec 20 2020'!D:D,'Week 52 Dec 21 - Dec 27 2020'!D:D,'Week 51 Dec 14 - Dec 20 2020'!C:C,'Week 52 Dec 21 - Dec 27 2020'!C:C)</f>
        <v>0</v>
      </c>
      <c r="J26" s="56" t="e">
        <f t="shared" si="0"/>
        <v>#DIV/0!</v>
      </c>
    </row>
    <row r="27" spans="1:10" x14ac:dyDescent="0.2">
      <c r="A27" s="47">
        <v>26</v>
      </c>
      <c r="B27" s="47"/>
      <c r="C27" s="68"/>
      <c r="D27" s="18"/>
      <c r="E27" s="55"/>
      <c r="F27" s="55">
        <f>SUMIFS('Week 51 Dec 14 - Dec 20 2020'!F:F,'Week 51 Dec 14 - Dec 20 2020'!D:D,'Week 52 Dec 21 - Dec 27 2020'!D:D,'Week 51 Dec 14 - Dec 20 2020'!C:C,'Week 52 Dec 21 - Dec 27 2020'!C:C)+Table404243465051444854[[#This Row],[Week Sales]]</f>
        <v>0</v>
      </c>
      <c r="G27" s="47" t="e">
        <f>(VLOOKUP(D:D,'Week 51 Dec 14 - Dec 20 2020'!D:G,4,FALSE))</f>
        <v>#N/A</v>
      </c>
      <c r="H27" s="60" t="e">
        <f>(VLOOKUP(D:D,'Week 51 Dec 14 - Dec 20 2020'!D:H,5,FALSE))</f>
        <v>#N/A</v>
      </c>
      <c r="I27" s="55">
        <f>SUMIFS('Week 51 Dec 14 - Dec 20 2020'!E:E,'Week 51 Dec 14 - Dec 20 2020'!D:D,'Week 52 Dec 21 - Dec 27 2020'!D:D,'Week 51 Dec 14 - Dec 20 2020'!C:C,'Week 52 Dec 21 - Dec 27 2020'!C:C)</f>
        <v>0</v>
      </c>
      <c r="J27" s="56" t="e">
        <f t="shared" si="0"/>
        <v>#DIV/0!</v>
      </c>
    </row>
    <row r="28" spans="1:10" x14ac:dyDescent="0.2">
      <c r="A28" s="47">
        <v>27</v>
      </c>
      <c r="B28" s="47"/>
      <c r="C28" s="68"/>
      <c r="D28" s="18"/>
      <c r="E28" s="55"/>
      <c r="F28" s="55">
        <f>SUMIFS('Week 51 Dec 14 - Dec 20 2020'!F:F,'Week 51 Dec 14 - Dec 20 2020'!D:D,'Week 52 Dec 21 - Dec 27 2020'!D:D,'Week 51 Dec 14 - Dec 20 2020'!C:C,'Week 52 Dec 21 - Dec 27 2020'!C:C)+Table404243465051444854[[#This Row],[Week Sales]]</f>
        <v>0</v>
      </c>
      <c r="G28" s="47" t="e">
        <f>(VLOOKUP(D:D,'Week 51 Dec 14 - Dec 20 2020'!D:G,4,FALSE))</f>
        <v>#N/A</v>
      </c>
      <c r="H28" s="60" t="e">
        <f>(VLOOKUP(D:D,'Week 51 Dec 14 - Dec 20 2020'!D:H,5,FALSE))</f>
        <v>#N/A</v>
      </c>
      <c r="I28" s="55">
        <f>SUMIFS('Week 51 Dec 14 - Dec 20 2020'!E:E,'Week 51 Dec 14 - Dec 20 2020'!D:D,'Week 52 Dec 21 - Dec 27 2020'!D:D,'Week 51 Dec 14 - Dec 20 2020'!C:C,'Week 52 Dec 21 - Dec 27 2020'!C:C)</f>
        <v>0</v>
      </c>
      <c r="J28" s="56" t="e">
        <f t="shared" si="0"/>
        <v>#DIV/0!</v>
      </c>
    </row>
    <row r="29" spans="1:10" x14ac:dyDescent="0.2">
      <c r="A29" s="47">
        <v>28</v>
      </c>
      <c r="B29" s="47"/>
      <c r="C29" s="68"/>
      <c r="D29" s="18"/>
      <c r="E29" s="55"/>
      <c r="F29" s="55">
        <f>SUMIFS('Week 51 Dec 14 - Dec 20 2020'!F:F,'Week 51 Dec 14 - Dec 20 2020'!D:D,'Week 52 Dec 21 - Dec 27 2020'!D:D,'Week 51 Dec 14 - Dec 20 2020'!C:C,'Week 52 Dec 21 - Dec 27 2020'!C:C)+Table404243465051444854[[#This Row],[Week Sales]]</f>
        <v>0</v>
      </c>
      <c r="G29" s="47" t="e">
        <f>(VLOOKUP(D:D,'Week 51 Dec 14 - Dec 20 2020'!D:G,4,FALSE))</f>
        <v>#N/A</v>
      </c>
      <c r="H29" s="60" t="e">
        <f>(VLOOKUP(D:D,'Week 51 Dec 14 - Dec 20 2020'!D:H,5,FALSE))</f>
        <v>#N/A</v>
      </c>
      <c r="I29" s="55">
        <f>SUMIFS('Week 51 Dec 14 - Dec 20 2020'!E:E,'Week 51 Dec 14 - Dec 20 2020'!D:D,'Week 52 Dec 21 - Dec 27 2020'!D:D,'Week 51 Dec 14 - Dec 20 2020'!C:C,'Week 52 Dec 21 - Dec 27 2020'!C:C)</f>
        <v>0</v>
      </c>
      <c r="J29" s="56" t="e">
        <f t="shared" si="0"/>
        <v>#DIV/0!</v>
      </c>
    </row>
    <row r="30" spans="1:10" x14ac:dyDescent="0.2">
      <c r="A30" s="47">
        <v>29</v>
      </c>
      <c r="B30" s="47"/>
      <c r="C30" s="68"/>
      <c r="D30" s="18"/>
      <c r="E30" s="55"/>
      <c r="F30" s="55">
        <f>SUMIFS('Week 51 Dec 14 - Dec 20 2020'!F:F,'Week 51 Dec 14 - Dec 20 2020'!D:D,'Week 52 Dec 21 - Dec 27 2020'!D:D,'Week 51 Dec 14 - Dec 20 2020'!C:C,'Week 52 Dec 21 - Dec 27 2020'!C:C)+Table404243465051444854[[#This Row],[Week Sales]]</f>
        <v>0</v>
      </c>
      <c r="G30" s="47" t="e">
        <f>(VLOOKUP(D:D,'Week 51 Dec 14 - Dec 20 2020'!D:G,4,FALSE))</f>
        <v>#N/A</v>
      </c>
      <c r="H30" s="60" t="e">
        <f>(VLOOKUP(D:D,'Week 51 Dec 14 - Dec 20 2020'!D:H,5,FALSE))</f>
        <v>#N/A</v>
      </c>
      <c r="I30" s="55">
        <f>SUMIFS('Week 51 Dec 14 - Dec 20 2020'!E:E,'Week 51 Dec 14 - Dec 20 2020'!D:D,'Week 52 Dec 21 - Dec 27 2020'!D:D,'Week 51 Dec 14 - Dec 20 2020'!C:C,'Week 52 Dec 21 - Dec 27 2020'!C:C)</f>
        <v>0</v>
      </c>
      <c r="J30" s="56" t="e">
        <f t="shared" si="0"/>
        <v>#DIV/0!</v>
      </c>
    </row>
    <row r="31" spans="1:10" x14ac:dyDescent="0.2">
      <c r="A31" s="69">
        <v>30</v>
      </c>
      <c r="B31" s="69"/>
      <c r="C31" s="68"/>
      <c r="D31" s="18"/>
      <c r="E31" s="83"/>
      <c r="F31" s="55">
        <f>SUMIFS('Week 51 Dec 14 - Dec 20 2020'!F:F,'Week 51 Dec 14 - Dec 20 2020'!D:D,'Week 52 Dec 21 - Dec 27 2020'!D:D,'Week 51 Dec 14 - Dec 20 2020'!C:C,'Week 52 Dec 21 - Dec 27 2020'!C:C)+Table404243465051444854[[#This Row],[Week Sales]]</f>
        <v>0</v>
      </c>
      <c r="G31" s="47" t="e">
        <f>(VLOOKUP(D:D,'Week 51 Dec 14 - Dec 20 2020'!D:G,4,FALSE))</f>
        <v>#N/A</v>
      </c>
      <c r="H31" s="60" t="e">
        <f>(VLOOKUP(D:D,'Week 51 Dec 14 - Dec 20 2020'!D:H,5,FALSE))</f>
        <v>#N/A</v>
      </c>
      <c r="I31" s="55">
        <f>SUMIFS('Week 51 Dec 14 - Dec 20 2020'!E:E,'Week 51 Dec 14 - Dec 20 2020'!D:D,'Week 52 Dec 21 - Dec 27 2020'!D:D,'Week 51 Dec 14 - Dec 20 2020'!C:C,'Week 52 Dec 21 - Dec 27 2020'!C:C)</f>
        <v>0</v>
      </c>
      <c r="J31" s="56" t="e">
        <f t="shared" si="0"/>
        <v>#DIV/0!</v>
      </c>
    </row>
    <row r="33" spans="4:5" x14ac:dyDescent="0.2">
      <c r="D33" s="2" t="s">
        <v>59</v>
      </c>
      <c r="E33" s="2">
        <f>SUM(E2:E31)</f>
        <v>0</v>
      </c>
    </row>
    <row r="34" spans="4:5" x14ac:dyDescent="0.2">
      <c r="D34" s="100" t="s">
        <v>178</v>
      </c>
      <c r="E34" s="101">
        <f>SUM('Week 51 Dec 14 - Dec 20 2020'!E34,'Week 52 Dec 21 - Dec 27 2020'!E33)</f>
        <v>23397916</v>
      </c>
    </row>
    <row r="35" spans="4:5" x14ac:dyDescent="0.2">
      <c r="D35" s="2" t="s">
        <v>60</v>
      </c>
      <c r="E35" s="2" t="e">
        <f>AVERAGE(E2:E31)</f>
        <v>#DIV/0!</v>
      </c>
    </row>
    <row r="36" spans="4:5" x14ac:dyDescent="0.2">
      <c r="D36" s="9" t="s">
        <v>78</v>
      </c>
      <c r="E36" s="10">
        <f>COUNTIF(B:B,"New")</f>
        <v>0</v>
      </c>
    </row>
    <row r="38" spans="4:5" x14ac:dyDescent="0.2">
      <c r="D38" t="s">
        <v>66</v>
      </c>
    </row>
    <row r="39" spans="4:5" x14ac:dyDescent="0.2">
      <c r="D39" s="15" t="s">
        <v>67</v>
      </c>
    </row>
    <row r="40" spans="4:5" x14ac:dyDescent="0.2">
      <c r="D40" s="15" t="s">
        <v>65</v>
      </c>
    </row>
    <row r="41" spans="4:5" x14ac:dyDescent="0.2">
      <c r="D41" s="15" t="s">
        <v>71</v>
      </c>
    </row>
  </sheetData>
  <pageMargins left="0.7" right="0.7" top="0.75" bottom="0.75" header="0.3" footer="0.3"/>
  <tableParts count="1">
    <tablePart r:id="rId1"/>
  </tablePart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997A-68E4-314C-97FB-F034F742D791}">
  <dimension ref="A1:J42"/>
  <sheetViews>
    <sheetView tabSelected="1" topLeftCell="A4" workbookViewId="0">
      <selection activeCell="D40" sqref="D40:D42"/>
    </sheetView>
  </sheetViews>
  <sheetFormatPr baseColWidth="10" defaultRowHeight="16" x14ac:dyDescent="0.2"/>
  <cols>
    <col min="1" max="1" width="7.6640625" bestFit="1" customWidth="1"/>
    <col min="4" max="4" width="47.3320312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78" t="s">
        <v>0</v>
      </c>
      <c r="B1" s="78" t="s">
        <v>35</v>
      </c>
      <c r="C1" s="79" t="s">
        <v>1</v>
      </c>
      <c r="D1" s="79" t="s">
        <v>2</v>
      </c>
      <c r="E1" s="80" t="s">
        <v>3</v>
      </c>
      <c r="F1" s="80" t="s">
        <v>4</v>
      </c>
      <c r="G1" s="79" t="s">
        <v>5</v>
      </c>
      <c r="H1" s="81" t="s">
        <v>6</v>
      </c>
      <c r="I1" s="80" t="s">
        <v>64</v>
      </c>
      <c r="J1" s="82" t="s">
        <v>63</v>
      </c>
    </row>
    <row r="2" spans="1:10" x14ac:dyDescent="0.2">
      <c r="A2" s="47">
        <v>1</v>
      </c>
      <c r="B2" s="47"/>
      <c r="C2" s="47"/>
      <c r="D2" s="86"/>
      <c r="E2" s="55"/>
      <c r="F2" s="55">
        <f>SUMIFS('Week 52 Dec 21 - Dec 27 2020'!F:F,'Week 52 Dec 21 - Dec 27 2020'!D:D,'Week 53 Dec 28 - Jan 3 2021'!D:D,'Week 52 Dec 21 - Dec 27 2020'!C:C,'Week 53 Dec 28 - Jan 3 2021'!C:C)+Table40424346505144485415[[#This Row],[Week Sales]]</f>
        <v>0</v>
      </c>
      <c r="G2" s="47" t="e">
        <f>(VLOOKUP(D:D,'Week 52 Dec 21 - Dec 27 2020'!D:G,4,FALSE))</f>
        <v>#N/A</v>
      </c>
      <c r="H2" s="60" t="e">
        <f>(VLOOKUP(D:D,'Week 52 Dec 21 - Dec 27 2020'!D:H,5,FALSE))</f>
        <v>#N/A</v>
      </c>
      <c r="I2" s="55">
        <f>SUMIFS('Week 52 Dec 21 - Dec 27 2020'!E:E,'Week 52 Dec 21 - Dec 27 2020'!D:D,'Week 53 Dec 28 - Jan 3 2021'!D:D,'Week 52 Dec 21 - Dec 27 2020'!C:C,'Week 53 Dec 28 - Jan 3 2021'!C:C)</f>
        <v>0</v>
      </c>
      <c r="J2" s="56" t="e">
        <f t="shared" ref="J2:J31" si="0">(E2-I2)/I2</f>
        <v>#DIV/0!</v>
      </c>
    </row>
    <row r="3" spans="1:10" x14ac:dyDescent="0.2">
      <c r="A3" s="105">
        <v>2</v>
      </c>
      <c r="B3" s="47"/>
      <c r="C3" s="47"/>
      <c r="D3" s="18"/>
      <c r="E3" s="55"/>
      <c r="F3" s="55">
        <f>SUMIFS('Week 52 Dec 21 - Dec 27 2020'!F:F,'Week 52 Dec 21 - Dec 27 2020'!D:D,'Week 53 Dec 28 - Jan 3 2021'!D:D,'Week 52 Dec 21 - Dec 27 2020'!C:C,'Week 53 Dec 28 - Jan 3 2021'!C:C)+Table40424346505144485415[[#This Row],[Week Sales]]</f>
        <v>0</v>
      </c>
      <c r="G3" s="47" t="e">
        <f>(VLOOKUP(D:D,'Week 52 Dec 21 - Dec 27 2020'!D:G,4,FALSE))</f>
        <v>#N/A</v>
      </c>
      <c r="H3" s="60" t="e">
        <f>(VLOOKUP(D:D,'Week 52 Dec 21 - Dec 27 2020'!D:H,5,FALSE))</f>
        <v>#N/A</v>
      </c>
      <c r="I3" s="55">
        <f>SUMIFS('Week 52 Dec 21 - Dec 27 2020'!E:E,'Week 52 Dec 21 - Dec 27 2020'!D:D,'Week 53 Dec 28 - Jan 3 2021'!D:D,'Week 52 Dec 21 - Dec 27 2020'!C:C,'Week 53 Dec 28 - Jan 3 2021'!C:C)</f>
        <v>0</v>
      </c>
      <c r="J3" s="56" t="e">
        <f t="shared" si="0"/>
        <v>#DIV/0!</v>
      </c>
    </row>
    <row r="4" spans="1:10" x14ac:dyDescent="0.2">
      <c r="A4" s="47">
        <v>3</v>
      </c>
      <c r="B4" s="47"/>
      <c r="C4" s="47"/>
      <c r="D4" s="86"/>
      <c r="E4" s="55"/>
      <c r="F4" s="55">
        <f>SUMIFS('Week 52 Dec 21 - Dec 27 2020'!F:F,'Week 52 Dec 21 - Dec 27 2020'!D:D,'Week 53 Dec 28 - Jan 3 2021'!D:D,'Week 52 Dec 21 - Dec 27 2020'!C:C,'Week 53 Dec 28 - Jan 3 2021'!C:C)+Table40424346505144485415[[#This Row],[Week Sales]]</f>
        <v>0</v>
      </c>
      <c r="G4" s="47" t="e">
        <f>(VLOOKUP(D:D,'Week 52 Dec 21 - Dec 27 2020'!D:G,4,FALSE))</f>
        <v>#N/A</v>
      </c>
      <c r="H4" s="60" t="e">
        <f>(VLOOKUP(D:D,'Week 52 Dec 21 - Dec 27 2020'!D:H,5,FALSE))</f>
        <v>#N/A</v>
      </c>
      <c r="I4" s="55">
        <f>SUMIFS('Week 52 Dec 21 - Dec 27 2020'!E:E,'Week 52 Dec 21 - Dec 27 2020'!D:D,'Week 53 Dec 28 - Jan 3 2021'!D:D,'Week 52 Dec 21 - Dec 27 2020'!C:C,'Week 53 Dec 28 - Jan 3 2021'!C:C)</f>
        <v>0</v>
      </c>
      <c r="J4" s="56" t="e">
        <f t="shared" si="0"/>
        <v>#DIV/0!</v>
      </c>
    </row>
    <row r="5" spans="1:10" x14ac:dyDescent="0.2">
      <c r="A5" s="105">
        <v>4</v>
      </c>
      <c r="B5" s="47"/>
      <c r="C5" s="47"/>
      <c r="D5" s="18"/>
      <c r="E5" s="55"/>
      <c r="F5" s="55">
        <f>SUMIFS('Week 52 Dec 21 - Dec 27 2020'!F:F,'Week 52 Dec 21 - Dec 27 2020'!D:D,'Week 53 Dec 28 - Jan 3 2021'!D:D,'Week 52 Dec 21 - Dec 27 2020'!C:C,'Week 53 Dec 28 - Jan 3 2021'!C:C)+Table40424346505144485415[[#This Row],[Week Sales]]</f>
        <v>0</v>
      </c>
      <c r="G5" s="47" t="e">
        <f>(VLOOKUP(D:D,'Week 52 Dec 21 - Dec 27 2020'!D:G,4,FALSE))</f>
        <v>#N/A</v>
      </c>
      <c r="H5" s="60" t="e">
        <f>(VLOOKUP(D:D,'Week 52 Dec 21 - Dec 27 2020'!D:H,5,FALSE))</f>
        <v>#N/A</v>
      </c>
      <c r="I5" s="55">
        <f>SUMIFS('Week 52 Dec 21 - Dec 27 2020'!E:E,'Week 52 Dec 21 - Dec 27 2020'!D:D,'Week 53 Dec 28 - Jan 3 2021'!D:D,'Week 52 Dec 21 - Dec 27 2020'!C:C,'Week 53 Dec 28 - Jan 3 2021'!C:C)</f>
        <v>0</v>
      </c>
      <c r="J5" s="56" t="e">
        <f t="shared" si="0"/>
        <v>#DIV/0!</v>
      </c>
    </row>
    <row r="6" spans="1:10" x14ac:dyDescent="0.2">
      <c r="A6" s="47">
        <v>5</v>
      </c>
      <c r="B6" s="47"/>
      <c r="C6" s="47"/>
      <c r="D6" s="86"/>
      <c r="E6" s="55"/>
      <c r="F6" s="55">
        <f>SUMIFS('Week 52 Dec 21 - Dec 27 2020'!F:F,'Week 52 Dec 21 - Dec 27 2020'!D:D,'Week 53 Dec 28 - Jan 3 2021'!D:D,'Week 52 Dec 21 - Dec 27 2020'!C:C,'Week 53 Dec 28 - Jan 3 2021'!C:C)+Table40424346505144485415[[#This Row],[Week Sales]]</f>
        <v>0</v>
      </c>
      <c r="G6" s="47" t="e">
        <f>(VLOOKUP(D:D,'Week 52 Dec 21 - Dec 27 2020'!D:G,4,FALSE))</f>
        <v>#N/A</v>
      </c>
      <c r="H6" s="60" t="e">
        <f>(VLOOKUP(D:D,'Week 52 Dec 21 - Dec 27 2020'!D:H,5,FALSE))</f>
        <v>#N/A</v>
      </c>
      <c r="I6" s="55">
        <f>SUMIFS('Week 52 Dec 21 - Dec 27 2020'!E:E,'Week 52 Dec 21 - Dec 27 2020'!D:D,'Week 53 Dec 28 - Jan 3 2021'!D:D,'Week 52 Dec 21 - Dec 27 2020'!C:C,'Week 53 Dec 28 - Jan 3 2021'!C:C)</f>
        <v>0</v>
      </c>
      <c r="J6" s="56" t="e">
        <f t="shared" si="0"/>
        <v>#DIV/0!</v>
      </c>
    </row>
    <row r="7" spans="1:10" x14ac:dyDescent="0.2">
      <c r="A7" s="105">
        <v>6</v>
      </c>
      <c r="B7" s="47"/>
      <c r="C7" s="47"/>
      <c r="D7" s="18"/>
      <c r="E7" s="55"/>
      <c r="F7" s="55">
        <f>SUMIFS('Week 52 Dec 21 - Dec 27 2020'!F:F,'Week 52 Dec 21 - Dec 27 2020'!D:D,'Week 53 Dec 28 - Jan 3 2021'!D:D,'Week 52 Dec 21 - Dec 27 2020'!C:C,'Week 53 Dec 28 - Jan 3 2021'!C:C)+Table40424346505144485415[[#This Row],[Week Sales]]</f>
        <v>0</v>
      </c>
      <c r="G7" s="47" t="e">
        <f>(VLOOKUP(D:D,'Week 52 Dec 21 - Dec 27 2020'!D:G,4,FALSE))</f>
        <v>#N/A</v>
      </c>
      <c r="H7" s="60" t="e">
        <f>(VLOOKUP(D:D,'Week 52 Dec 21 - Dec 27 2020'!D:H,5,FALSE))</f>
        <v>#N/A</v>
      </c>
      <c r="I7" s="55">
        <f>SUMIFS('Week 52 Dec 21 - Dec 27 2020'!E:E,'Week 52 Dec 21 - Dec 27 2020'!D:D,'Week 53 Dec 28 - Jan 3 2021'!D:D,'Week 52 Dec 21 - Dec 27 2020'!C:C,'Week 53 Dec 28 - Jan 3 2021'!C:C)</f>
        <v>0</v>
      </c>
      <c r="J7" s="56" t="e">
        <f t="shared" si="0"/>
        <v>#DIV/0!</v>
      </c>
    </row>
    <row r="8" spans="1:10" x14ac:dyDescent="0.2">
      <c r="A8" s="105">
        <v>7</v>
      </c>
      <c r="B8" s="47"/>
      <c r="C8" s="68"/>
      <c r="D8" s="18"/>
      <c r="E8" s="55"/>
      <c r="F8" s="55">
        <f>SUMIFS('Week 52 Dec 21 - Dec 27 2020'!F:F,'Week 52 Dec 21 - Dec 27 2020'!D:D,'Week 53 Dec 28 - Jan 3 2021'!D:D,'Week 52 Dec 21 - Dec 27 2020'!C:C,'Week 53 Dec 28 - Jan 3 2021'!C:C)+Table40424346505144485415[[#This Row],[Week Sales]]</f>
        <v>0</v>
      </c>
      <c r="G8" s="47" t="e">
        <f>(VLOOKUP(D:D,'Week 52 Dec 21 - Dec 27 2020'!D:G,4,FALSE))</f>
        <v>#N/A</v>
      </c>
      <c r="H8" s="60" t="e">
        <f>(VLOOKUP(D:D,'Week 52 Dec 21 - Dec 27 2020'!D:H,5,FALSE))</f>
        <v>#N/A</v>
      </c>
      <c r="I8" s="55">
        <f>SUMIFS('Week 52 Dec 21 - Dec 27 2020'!E:E,'Week 52 Dec 21 - Dec 27 2020'!D:D,'Week 53 Dec 28 - Jan 3 2021'!D:D,'Week 52 Dec 21 - Dec 27 2020'!C:C,'Week 53 Dec 28 - Jan 3 2021'!C:C)</f>
        <v>0</v>
      </c>
      <c r="J8" s="56" t="e">
        <f t="shared" si="0"/>
        <v>#DIV/0!</v>
      </c>
    </row>
    <row r="9" spans="1:10" x14ac:dyDescent="0.2">
      <c r="A9" s="47">
        <v>8</v>
      </c>
      <c r="B9" s="47"/>
      <c r="C9" s="68"/>
      <c r="D9" s="86"/>
      <c r="E9" s="55"/>
      <c r="F9" s="55">
        <f>SUMIFS('Week 52 Dec 21 - Dec 27 2020'!F:F,'Week 52 Dec 21 - Dec 27 2020'!D:D,'Week 53 Dec 28 - Jan 3 2021'!D:D,'Week 52 Dec 21 - Dec 27 2020'!C:C,'Week 53 Dec 28 - Jan 3 2021'!C:C)+Table40424346505144485415[[#This Row],[Week Sales]]</f>
        <v>0</v>
      </c>
      <c r="G9" s="47" t="e">
        <f>(VLOOKUP(D:D,'Week 52 Dec 21 - Dec 27 2020'!D:G,4,FALSE))</f>
        <v>#N/A</v>
      </c>
      <c r="H9" s="60" t="e">
        <f>(VLOOKUP(D:D,'Week 52 Dec 21 - Dec 27 2020'!D:H,5,FALSE))</f>
        <v>#N/A</v>
      </c>
      <c r="I9" s="55">
        <f>SUMIFS('Week 52 Dec 21 - Dec 27 2020'!E:E,'Week 52 Dec 21 - Dec 27 2020'!D:D,'Week 53 Dec 28 - Jan 3 2021'!D:D,'Week 52 Dec 21 - Dec 27 2020'!C:C,'Week 53 Dec 28 - Jan 3 2021'!C:C)</f>
        <v>0</v>
      </c>
      <c r="J9" s="56" t="e">
        <f t="shared" si="0"/>
        <v>#DIV/0!</v>
      </c>
    </row>
    <row r="10" spans="1:10" x14ac:dyDescent="0.2">
      <c r="A10" s="47">
        <v>9</v>
      </c>
      <c r="B10" s="47"/>
      <c r="C10" s="68"/>
      <c r="D10" s="86"/>
      <c r="E10" s="55"/>
      <c r="F10" s="55">
        <f>SUMIFS('Week 52 Dec 21 - Dec 27 2020'!F:F,'Week 52 Dec 21 - Dec 27 2020'!D:D,'Week 53 Dec 28 - Jan 3 2021'!D:D,'Week 52 Dec 21 - Dec 27 2020'!C:C,'Week 53 Dec 28 - Jan 3 2021'!C:C)+Table40424346505144485415[[#This Row],[Week Sales]]</f>
        <v>0</v>
      </c>
      <c r="G10" s="47" t="e">
        <f>(VLOOKUP(D:D,'Week 52 Dec 21 - Dec 27 2020'!D:G,4,FALSE))</f>
        <v>#N/A</v>
      </c>
      <c r="H10" s="60" t="e">
        <f>(VLOOKUP(D:D,'Week 52 Dec 21 - Dec 27 2020'!D:H,5,FALSE))</f>
        <v>#N/A</v>
      </c>
      <c r="I10" s="55">
        <f>SUMIFS('Week 52 Dec 21 - Dec 27 2020'!E:E,'Week 52 Dec 21 - Dec 27 2020'!D:D,'Week 53 Dec 28 - Jan 3 2021'!D:D,'Week 52 Dec 21 - Dec 27 2020'!C:C,'Week 53 Dec 28 - Jan 3 2021'!C:C)</f>
        <v>0</v>
      </c>
      <c r="J10" s="56" t="e">
        <f t="shared" si="0"/>
        <v>#DIV/0!</v>
      </c>
    </row>
    <row r="11" spans="1:10" x14ac:dyDescent="0.2">
      <c r="A11" s="105">
        <v>10</v>
      </c>
      <c r="B11" s="47"/>
      <c r="C11" s="68"/>
      <c r="D11" s="18"/>
      <c r="E11" s="55"/>
      <c r="F11" s="55">
        <f>SUMIFS('Week 52 Dec 21 - Dec 27 2020'!F:F,'Week 52 Dec 21 - Dec 27 2020'!D:D,'Week 53 Dec 28 - Jan 3 2021'!D:D,'Week 52 Dec 21 - Dec 27 2020'!C:C,'Week 53 Dec 28 - Jan 3 2021'!C:C)+Table40424346505144485415[[#This Row],[Week Sales]]</f>
        <v>0</v>
      </c>
      <c r="G11" s="47" t="e">
        <f>(VLOOKUP(D:D,'Week 52 Dec 21 - Dec 27 2020'!D:G,4,FALSE))</f>
        <v>#N/A</v>
      </c>
      <c r="H11" s="60" t="e">
        <f>(VLOOKUP(D:D,'Week 52 Dec 21 - Dec 27 2020'!D:H,5,FALSE))</f>
        <v>#N/A</v>
      </c>
      <c r="I11" s="55">
        <f>SUMIFS('Week 52 Dec 21 - Dec 27 2020'!E:E,'Week 52 Dec 21 - Dec 27 2020'!D:D,'Week 53 Dec 28 - Jan 3 2021'!D:D,'Week 52 Dec 21 - Dec 27 2020'!C:C,'Week 53 Dec 28 - Jan 3 2021'!C:C)</f>
        <v>0</v>
      </c>
      <c r="J11" s="56" t="e">
        <f t="shared" si="0"/>
        <v>#DIV/0!</v>
      </c>
    </row>
    <row r="12" spans="1:10" x14ac:dyDescent="0.2">
      <c r="A12" s="47">
        <v>11</v>
      </c>
      <c r="B12" s="47"/>
      <c r="C12" s="68"/>
      <c r="D12" s="18"/>
      <c r="E12" s="55"/>
      <c r="F12" s="55">
        <f>SUMIFS('Week 52 Dec 21 - Dec 27 2020'!F:F,'Week 52 Dec 21 - Dec 27 2020'!D:D,'Week 53 Dec 28 - Jan 3 2021'!D:D,'Week 52 Dec 21 - Dec 27 2020'!C:C,'Week 53 Dec 28 - Jan 3 2021'!C:C)+Table40424346505144485415[[#This Row],[Week Sales]]</f>
        <v>0</v>
      </c>
      <c r="G12" s="47" t="e">
        <f>(VLOOKUP(D:D,'Week 52 Dec 21 - Dec 27 2020'!D:G,4,FALSE))</f>
        <v>#N/A</v>
      </c>
      <c r="H12" s="60" t="e">
        <f>(VLOOKUP(D:D,'Week 52 Dec 21 - Dec 27 2020'!D:H,5,FALSE))</f>
        <v>#N/A</v>
      </c>
      <c r="I12" s="55">
        <f>SUMIFS('Week 52 Dec 21 - Dec 27 2020'!E:E,'Week 52 Dec 21 - Dec 27 2020'!D:D,'Week 53 Dec 28 - Jan 3 2021'!D:D,'Week 52 Dec 21 - Dec 27 2020'!C:C,'Week 53 Dec 28 - Jan 3 2021'!C:C)</f>
        <v>0</v>
      </c>
      <c r="J12" s="56" t="e">
        <f t="shared" si="0"/>
        <v>#DIV/0!</v>
      </c>
    </row>
    <row r="13" spans="1:10" x14ac:dyDescent="0.2">
      <c r="A13" s="47">
        <v>12</v>
      </c>
      <c r="B13" s="47"/>
      <c r="C13" s="68"/>
      <c r="D13" s="18"/>
      <c r="E13" s="55"/>
      <c r="F13" s="55">
        <f>SUMIFS('Week 52 Dec 21 - Dec 27 2020'!F:F,'Week 52 Dec 21 - Dec 27 2020'!D:D,'Week 53 Dec 28 - Jan 3 2021'!D:D,'Week 52 Dec 21 - Dec 27 2020'!C:C,'Week 53 Dec 28 - Jan 3 2021'!C:C)+Table40424346505144485415[[#This Row],[Week Sales]]</f>
        <v>0</v>
      </c>
      <c r="G13" s="47" t="e">
        <f>(VLOOKUP(D:D,'Week 52 Dec 21 - Dec 27 2020'!D:G,4,FALSE))</f>
        <v>#N/A</v>
      </c>
      <c r="H13" s="60" t="e">
        <f>(VLOOKUP(D:D,'Week 52 Dec 21 - Dec 27 2020'!D:H,5,FALSE))</f>
        <v>#N/A</v>
      </c>
      <c r="I13" s="55">
        <f>SUMIFS('Week 52 Dec 21 - Dec 27 2020'!E:E,'Week 52 Dec 21 - Dec 27 2020'!D:D,'Week 53 Dec 28 - Jan 3 2021'!D:D,'Week 52 Dec 21 - Dec 27 2020'!C:C,'Week 53 Dec 28 - Jan 3 2021'!C:C)</f>
        <v>0</v>
      </c>
      <c r="J13" s="56" t="e">
        <f t="shared" si="0"/>
        <v>#DIV/0!</v>
      </c>
    </row>
    <row r="14" spans="1:10" x14ac:dyDescent="0.2">
      <c r="A14" s="47">
        <v>13</v>
      </c>
      <c r="B14" s="47"/>
      <c r="C14" s="47"/>
      <c r="D14" s="18"/>
      <c r="E14" s="55"/>
      <c r="F14" s="55">
        <f>SUMIFS('Week 52 Dec 21 - Dec 27 2020'!F:F,'Week 52 Dec 21 - Dec 27 2020'!D:D,'Week 53 Dec 28 - Jan 3 2021'!D:D,'Week 52 Dec 21 - Dec 27 2020'!C:C,'Week 53 Dec 28 - Jan 3 2021'!C:C)+Table40424346505144485415[[#This Row],[Week Sales]]</f>
        <v>0</v>
      </c>
      <c r="G14" s="47" t="e">
        <f>(VLOOKUP(D:D,'Week 52 Dec 21 - Dec 27 2020'!D:G,4,FALSE))</f>
        <v>#N/A</v>
      </c>
      <c r="H14" s="60" t="e">
        <f>(VLOOKUP(D:D,'Week 52 Dec 21 - Dec 27 2020'!D:H,5,FALSE))</f>
        <v>#N/A</v>
      </c>
      <c r="I14" s="55">
        <f>SUMIFS('Week 52 Dec 21 - Dec 27 2020'!E:E,'Week 52 Dec 21 - Dec 27 2020'!D:D,'Week 53 Dec 28 - Jan 3 2021'!D:D,'Week 52 Dec 21 - Dec 27 2020'!C:C,'Week 53 Dec 28 - Jan 3 2021'!C:C)</f>
        <v>0</v>
      </c>
      <c r="J14" s="56" t="e">
        <f t="shared" si="0"/>
        <v>#DIV/0!</v>
      </c>
    </row>
    <row r="15" spans="1:10" x14ac:dyDescent="0.2">
      <c r="A15" s="47">
        <v>14</v>
      </c>
      <c r="B15" s="47"/>
      <c r="C15" s="47"/>
      <c r="D15" s="18"/>
      <c r="E15" s="55"/>
      <c r="F15" s="55">
        <f>SUMIFS('Week 52 Dec 21 - Dec 27 2020'!F:F,'Week 52 Dec 21 - Dec 27 2020'!D:D,'Week 53 Dec 28 - Jan 3 2021'!D:D,'Week 52 Dec 21 - Dec 27 2020'!C:C,'Week 53 Dec 28 - Jan 3 2021'!C:C)+Table40424346505144485415[[#This Row],[Week Sales]]</f>
        <v>0</v>
      </c>
      <c r="G15" s="47" t="e">
        <f>(VLOOKUP(D:D,'Week 52 Dec 21 - Dec 27 2020'!D:G,4,FALSE))</f>
        <v>#N/A</v>
      </c>
      <c r="H15" s="60" t="e">
        <f>(VLOOKUP(D:D,'Week 52 Dec 21 - Dec 27 2020'!D:H,5,FALSE))</f>
        <v>#N/A</v>
      </c>
      <c r="I15" s="55">
        <f>SUMIFS('Week 52 Dec 21 - Dec 27 2020'!E:E,'Week 52 Dec 21 - Dec 27 2020'!D:D,'Week 53 Dec 28 - Jan 3 2021'!D:D,'Week 52 Dec 21 - Dec 27 2020'!C:C,'Week 53 Dec 28 - Jan 3 2021'!C:C)</f>
        <v>0</v>
      </c>
      <c r="J15" s="56" t="e">
        <f t="shared" si="0"/>
        <v>#DIV/0!</v>
      </c>
    </row>
    <row r="16" spans="1:10" x14ac:dyDescent="0.2">
      <c r="A16" s="47">
        <v>15</v>
      </c>
      <c r="B16" s="47"/>
      <c r="C16" s="47"/>
      <c r="D16" s="18"/>
      <c r="E16" s="55"/>
      <c r="F16" s="55">
        <f>SUMIFS('Week 52 Dec 21 - Dec 27 2020'!F:F,'Week 52 Dec 21 - Dec 27 2020'!D:D,'Week 53 Dec 28 - Jan 3 2021'!D:D,'Week 52 Dec 21 - Dec 27 2020'!C:C,'Week 53 Dec 28 - Jan 3 2021'!C:C)+Table40424346505144485415[[#This Row],[Week Sales]]</f>
        <v>0</v>
      </c>
      <c r="G16" s="47" t="e">
        <f>(VLOOKUP(D:D,'Week 52 Dec 21 - Dec 27 2020'!D:G,4,FALSE))</f>
        <v>#N/A</v>
      </c>
      <c r="H16" s="60" t="e">
        <f>(VLOOKUP(D:D,'Week 52 Dec 21 - Dec 27 2020'!D:H,5,FALSE))</f>
        <v>#N/A</v>
      </c>
      <c r="I16" s="55">
        <f>SUMIFS('Week 52 Dec 21 - Dec 27 2020'!E:E,'Week 52 Dec 21 - Dec 27 2020'!D:D,'Week 53 Dec 28 - Jan 3 2021'!D:D,'Week 52 Dec 21 - Dec 27 2020'!C:C,'Week 53 Dec 28 - Jan 3 2021'!C:C)</f>
        <v>0</v>
      </c>
      <c r="J16" s="56" t="e">
        <f t="shared" si="0"/>
        <v>#DIV/0!</v>
      </c>
    </row>
    <row r="17" spans="1:10" x14ac:dyDescent="0.2">
      <c r="A17" s="47">
        <v>16</v>
      </c>
      <c r="B17" s="47"/>
      <c r="C17" s="68"/>
      <c r="D17" s="18"/>
      <c r="E17" s="55"/>
      <c r="F17" s="55">
        <f>SUMIFS('Week 52 Dec 21 - Dec 27 2020'!F:F,'Week 52 Dec 21 - Dec 27 2020'!D:D,'Week 53 Dec 28 - Jan 3 2021'!D:D,'Week 52 Dec 21 - Dec 27 2020'!C:C,'Week 53 Dec 28 - Jan 3 2021'!C:C)+Table40424346505144485415[[#This Row],[Week Sales]]</f>
        <v>0</v>
      </c>
      <c r="G17" s="47" t="e">
        <f>(VLOOKUP(D:D,'Week 52 Dec 21 - Dec 27 2020'!D:G,4,FALSE))</f>
        <v>#N/A</v>
      </c>
      <c r="H17" s="60" t="e">
        <f>(VLOOKUP(D:D,'Week 52 Dec 21 - Dec 27 2020'!D:H,5,FALSE))</f>
        <v>#N/A</v>
      </c>
      <c r="I17" s="55">
        <f>SUMIFS('Week 52 Dec 21 - Dec 27 2020'!E:E,'Week 52 Dec 21 - Dec 27 2020'!D:D,'Week 53 Dec 28 - Jan 3 2021'!D:D,'Week 52 Dec 21 - Dec 27 2020'!C:C,'Week 53 Dec 28 - Jan 3 2021'!C:C)</f>
        <v>0</v>
      </c>
      <c r="J17" s="56" t="e">
        <f t="shared" si="0"/>
        <v>#DIV/0!</v>
      </c>
    </row>
    <row r="18" spans="1:10" x14ac:dyDescent="0.2">
      <c r="A18" s="47">
        <v>17</v>
      </c>
      <c r="B18" s="47"/>
      <c r="C18" s="68"/>
      <c r="D18" s="18"/>
      <c r="E18" s="55"/>
      <c r="F18" s="55">
        <f>SUMIFS('Week 52 Dec 21 - Dec 27 2020'!F:F,'Week 52 Dec 21 - Dec 27 2020'!D:D,'Week 53 Dec 28 - Jan 3 2021'!D:D,'Week 52 Dec 21 - Dec 27 2020'!C:C,'Week 53 Dec 28 - Jan 3 2021'!C:C)+Table40424346505144485415[[#This Row],[Week Sales]]</f>
        <v>0</v>
      </c>
      <c r="G18" s="47" t="e">
        <f>(VLOOKUP(D:D,'Week 52 Dec 21 - Dec 27 2020'!D:G,4,FALSE))</f>
        <v>#N/A</v>
      </c>
      <c r="H18" s="60" t="e">
        <f>(VLOOKUP(D:D,'Week 52 Dec 21 - Dec 27 2020'!D:H,5,FALSE))</f>
        <v>#N/A</v>
      </c>
      <c r="I18" s="55">
        <f>SUMIFS('Week 52 Dec 21 - Dec 27 2020'!E:E,'Week 52 Dec 21 - Dec 27 2020'!D:D,'Week 53 Dec 28 - Jan 3 2021'!D:D,'Week 52 Dec 21 - Dec 27 2020'!C:C,'Week 53 Dec 28 - Jan 3 2021'!C:C)</f>
        <v>0</v>
      </c>
      <c r="J18" s="56" t="e">
        <f t="shared" si="0"/>
        <v>#DIV/0!</v>
      </c>
    </row>
    <row r="19" spans="1:10" x14ac:dyDescent="0.2">
      <c r="A19" s="47">
        <v>18</v>
      </c>
      <c r="B19" s="47"/>
      <c r="C19" s="68"/>
      <c r="D19" s="18"/>
      <c r="E19" s="55"/>
      <c r="F19" s="55">
        <f>SUMIFS('Week 52 Dec 21 - Dec 27 2020'!F:F,'Week 52 Dec 21 - Dec 27 2020'!D:D,'Week 53 Dec 28 - Jan 3 2021'!D:D,'Week 52 Dec 21 - Dec 27 2020'!C:C,'Week 53 Dec 28 - Jan 3 2021'!C:C)+Table40424346505144485415[[#This Row],[Week Sales]]</f>
        <v>0</v>
      </c>
      <c r="G19" s="47" t="e">
        <f>(VLOOKUP(D:D,'Week 52 Dec 21 - Dec 27 2020'!D:G,4,FALSE))</f>
        <v>#N/A</v>
      </c>
      <c r="H19" s="60" t="e">
        <f>(VLOOKUP(D:D,'Week 52 Dec 21 - Dec 27 2020'!D:H,5,FALSE))</f>
        <v>#N/A</v>
      </c>
      <c r="I19" s="55">
        <f>SUMIFS('Week 52 Dec 21 - Dec 27 2020'!E:E,'Week 52 Dec 21 - Dec 27 2020'!D:D,'Week 53 Dec 28 - Jan 3 2021'!D:D,'Week 52 Dec 21 - Dec 27 2020'!C:C,'Week 53 Dec 28 - Jan 3 2021'!C:C)</f>
        <v>0</v>
      </c>
      <c r="J19" s="56" t="e">
        <f t="shared" si="0"/>
        <v>#DIV/0!</v>
      </c>
    </row>
    <row r="20" spans="1:10" x14ac:dyDescent="0.2">
      <c r="A20" s="47">
        <v>19</v>
      </c>
      <c r="B20" s="47"/>
      <c r="C20" s="68"/>
      <c r="D20" s="18"/>
      <c r="E20" s="55"/>
      <c r="F20" s="55">
        <f>SUMIFS('Week 52 Dec 21 - Dec 27 2020'!F:F,'Week 52 Dec 21 - Dec 27 2020'!D:D,'Week 53 Dec 28 - Jan 3 2021'!D:D,'Week 52 Dec 21 - Dec 27 2020'!C:C,'Week 53 Dec 28 - Jan 3 2021'!C:C)+Table40424346505144485415[[#This Row],[Week Sales]]</f>
        <v>0</v>
      </c>
      <c r="G20" s="47" t="e">
        <f>(VLOOKUP(D:D,'Week 52 Dec 21 - Dec 27 2020'!D:G,4,FALSE))</f>
        <v>#N/A</v>
      </c>
      <c r="H20" s="60" t="e">
        <f>(VLOOKUP(D:D,'Week 52 Dec 21 - Dec 27 2020'!D:H,5,FALSE))</f>
        <v>#N/A</v>
      </c>
      <c r="I20" s="55">
        <f>SUMIFS('Week 52 Dec 21 - Dec 27 2020'!E:E,'Week 52 Dec 21 - Dec 27 2020'!D:D,'Week 53 Dec 28 - Jan 3 2021'!D:D,'Week 52 Dec 21 - Dec 27 2020'!C:C,'Week 53 Dec 28 - Jan 3 2021'!C:C)</f>
        <v>0</v>
      </c>
      <c r="J20" s="56" t="e">
        <f t="shared" si="0"/>
        <v>#DIV/0!</v>
      </c>
    </row>
    <row r="21" spans="1:10" x14ac:dyDescent="0.2">
      <c r="A21" s="47">
        <v>20</v>
      </c>
      <c r="B21" s="47"/>
      <c r="C21" s="68"/>
      <c r="D21" s="18"/>
      <c r="E21" s="55"/>
      <c r="F21" s="55">
        <f>SUMIFS('Week 52 Dec 21 - Dec 27 2020'!F:F,'Week 52 Dec 21 - Dec 27 2020'!D:D,'Week 53 Dec 28 - Jan 3 2021'!D:D,'Week 52 Dec 21 - Dec 27 2020'!C:C,'Week 53 Dec 28 - Jan 3 2021'!C:C)+Table40424346505144485415[[#This Row],[Week Sales]]</f>
        <v>0</v>
      </c>
      <c r="G21" s="47" t="e">
        <f>(VLOOKUP(D:D,'Week 52 Dec 21 - Dec 27 2020'!D:G,4,FALSE))</f>
        <v>#N/A</v>
      </c>
      <c r="H21" s="60" t="e">
        <f>(VLOOKUP(D:D,'Week 52 Dec 21 - Dec 27 2020'!D:H,5,FALSE))</f>
        <v>#N/A</v>
      </c>
      <c r="I21" s="55">
        <f>SUMIFS('Week 52 Dec 21 - Dec 27 2020'!E:E,'Week 52 Dec 21 - Dec 27 2020'!D:D,'Week 53 Dec 28 - Jan 3 2021'!D:D,'Week 52 Dec 21 - Dec 27 2020'!C:C,'Week 53 Dec 28 - Jan 3 2021'!C:C)</f>
        <v>0</v>
      </c>
      <c r="J21" s="56" t="e">
        <f t="shared" si="0"/>
        <v>#DIV/0!</v>
      </c>
    </row>
    <row r="22" spans="1:10" x14ac:dyDescent="0.2">
      <c r="A22" s="47">
        <v>21</v>
      </c>
      <c r="B22" s="47"/>
      <c r="C22" s="68"/>
      <c r="D22" s="18"/>
      <c r="E22" s="55"/>
      <c r="F22" s="55">
        <f>SUMIFS('Week 52 Dec 21 - Dec 27 2020'!F:F,'Week 52 Dec 21 - Dec 27 2020'!D:D,'Week 53 Dec 28 - Jan 3 2021'!D:D,'Week 52 Dec 21 - Dec 27 2020'!C:C,'Week 53 Dec 28 - Jan 3 2021'!C:C)+Table40424346505144485415[[#This Row],[Week Sales]]</f>
        <v>0</v>
      </c>
      <c r="G22" s="47" t="e">
        <f>(VLOOKUP(D:D,'Week 52 Dec 21 - Dec 27 2020'!D:G,4,FALSE))</f>
        <v>#N/A</v>
      </c>
      <c r="H22" s="60" t="e">
        <f>(VLOOKUP(D:D,'Week 52 Dec 21 - Dec 27 2020'!D:H,5,FALSE))</f>
        <v>#N/A</v>
      </c>
      <c r="I22" s="55">
        <f>SUMIFS('Week 52 Dec 21 - Dec 27 2020'!E:E,'Week 52 Dec 21 - Dec 27 2020'!D:D,'Week 53 Dec 28 - Jan 3 2021'!D:D,'Week 52 Dec 21 - Dec 27 2020'!C:C,'Week 53 Dec 28 - Jan 3 2021'!C:C)</f>
        <v>0</v>
      </c>
      <c r="J22" s="56" t="e">
        <f t="shared" si="0"/>
        <v>#DIV/0!</v>
      </c>
    </row>
    <row r="23" spans="1:10" x14ac:dyDescent="0.2">
      <c r="A23" s="47">
        <v>22</v>
      </c>
      <c r="B23" s="47"/>
      <c r="C23" s="68"/>
      <c r="D23" s="18"/>
      <c r="E23" s="55"/>
      <c r="F23" s="55">
        <f>SUMIFS('Week 52 Dec 21 - Dec 27 2020'!F:F,'Week 52 Dec 21 - Dec 27 2020'!D:D,'Week 53 Dec 28 - Jan 3 2021'!D:D,'Week 52 Dec 21 - Dec 27 2020'!C:C,'Week 53 Dec 28 - Jan 3 2021'!C:C)+Table40424346505144485415[[#This Row],[Week Sales]]</f>
        <v>0</v>
      </c>
      <c r="G23" s="47" t="e">
        <f>(VLOOKUP(D:D,'Week 52 Dec 21 - Dec 27 2020'!D:G,4,FALSE))</f>
        <v>#N/A</v>
      </c>
      <c r="H23" s="60" t="e">
        <f>(VLOOKUP(D:D,'Week 52 Dec 21 - Dec 27 2020'!D:H,5,FALSE))</f>
        <v>#N/A</v>
      </c>
      <c r="I23" s="55">
        <f>SUMIFS('Week 52 Dec 21 - Dec 27 2020'!E:E,'Week 52 Dec 21 - Dec 27 2020'!D:D,'Week 53 Dec 28 - Jan 3 2021'!D:D,'Week 52 Dec 21 - Dec 27 2020'!C:C,'Week 53 Dec 28 - Jan 3 2021'!C:C)</f>
        <v>0</v>
      </c>
      <c r="J23" s="56" t="e">
        <f t="shared" si="0"/>
        <v>#DIV/0!</v>
      </c>
    </row>
    <row r="24" spans="1:10" x14ac:dyDescent="0.2">
      <c r="A24" s="47">
        <v>23</v>
      </c>
      <c r="B24" s="47"/>
      <c r="C24" s="68"/>
      <c r="D24" s="18"/>
      <c r="E24" s="55"/>
      <c r="F24" s="55">
        <f>SUMIFS('Week 52 Dec 21 - Dec 27 2020'!F:F,'Week 52 Dec 21 - Dec 27 2020'!D:D,'Week 53 Dec 28 - Jan 3 2021'!D:D,'Week 52 Dec 21 - Dec 27 2020'!C:C,'Week 53 Dec 28 - Jan 3 2021'!C:C)+Table40424346505144485415[[#This Row],[Week Sales]]</f>
        <v>0</v>
      </c>
      <c r="G24" s="47" t="e">
        <f>(VLOOKUP(D:D,'Week 52 Dec 21 - Dec 27 2020'!D:G,4,FALSE))</f>
        <v>#N/A</v>
      </c>
      <c r="H24" s="60" t="e">
        <f>(VLOOKUP(D:D,'Week 52 Dec 21 - Dec 27 2020'!D:H,5,FALSE))</f>
        <v>#N/A</v>
      </c>
      <c r="I24" s="55">
        <f>SUMIFS('Week 52 Dec 21 - Dec 27 2020'!E:E,'Week 52 Dec 21 - Dec 27 2020'!D:D,'Week 53 Dec 28 - Jan 3 2021'!D:D,'Week 52 Dec 21 - Dec 27 2020'!C:C,'Week 53 Dec 28 - Jan 3 2021'!C:C)</f>
        <v>0</v>
      </c>
      <c r="J24" s="56" t="e">
        <f t="shared" si="0"/>
        <v>#DIV/0!</v>
      </c>
    </row>
    <row r="25" spans="1:10" x14ac:dyDescent="0.2">
      <c r="A25" s="47">
        <v>24</v>
      </c>
      <c r="B25" s="47"/>
      <c r="C25" s="68"/>
      <c r="D25" s="18"/>
      <c r="E25" s="55"/>
      <c r="F25" s="55">
        <f>SUMIFS('Week 52 Dec 21 - Dec 27 2020'!F:F,'Week 52 Dec 21 - Dec 27 2020'!D:D,'Week 53 Dec 28 - Jan 3 2021'!D:D,'Week 52 Dec 21 - Dec 27 2020'!C:C,'Week 53 Dec 28 - Jan 3 2021'!C:C)+Table40424346505144485415[[#This Row],[Week Sales]]</f>
        <v>0</v>
      </c>
      <c r="G25" s="47" t="e">
        <f>(VLOOKUP(D:D,'Week 52 Dec 21 - Dec 27 2020'!D:G,4,FALSE))</f>
        <v>#N/A</v>
      </c>
      <c r="H25" s="60" t="e">
        <f>(VLOOKUP(D:D,'Week 52 Dec 21 - Dec 27 2020'!D:H,5,FALSE))</f>
        <v>#N/A</v>
      </c>
      <c r="I25" s="55">
        <f>SUMIFS('Week 52 Dec 21 - Dec 27 2020'!E:E,'Week 52 Dec 21 - Dec 27 2020'!D:D,'Week 53 Dec 28 - Jan 3 2021'!D:D,'Week 52 Dec 21 - Dec 27 2020'!C:C,'Week 53 Dec 28 - Jan 3 2021'!C:C)</f>
        <v>0</v>
      </c>
      <c r="J25" s="56" t="e">
        <f t="shared" si="0"/>
        <v>#DIV/0!</v>
      </c>
    </row>
    <row r="26" spans="1:10" x14ac:dyDescent="0.2">
      <c r="A26" s="47">
        <v>25</v>
      </c>
      <c r="B26" s="47"/>
      <c r="C26" s="68"/>
      <c r="D26" s="18"/>
      <c r="E26" s="55"/>
      <c r="F26" s="55">
        <f>SUMIFS('Week 52 Dec 21 - Dec 27 2020'!F:F,'Week 52 Dec 21 - Dec 27 2020'!D:D,'Week 53 Dec 28 - Jan 3 2021'!D:D,'Week 52 Dec 21 - Dec 27 2020'!C:C,'Week 53 Dec 28 - Jan 3 2021'!C:C)+Table40424346505144485415[[#This Row],[Week Sales]]</f>
        <v>0</v>
      </c>
      <c r="G26" s="47" t="e">
        <f>(VLOOKUP(D:D,'Week 52 Dec 21 - Dec 27 2020'!D:G,4,FALSE))</f>
        <v>#N/A</v>
      </c>
      <c r="H26" s="60" t="e">
        <f>(VLOOKUP(D:D,'Week 52 Dec 21 - Dec 27 2020'!D:H,5,FALSE))</f>
        <v>#N/A</v>
      </c>
      <c r="I26" s="55">
        <f>SUMIFS('Week 52 Dec 21 - Dec 27 2020'!E:E,'Week 52 Dec 21 - Dec 27 2020'!D:D,'Week 53 Dec 28 - Jan 3 2021'!D:D,'Week 52 Dec 21 - Dec 27 2020'!C:C,'Week 53 Dec 28 - Jan 3 2021'!C:C)</f>
        <v>0</v>
      </c>
      <c r="J26" s="56" t="e">
        <f t="shared" si="0"/>
        <v>#DIV/0!</v>
      </c>
    </row>
    <row r="27" spans="1:10" x14ac:dyDescent="0.2">
      <c r="A27" s="47">
        <v>26</v>
      </c>
      <c r="B27" s="47"/>
      <c r="C27" s="68"/>
      <c r="D27" s="18"/>
      <c r="E27" s="55"/>
      <c r="F27" s="55">
        <f>SUMIFS('Week 52 Dec 21 - Dec 27 2020'!F:F,'Week 52 Dec 21 - Dec 27 2020'!D:D,'Week 53 Dec 28 - Jan 3 2021'!D:D,'Week 52 Dec 21 - Dec 27 2020'!C:C,'Week 53 Dec 28 - Jan 3 2021'!C:C)+Table40424346505144485415[[#This Row],[Week Sales]]</f>
        <v>0</v>
      </c>
      <c r="G27" s="47" t="e">
        <f>(VLOOKUP(D:D,'Week 52 Dec 21 - Dec 27 2020'!D:G,4,FALSE))</f>
        <v>#N/A</v>
      </c>
      <c r="H27" s="60" t="e">
        <f>(VLOOKUP(D:D,'Week 52 Dec 21 - Dec 27 2020'!D:H,5,FALSE))</f>
        <v>#N/A</v>
      </c>
      <c r="I27" s="55">
        <f>SUMIFS('Week 52 Dec 21 - Dec 27 2020'!E:E,'Week 52 Dec 21 - Dec 27 2020'!D:D,'Week 53 Dec 28 - Jan 3 2021'!D:D,'Week 52 Dec 21 - Dec 27 2020'!C:C,'Week 53 Dec 28 - Jan 3 2021'!C:C)</f>
        <v>0</v>
      </c>
      <c r="J27" s="56" t="e">
        <f t="shared" si="0"/>
        <v>#DIV/0!</v>
      </c>
    </row>
    <row r="28" spans="1:10" x14ac:dyDescent="0.2">
      <c r="A28" s="47">
        <v>27</v>
      </c>
      <c r="B28" s="47"/>
      <c r="C28" s="68"/>
      <c r="D28" s="18"/>
      <c r="E28" s="55"/>
      <c r="F28" s="55">
        <f>SUMIFS('Week 52 Dec 21 - Dec 27 2020'!F:F,'Week 52 Dec 21 - Dec 27 2020'!D:D,'Week 53 Dec 28 - Jan 3 2021'!D:D,'Week 52 Dec 21 - Dec 27 2020'!C:C,'Week 53 Dec 28 - Jan 3 2021'!C:C)+Table40424346505144485415[[#This Row],[Week Sales]]</f>
        <v>0</v>
      </c>
      <c r="G28" s="47" t="e">
        <f>(VLOOKUP(D:D,'Week 52 Dec 21 - Dec 27 2020'!D:G,4,FALSE))</f>
        <v>#N/A</v>
      </c>
      <c r="H28" s="60" t="e">
        <f>(VLOOKUP(D:D,'Week 52 Dec 21 - Dec 27 2020'!D:H,5,FALSE))</f>
        <v>#N/A</v>
      </c>
      <c r="I28" s="55">
        <f>SUMIFS('Week 52 Dec 21 - Dec 27 2020'!E:E,'Week 52 Dec 21 - Dec 27 2020'!D:D,'Week 53 Dec 28 - Jan 3 2021'!D:D,'Week 52 Dec 21 - Dec 27 2020'!C:C,'Week 53 Dec 28 - Jan 3 2021'!C:C)</f>
        <v>0</v>
      </c>
      <c r="J28" s="56" t="e">
        <f t="shared" si="0"/>
        <v>#DIV/0!</v>
      </c>
    </row>
    <row r="29" spans="1:10" x14ac:dyDescent="0.2">
      <c r="A29" s="47">
        <v>28</v>
      </c>
      <c r="B29" s="47"/>
      <c r="C29" s="68"/>
      <c r="D29" s="18"/>
      <c r="E29" s="55"/>
      <c r="F29" s="55">
        <f>SUMIFS('Week 52 Dec 21 - Dec 27 2020'!F:F,'Week 52 Dec 21 - Dec 27 2020'!D:D,'Week 53 Dec 28 - Jan 3 2021'!D:D,'Week 52 Dec 21 - Dec 27 2020'!C:C,'Week 53 Dec 28 - Jan 3 2021'!C:C)+Table40424346505144485415[[#This Row],[Week Sales]]</f>
        <v>0</v>
      </c>
      <c r="G29" s="47" t="e">
        <f>(VLOOKUP(D:D,'Week 52 Dec 21 - Dec 27 2020'!D:G,4,FALSE))</f>
        <v>#N/A</v>
      </c>
      <c r="H29" s="60" t="e">
        <f>(VLOOKUP(D:D,'Week 52 Dec 21 - Dec 27 2020'!D:H,5,FALSE))</f>
        <v>#N/A</v>
      </c>
      <c r="I29" s="55">
        <f>SUMIFS('Week 52 Dec 21 - Dec 27 2020'!E:E,'Week 52 Dec 21 - Dec 27 2020'!D:D,'Week 53 Dec 28 - Jan 3 2021'!D:D,'Week 52 Dec 21 - Dec 27 2020'!C:C,'Week 53 Dec 28 - Jan 3 2021'!C:C)</f>
        <v>0</v>
      </c>
      <c r="J29" s="56" t="e">
        <f t="shared" si="0"/>
        <v>#DIV/0!</v>
      </c>
    </row>
    <row r="30" spans="1:10" x14ac:dyDescent="0.2">
      <c r="A30" s="47">
        <v>29</v>
      </c>
      <c r="B30" s="47"/>
      <c r="C30" s="68"/>
      <c r="D30" s="18"/>
      <c r="E30" s="55"/>
      <c r="F30" s="55">
        <f>SUMIFS('Week 52 Dec 21 - Dec 27 2020'!F:F,'Week 52 Dec 21 - Dec 27 2020'!D:D,'Week 53 Dec 28 - Jan 3 2021'!D:D,'Week 52 Dec 21 - Dec 27 2020'!C:C,'Week 53 Dec 28 - Jan 3 2021'!C:C)+Table40424346505144485415[[#This Row],[Week Sales]]</f>
        <v>0</v>
      </c>
      <c r="G30" s="47" t="e">
        <f>(VLOOKUP(D:D,'Week 52 Dec 21 - Dec 27 2020'!D:G,4,FALSE))</f>
        <v>#N/A</v>
      </c>
      <c r="H30" s="60" t="e">
        <f>(VLOOKUP(D:D,'Week 52 Dec 21 - Dec 27 2020'!D:H,5,FALSE))</f>
        <v>#N/A</v>
      </c>
      <c r="I30" s="55">
        <f>SUMIFS('Week 52 Dec 21 - Dec 27 2020'!E:E,'Week 52 Dec 21 - Dec 27 2020'!D:D,'Week 53 Dec 28 - Jan 3 2021'!D:D,'Week 52 Dec 21 - Dec 27 2020'!C:C,'Week 53 Dec 28 - Jan 3 2021'!C:C)</f>
        <v>0</v>
      </c>
      <c r="J30" s="56" t="e">
        <f t="shared" si="0"/>
        <v>#DIV/0!</v>
      </c>
    </row>
    <row r="31" spans="1:10" x14ac:dyDescent="0.2">
      <c r="A31" s="69">
        <v>30</v>
      </c>
      <c r="B31" s="69"/>
      <c r="C31" s="68"/>
      <c r="D31" s="18"/>
      <c r="E31" s="83"/>
      <c r="F31" s="55">
        <f>SUMIFS('Week 52 Dec 21 - Dec 27 2020'!F:F,'Week 52 Dec 21 - Dec 27 2020'!D:D,'Week 53 Dec 28 - Jan 3 2021'!D:D,'Week 52 Dec 21 - Dec 27 2020'!C:C,'Week 53 Dec 28 - Jan 3 2021'!C:C)+Table40424346505144485415[[#This Row],[Week Sales]]</f>
        <v>0</v>
      </c>
      <c r="G31" s="47" t="e">
        <f>(VLOOKUP(D:D,'Week 52 Dec 21 - Dec 27 2020'!D:G,4,FALSE))</f>
        <v>#N/A</v>
      </c>
      <c r="H31" s="60" t="e">
        <f>(VLOOKUP(D:D,'Week 52 Dec 21 - Dec 27 2020'!D:H,5,FALSE))</f>
        <v>#N/A</v>
      </c>
      <c r="I31" s="55">
        <f>SUMIFS('Week 52 Dec 21 - Dec 27 2020'!E:E,'Week 52 Dec 21 - Dec 27 2020'!D:D,'Week 53 Dec 28 - Jan 3 2021'!D:D,'Week 52 Dec 21 - Dec 27 2020'!C:C,'Week 53 Dec 28 - Jan 3 2021'!C:C)</f>
        <v>0</v>
      </c>
      <c r="J31" s="56" t="e">
        <f t="shared" si="0"/>
        <v>#DIV/0!</v>
      </c>
    </row>
    <row r="33" spans="4:5" x14ac:dyDescent="0.2">
      <c r="D33" s="2" t="s">
        <v>59</v>
      </c>
      <c r="E33" s="2">
        <f>SUM(E2:E31)</f>
        <v>0</v>
      </c>
    </row>
    <row r="34" spans="4:5" x14ac:dyDescent="0.2">
      <c r="D34" s="100" t="s">
        <v>178</v>
      </c>
      <c r="E34" s="101">
        <f>SUM('Week 52 Dec 21 - Dec 27 2020'!E34,'Week 53 Dec 28 - Jan 3 2021'!E33)</f>
        <v>23397916</v>
      </c>
    </row>
    <row r="35" spans="4:5" x14ac:dyDescent="0.2">
      <c r="D35" s="99" t="s">
        <v>307</v>
      </c>
      <c r="E35" s="99">
        <f>E33+'Week 52 Dec 21 - Dec 27 2020'!E33+'Week 51 Dec 14 - Dec 20 2020'!E33+'Week 50 Dec 7 - Dec 13 2020'!E33+'Week 49 Nov 30 - Dec 6 2020'!E33</f>
        <v>2319631</v>
      </c>
    </row>
    <row r="36" spans="4:5" x14ac:dyDescent="0.2">
      <c r="D36" s="2" t="s">
        <v>60</v>
      </c>
      <c r="E36" s="2" t="e">
        <f>AVERAGE(E2:E31)</f>
        <v>#DIV/0!</v>
      </c>
    </row>
    <row r="37" spans="4:5" x14ac:dyDescent="0.2">
      <c r="D37" s="9" t="s">
        <v>78</v>
      </c>
      <c r="E37" s="10">
        <f>COUNTIF(B:B,"New")</f>
        <v>0</v>
      </c>
    </row>
    <row r="39" spans="4:5" x14ac:dyDescent="0.2">
      <c r="D39" t="s">
        <v>66</v>
      </c>
    </row>
    <row r="40" spans="4:5" x14ac:dyDescent="0.2">
      <c r="D40" s="15" t="s">
        <v>67</v>
      </c>
    </row>
    <row r="41" spans="4:5" x14ac:dyDescent="0.2">
      <c r="D41" s="15" t="s">
        <v>65</v>
      </c>
    </row>
    <row r="42" spans="4:5" x14ac:dyDescent="0.2">
      <c r="D42" s="15" t="s">
        <v>71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EB79E-FBB5-DA47-A552-382521D5A53C}">
  <dimension ref="A1:J41"/>
  <sheetViews>
    <sheetView workbookViewId="0">
      <selection activeCell="D11" sqref="D2:E11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9.8320312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0" x14ac:dyDescent="0.2">
      <c r="A2" s="13">
        <v>1</v>
      </c>
      <c r="B2" s="9" t="s">
        <v>36</v>
      </c>
      <c r="C2" s="9" t="s">
        <v>8</v>
      </c>
      <c r="D2" s="9" t="s">
        <v>191</v>
      </c>
      <c r="E2" s="10">
        <v>86248</v>
      </c>
      <c r="F2" s="10">
        <f>SUMIFS('Week 5 Jan 27 - Feb 2 2020'!F:F,'Week 5 Jan 27 - Feb 2 2020'!D:D,'Week 6 Feb 3 - Feb 9 2020'!D:D,'Week 5 Jan 27 - Feb 2 2020'!C:C,'Week 6 Feb 3 - Feb 9 2020'!C:C)+Table3611[[#This Row],[Week Sales]]</f>
        <v>86248</v>
      </c>
      <c r="G2" s="9" t="s">
        <v>148</v>
      </c>
      <c r="H2" s="14">
        <v>43867</v>
      </c>
      <c r="I2" s="10" t="str">
        <f>_xlfn.IFNA(VLOOKUP('Week 6 Feb 3 - Feb 9 2020'!D:D,'Week 5 Jan 27 - Feb 2 2020'!D:E, 2, FALSE),"New")</f>
        <v>New</v>
      </c>
      <c r="J2" s="92" t="str">
        <f>IFERROR((E2-I2)/I2,"New")</f>
        <v>New</v>
      </c>
    </row>
    <row r="3" spans="1:10" x14ac:dyDescent="0.2">
      <c r="A3" s="25">
        <v>2</v>
      </c>
      <c r="B3" s="27">
        <v>1</v>
      </c>
      <c r="C3" s="18" t="s">
        <v>7</v>
      </c>
      <c r="D3" t="s">
        <v>45</v>
      </c>
      <c r="E3" s="12">
        <v>23149</v>
      </c>
      <c r="F3" s="12">
        <f>SUMIFS('Week 5 Jan 27 - Feb 2 2020'!F:F,'Week 5 Jan 27 - Feb 2 2020'!D:D,'Week 6 Feb 3 - Feb 9 2020'!D:D,'Week 5 Jan 27 - Feb 2 2020'!C:C,'Week 6 Feb 3 - Feb 9 2020'!C:C)+Table3611[[#This Row],[Week Sales]]</f>
        <v>675906</v>
      </c>
      <c r="G3" s="18" t="str">
        <f>(VLOOKUP(D:D,'Week 5 Jan 27 - Feb 2 2020'!D:G,4,FALSE))</f>
        <v>Nintendo</v>
      </c>
      <c r="H3" s="67">
        <f>(VLOOKUP(D:D,'Week 3 Jan 13 - Jan 19 2020'!D:H,5,FALSE))</f>
        <v>43756</v>
      </c>
      <c r="I3" s="12">
        <f>_xlfn.IFNA(VLOOKUP('Week 6 Feb 3 - Feb 9 2020'!D:D,'Week 5 Jan 27 - Feb 2 2020'!D:E, 2, FALSE),"New")</f>
        <v>30111</v>
      </c>
      <c r="J3" s="28">
        <f t="shared" ref="J3:J8" si="0">IFERROR((E3-I3)/I3,"New")</f>
        <v>-0.2312111852811265</v>
      </c>
    </row>
    <row r="4" spans="1:10" x14ac:dyDescent="0.2">
      <c r="A4" s="25">
        <v>3</v>
      </c>
      <c r="B4" s="27">
        <v>2</v>
      </c>
      <c r="C4" s="18" t="s">
        <v>7</v>
      </c>
      <c r="D4" t="s">
        <v>62</v>
      </c>
      <c r="E4" s="12">
        <v>23114</v>
      </c>
      <c r="F4" s="12">
        <f>SUMIFS('Week 5 Jan 27 - Feb 2 2020'!F:F,'Week 5 Jan 27 - Feb 2 2020'!D:D,'Week 6 Feb 3 - Feb 9 2020'!D:D,'Week 5 Jan 27 - Feb 2 2020'!C:C,'Week 6 Feb 3 - Feb 9 2020'!C:C)+Table3611[[#This Row],[Week Sales]]</f>
        <v>3402851</v>
      </c>
      <c r="G4" s="18" t="str">
        <f>(VLOOKUP(D:D,'Week 5 Jan 27 - Feb 2 2020'!D:G,4,FALSE))</f>
        <v>The Pokemon Company</v>
      </c>
      <c r="H4" s="67">
        <f>(VLOOKUP(D:D,'Week 3 Jan 13 - Jan 19 2020'!D:H,5,FALSE))</f>
        <v>43784</v>
      </c>
      <c r="I4" s="12">
        <f>_xlfn.IFNA(VLOOKUP('Week 6 Feb 3 - Feb 9 2020'!D:D,'Week 5 Jan 27 - Feb 2 2020'!D:E, 2, FALSE),"New")</f>
        <v>29429</v>
      </c>
      <c r="J4" s="28">
        <f t="shared" si="0"/>
        <v>-0.21458425362737435</v>
      </c>
    </row>
    <row r="5" spans="1:10" x14ac:dyDescent="0.2">
      <c r="A5" s="25">
        <v>4</v>
      </c>
      <c r="B5" s="18">
        <v>3</v>
      </c>
      <c r="C5" s="18" t="s">
        <v>8</v>
      </c>
      <c r="D5" t="s">
        <v>181</v>
      </c>
      <c r="E5" s="12">
        <v>10589</v>
      </c>
      <c r="F5" s="12">
        <f>SUMIFS('Week 5 Jan 27 - Feb 2 2020'!F:F,'Week 5 Jan 27 - Feb 2 2020'!D:D,'Week 6 Feb 3 - Feb 9 2020'!D:D,'Week 5 Jan 27 - Feb 2 2020'!C:C,'Week 6 Feb 3 - Feb 9 2020'!C:C)+Table3611[[#This Row],[Week Sales]]</f>
        <v>228459</v>
      </c>
      <c r="G5" s="18" t="str">
        <f>(VLOOKUP(D:D,'Week 5 Jan 27 - Feb 2 2020'!D:G,4,FALSE))</f>
        <v>Sega</v>
      </c>
      <c r="H5" s="67">
        <f>(VLOOKUP(D:D,'Week 3 Jan 13 - Jan 19 2020'!D:H,5,FALSE))</f>
        <v>43847</v>
      </c>
      <c r="I5" s="12">
        <f>_xlfn.IFNA(VLOOKUP('Week 6 Feb 3 - Feb 9 2020'!D:D,'Week 5 Jan 27 - Feb 2 2020'!D:E, 2, FALSE),"New")</f>
        <v>21158</v>
      </c>
      <c r="J5" s="28">
        <f>IFERROR((E5-I5)/I5,"New")</f>
        <v>-0.49952736553549487</v>
      </c>
    </row>
    <row r="6" spans="1:10" x14ac:dyDescent="0.2">
      <c r="A6" s="25">
        <v>5</v>
      </c>
      <c r="B6" s="18">
        <v>5</v>
      </c>
      <c r="C6" s="18" t="s">
        <v>7</v>
      </c>
      <c r="D6" t="s">
        <v>16</v>
      </c>
      <c r="E6" s="12">
        <v>9650</v>
      </c>
      <c r="F6" s="12">
        <f>SUMIFS('Week 5 Jan 27 - Feb 2 2020'!F:F,'Week 5 Jan 27 - Feb 2 2020'!D:D,'Week 6 Feb 3 - Feb 9 2020'!D:D,'Week 5 Jan 27 - Feb 2 2020'!C:C,'Week 6 Feb 3 - Feb 9 2020'!C:C)+Table3611[[#This Row],[Week Sales]]</f>
        <v>142181</v>
      </c>
      <c r="G6" s="18" t="str">
        <f>(VLOOKUP(D:D,'Week 5 Jan 27 - Feb 2 2020'!D:G,4,FALSE))</f>
        <v>Nintendo</v>
      </c>
      <c r="H6" s="67">
        <f>(VLOOKUP(D:D,'Week 3 Jan 13 - Jan 19 2020'!D:H,5,FALSE))</f>
        <v>43826</v>
      </c>
      <c r="I6" s="12">
        <f>_xlfn.IFNA(VLOOKUP('Week 6 Feb 3 - Feb 9 2020'!D:D,'Week 5 Jan 27 - Feb 2 2020'!D:E, 2, FALSE),"New")</f>
        <v>11958</v>
      </c>
      <c r="J6" s="28">
        <f t="shared" si="0"/>
        <v>-0.19300886435858838</v>
      </c>
    </row>
    <row r="7" spans="1:10" x14ac:dyDescent="0.2">
      <c r="A7" s="25">
        <v>6</v>
      </c>
      <c r="B7" s="27">
        <v>6</v>
      </c>
      <c r="C7" s="18" t="s">
        <v>7</v>
      </c>
      <c r="D7" t="s">
        <v>52</v>
      </c>
      <c r="E7" s="12">
        <v>9336</v>
      </c>
      <c r="F7" s="12">
        <f>SUMIFS('Week 5 Jan 27 - Feb 2 2020'!F:F,'Week 5 Jan 27 - Feb 2 2020'!D:D,'Week 6 Feb 3 - Feb 9 2020'!D:D,'Week 5 Jan 27 - Feb 2 2020'!C:C,'Week 6 Feb 3 - Feb 9 2020'!C:C)+Table3611[[#This Row],[Week Sales]]</f>
        <v>3552657</v>
      </c>
      <c r="G7" s="18" t="str">
        <f>(VLOOKUP(D:D,'Week 5 Jan 27 - Feb 2 2020'!D:G,4,FALSE))</f>
        <v>Nintendo</v>
      </c>
      <c r="H7" s="67">
        <f>(VLOOKUP(D:D,'Week 3 Jan 13 - Jan 19 2020'!D:H,5,FALSE))</f>
        <v>43441</v>
      </c>
      <c r="I7" s="12">
        <f>_xlfn.IFNA(VLOOKUP('Week 6 Feb 3 - Feb 9 2020'!D:D,'Week 5 Jan 27 - Feb 2 2020'!D:E, 2, FALSE),"New")</f>
        <v>10592</v>
      </c>
      <c r="J7" s="28">
        <f>IFERROR((E7-I7)/I7,"New")</f>
        <v>-0.11858006042296072</v>
      </c>
    </row>
    <row r="8" spans="1:10" x14ac:dyDescent="0.2">
      <c r="A8" s="25">
        <v>7</v>
      </c>
      <c r="B8" s="27">
        <v>7</v>
      </c>
      <c r="C8" s="18" t="s">
        <v>7</v>
      </c>
      <c r="D8" t="s">
        <v>12</v>
      </c>
      <c r="E8" s="12">
        <v>9063</v>
      </c>
      <c r="F8" s="12">
        <f>SUMIFS('Week 5 Jan 27 - Feb 2 2020'!F:F,'Week 5 Jan 27 - Feb 2 2020'!D:D,'Week 6 Feb 3 - Feb 9 2020'!D:D,'Week 5 Jan 27 - Feb 2 2020'!C:C,'Week 6 Feb 3 - Feb 9 2020'!C:C)+Table3611[[#This Row],[Week Sales]]</f>
        <v>1252623</v>
      </c>
      <c r="G8" s="18" t="str">
        <f>(VLOOKUP(D:D,'Week 5 Jan 27 - Feb 2 2020'!D:G,4,FALSE))</f>
        <v>Microsoft</v>
      </c>
      <c r="H8" s="67">
        <f>(VLOOKUP(D:D,'Week 3 Jan 13 - Jan 19 2020'!D:H,5,FALSE))</f>
        <v>43272</v>
      </c>
      <c r="I8" s="12">
        <f>_xlfn.IFNA(VLOOKUP('Week 6 Feb 3 - Feb 9 2020'!D:D,'Week 5 Jan 27 - Feb 2 2020'!D:E, 2, FALSE),"New")</f>
        <v>10067</v>
      </c>
      <c r="J8" s="28">
        <f t="shared" si="0"/>
        <v>-9.9731796960365549E-2</v>
      </c>
    </row>
    <row r="9" spans="1:10" x14ac:dyDescent="0.2">
      <c r="A9" s="25">
        <v>8</v>
      </c>
      <c r="B9" s="18">
        <v>8</v>
      </c>
      <c r="C9" s="18" t="s">
        <v>7</v>
      </c>
      <c r="D9" t="s">
        <v>49</v>
      </c>
      <c r="E9" s="12">
        <v>8911</v>
      </c>
      <c r="F9" s="12">
        <f>SUMIFS('Week 5 Jan 27 - Feb 2 2020'!F:F,'Week 5 Jan 27 - Feb 2 2020'!D:D,'Week 6 Feb 3 - Feb 9 2020'!D:D,'Week 5 Jan 27 - Feb 2 2020'!C:C,'Week 6 Feb 3 - Feb 9 2020'!C:C)+Table3611[[#This Row],[Week Sales]]</f>
        <v>2765403</v>
      </c>
      <c r="G9" s="18" t="str">
        <f>(VLOOKUP(D:D,'Week 5 Jan 27 - Feb 2 2020'!D:G,4,FALSE))</f>
        <v>Nintendo</v>
      </c>
      <c r="H9" s="67">
        <f>(VLOOKUP(D:D,'Week 3 Jan 13 - Jan 19 2020'!D:H,5,FALSE))</f>
        <v>42853</v>
      </c>
      <c r="I9" s="12">
        <f>_xlfn.IFNA(VLOOKUP('Week 6 Feb 3 - Feb 9 2020'!D:D,'Week 5 Jan 27 - Feb 2 2020'!D:E, 2, FALSE),"New")</f>
        <v>9810</v>
      </c>
      <c r="J9" s="28">
        <f>IFERROR((E9-I9)/I9,"New")</f>
        <v>-9.1641182466870544E-2</v>
      </c>
    </row>
    <row r="10" spans="1:10" x14ac:dyDescent="0.2">
      <c r="A10" s="25">
        <v>9</v>
      </c>
      <c r="B10" s="27">
        <v>4</v>
      </c>
      <c r="C10" s="18" t="s">
        <v>8</v>
      </c>
      <c r="D10" t="s">
        <v>182</v>
      </c>
      <c r="E10" s="12">
        <v>7860</v>
      </c>
      <c r="F10" s="12">
        <f>SUMIFS('Week 5 Jan 27 - Feb 2 2020'!F:F,'Week 5 Jan 27 - Feb 2 2020'!D:D,'Week 6 Feb 3 - Feb 9 2020'!D:D,'Week 5 Jan 27 - Feb 2 2020'!C:C,'Week 6 Feb 3 - Feb 9 2020'!C:C)+Table3611[[#This Row],[Week Sales]]</f>
        <v>136932</v>
      </c>
      <c r="G10" s="18" t="str">
        <f>(VLOOKUP(D:D,'Week 5 Jan 27 - Feb 2 2020'!D:G,4,FALSE))</f>
        <v>Bandai Namco</v>
      </c>
      <c r="H10" s="67">
        <f>(VLOOKUP(D:D,'Week 3 Jan 13 - Jan 19 2020'!D:H,5,FALSE))</f>
        <v>43847</v>
      </c>
      <c r="I10" s="12">
        <f>_xlfn.IFNA(VLOOKUP('Week 6 Feb 3 - Feb 9 2020'!D:D,'Week 5 Jan 27 - Feb 2 2020'!D:E, 2, FALSE),"New")</f>
        <v>13866</v>
      </c>
      <c r="J10" s="28">
        <f t="shared" ref="J10:J22" si="1">IFERROR((E10-I10)/I10,"New")</f>
        <v>-0.43314582431847687</v>
      </c>
    </row>
    <row r="11" spans="1:10" x14ac:dyDescent="0.2">
      <c r="A11" s="25">
        <v>10</v>
      </c>
      <c r="B11" s="27">
        <v>9</v>
      </c>
      <c r="C11" s="18" t="s">
        <v>7</v>
      </c>
      <c r="D11" t="s">
        <v>13</v>
      </c>
      <c r="E11" s="12">
        <v>6132</v>
      </c>
      <c r="F11" s="12">
        <f>SUMIFS('Week 5 Jan 27 - Feb 2 2020'!F:F,'Week 5 Jan 27 - Feb 2 2020'!D:D,'Week 6 Feb 3 - Feb 9 2020'!D:D,'Week 5 Jan 27 - Feb 2 2020'!C:C,'Week 6 Feb 3 - Feb 9 2020'!C:C)+Table3611[[#This Row],[Week Sales]]</f>
        <v>1336277</v>
      </c>
      <c r="G11" s="18" t="str">
        <f>(VLOOKUP(D:D,'Week 5 Jan 27 - Feb 2 2020'!D:G,4,FALSE))</f>
        <v>Nintendo</v>
      </c>
      <c r="H11" s="67">
        <f>(VLOOKUP(D:D,'Week 3 Jan 13 - Jan 19 2020'!D:H,5,FALSE))</f>
        <v>43378</v>
      </c>
      <c r="I11" s="12">
        <f>_xlfn.IFNA(VLOOKUP('Week 6 Feb 3 - Feb 9 2020'!D:D,'Week 5 Jan 27 - Feb 2 2020'!D:E, 2, FALSE),"New")</f>
        <v>5781</v>
      </c>
      <c r="J11" s="28">
        <f t="shared" si="1"/>
        <v>6.0716139076284377E-2</v>
      </c>
    </row>
    <row r="12" spans="1:10" x14ac:dyDescent="0.2">
      <c r="A12" s="25">
        <v>11</v>
      </c>
      <c r="B12" s="27">
        <v>10</v>
      </c>
      <c r="C12" s="18" t="s">
        <v>7</v>
      </c>
      <c r="D12" t="s">
        <v>10</v>
      </c>
      <c r="E12" s="12">
        <v>4900</v>
      </c>
      <c r="F12" s="12">
        <f>SUMIFS('Week 5 Jan 27 - Feb 2 2020'!F:F,'Week 5 Jan 27 - Feb 2 2020'!D:D,'Week 6 Feb 3 - Feb 9 2020'!D:D,'Week 5 Jan 27 - Feb 2 2020'!C:C,'Week 6 Feb 3 - Feb 9 2020'!C:C)+Table3611[[#This Row],[Week Sales]]</f>
        <v>3311748</v>
      </c>
      <c r="G12" s="18" t="str">
        <f>(VLOOKUP(D:D,'Week 5 Jan 27 - Feb 2 2020'!D:G,4,FALSE))</f>
        <v>Nintendo</v>
      </c>
      <c r="H12" s="67">
        <f>(VLOOKUP(D:D,'Week 3 Jan 13 - Jan 19 2020'!D:H,5,FALSE))</f>
        <v>42937</v>
      </c>
      <c r="I12" s="12">
        <f>_xlfn.IFNA(VLOOKUP('Week 6 Feb 3 - Feb 9 2020'!D:D,'Week 5 Jan 27 - Feb 2 2020'!D:E, 2, FALSE),"New")</f>
        <v>5640</v>
      </c>
      <c r="J12" s="28">
        <f t="shared" si="1"/>
        <v>-0.13120567375886524</v>
      </c>
    </row>
    <row r="13" spans="1:10" x14ac:dyDescent="0.2">
      <c r="A13" s="25">
        <v>12</v>
      </c>
      <c r="B13" s="27">
        <v>12</v>
      </c>
      <c r="C13" s="18" t="s">
        <v>7</v>
      </c>
      <c r="D13" t="s">
        <v>39</v>
      </c>
      <c r="E13" s="12">
        <v>4723</v>
      </c>
      <c r="F13" s="12">
        <f>SUMIFS('Week 5 Jan 27 - Feb 2 2020'!F:F,'Week 5 Jan 27 - Feb 2 2020'!D:D,'Week 6 Feb 3 - Feb 9 2020'!D:D,'Week 5 Jan 27 - Feb 2 2020'!C:C,'Week 6 Feb 3 - Feb 9 2020'!C:C)+Table3611[[#This Row],[Week Sales]]</f>
        <v>1516472</v>
      </c>
      <c r="G13" s="18" t="str">
        <f>(VLOOKUP(D:D,'Week 5 Jan 27 - Feb 2 2020'!D:G,4,FALSE))</f>
        <v>Nintendo</v>
      </c>
      <c r="H13" s="67">
        <f>(VLOOKUP(D:D,'Week 3 Jan 13 - Jan 19 2020'!D:H,5,FALSE))</f>
        <v>42797</v>
      </c>
      <c r="I13" s="12">
        <f>_xlfn.IFNA(VLOOKUP('Week 6 Feb 3 - Feb 9 2020'!D:D,'Week 5 Jan 27 - Feb 2 2020'!D:E, 2, FALSE),"New")</f>
        <v>4901</v>
      </c>
      <c r="J13" s="28">
        <f t="shared" si="1"/>
        <v>-3.6319118547235262E-2</v>
      </c>
    </row>
    <row r="14" spans="1:10" x14ac:dyDescent="0.2">
      <c r="A14" s="25">
        <v>13</v>
      </c>
      <c r="B14" s="27">
        <v>11</v>
      </c>
      <c r="C14" s="18" t="s">
        <v>7</v>
      </c>
      <c r="D14" t="s">
        <v>79</v>
      </c>
      <c r="E14" s="12">
        <v>4575</v>
      </c>
      <c r="F14" s="12">
        <f>SUMIFS('Week 5 Jan 27 - Feb 2 2020'!F:F,'Week 5 Jan 27 - Feb 2 2020'!D:D,'Week 6 Feb 3 - Feb 9 2020'!D:D,'Week 5 Jan 27 - Feb 2 2020'!C:C,'Week 6 Feb 3 - Feb 9 2020'!C:C)+Table3611[[#This Row],[Week Sales]]</f>
        <v>594697</v>
      </c>
      <c r="G14" s="18" t="str">
        <f>(VLOOKUP(D:D,'Week 5 Jan 27 - Feb 2 2020'!D:G,4,FALSE))</f>
        <v>Nintendo</v>
      </c>
      <c r="H14" s="67">
        <f>(VLOOKUP(D:D,'Week 3 Jan 13 - Jan 19 2020'!D:H,5,FALSE))</f>
        <v>43769</v>
      </c>
      <c r="I14" s="12">
        <f>_xlfn.IFNA(VLOOKUP('Week 6 Feb 3 - Feb 9 2020'!D:D,'Week 5 Jan 27 - Feb 2 2020'!D:E, 2, FALSE),"New")</f>
        <v>5310</v>
      </c>
      <c r="J14" s="28">
        <f t="shared" si="1"/>
        <v>-0.1384180790960452</v>
      </c>
    </row>
    <row r="15" spans="1:10" x14ac:dyDescent="0.2">
      <c r="A15" s="25">
        <v>14</v>
      </c>
      <c r="B15" s="27">
        <v>13</v>
      </c>
      <c r="C15" s="18" t="s">
        <v>7</v>
      </c>
      <c r="D15" t="s">
        <v>19</v>
      </c>
      <c r="E15" s="12">
        <v>3854</v>
      </c>
      <c r="F15" s="12">
        <f>SUMIFS('Week 5 Jan 27 - Feb 2 2020'!F:F,'Week 5 Jan 27 - Feb 2 2020'!D:D,'Week 6 Feb 3 - Feb 9 2020'!D:D,'Week 5 Jan 27 - Feb 2 2020'!C:C,'Week 6 Feb 3 - Feb 9 2020'!C:C)+Table3611[[#This Row],[Week Sales]]</f>
        <v>851758</v>
      </c>
      <c r="G15" s="18" t="str">
        <f>(VLOOKUP(D:D,'Week 5 Jan 27 - Feb 2 2020'!D:G,4,FALSE))</f>
        <v>Nintendo</v>
      </c>
      <c r="H15" s="67">
        <f>(VLOOKUP(D:D,'Week 3 Jan 13 - Jan 19 2020'!D:H,5,FALSE))</f>
        <v>43644</v>
      </c>
      <c r="I15" s="12">
        <f>_xlfn.IFNA(VLOOKUP('Week 6 Feb 3 - Feb 9 2020'!D:D,'Week 5 Jan 27 - Feb 2 2020'!D:E, 2, FALSE),"New")</f>
        <v>4368</v>
      </c>
      <c r="J15" s="28">
        <f t="shared" si="1"/>
        <v>-0.11767399267399267</v>
      </c>
    </row>
    <row r="16" spans="1:10" x14ac:dyDescent="0.2">
      <c r="A16" s="25">
        <v>15</v>
      </c>
      <c r="B16" s="27">
        <v>15</v>
      </c>
      <c r="C16" s="18" t="s">
        <v>7</v>
      </c>
      <c r="D16" t="s">
        <v>80</v>
      </c>
      <c r="E16" s="12">
        <v>3582</v>
      </c>
      <c r="F16" s="12">
        <f>SUMIFS('Week 5 Jan 27 - Feb 2 2020'!F:F,'Week 5 Jan 27 - Feb 2 2020'!D:D,'Week 6 Feb 3 - Feb 9 2020'!D:D,'Week 5 Jan 27 - Feb 2 2020'!C:C,'Week 6 Feb 3 - Feb 9 2020'!C:C)+Table3611[[#This Row],[Week Sales]]</f>
        <v>268217</v>
      </c>
      <c r="G16" s="18" t="str">
        <f>(VLOOKUP(D:D,'Week 5 Jan 27 - Feb 2 2020'!D:G,4,FALSE))</f>
        <v>Sega</v>
      </c>
      <c r="H16" s="67">
        <f>(VLOOKUP(D:D,'Week 3 Jan 13 - Jan 19 2020'!D:H,5,FALSE))</f>
        <v>43770</v>
      </c>
      <c r="I16" s="12">
        <f>_xlfn.IFNA(VLOOKUP('Week 6 Feb 3 - Feb 9 2020'!D:D,'Week 5 Jan 27 - Feb 2 2020'!D:E, 2, FALSE),"New")</f>
        <v>4053</v>
      </c>
      <c r="J16" s="28">
        <f t="shared" si="1"/>
        <v>-0.11621021465581051</v>
      </c>
    </row>
    <row r="17" spans="1:10" x14ac:dyDescent="0.2">
      <c r="A17" s="25">
        <v>16</v>
      </c>
      <c r="B17" s="27">
        <v>14</v>
      </c>
      <c r="C17" s="18" t="s">
        <v>7</v>
      </c>
      <c r="D17" t="s">
        <v>20</v>
      </c>
      <c r="E17" s="12">
        <v>3564</v>
      </c>
      <c r="F17" s="12">
        <f>SUMIFS('Week 5 Jan 27 - Feb 2 2020'!F:F,'Week 5 Jan 27 - Feb 2 2020'!D:D,'Week 6 Feb 3 - Feb 9 2020'!D:D,'Week 5 Jan 27 - Feb 2 2020'!C:C,'Week 6 Feb 3 - Feb 9 2020'!C:C)+Table3611[[#This Row],[Week Sales]]</f>
        <v>389530</v>
      </c>
      <c r="G17" s="18" t="str">
        <f>(VLOOKUP(D:D,'Week 5 Jan 27 - Feb 2 2020'!D:G,4,FALSE))</f>
        <v>Bandai Namco</v>
      </c>
      <c r="H17" s="67">
        <f>(VLOOKUP(D:D,'Week 3 Jan 13 - Jan 19 2020'!D:H,5,FALSE))</f>
        <v>43671</v>
      </c>
      <c r="I17" s="12">
        <f>_xlfn.IFNA(VLOOKUP('Week 6 Feb 3 - Feb 9 2020'!D:D,'Week 5 Jan 27 - Feb 2 2020'!D:E, 2, FALSE),"New")</f>
        <v>4142</v>
      </c>
      <c r="J17" s="28">
        <f t="shared" si="1"/>
        <v>-0.13954611298889424</v>
      </c>
    </row>
    <row r="18" spans="1:10" x14ac:dyDescent="0.2">
      <c r="A18" s="25">
        <v>17</v>
      </c>
      <c r="B18" s="27">
        <v>18</v>
      </c>
      <c r="C18" s="18" t="s">
        <v>7</v>
      </c>
      <c r="D18" t="s">
        <v>17</v>
      </c>
      <c r="E18" s="12">
        <v>3089</v>
      </c>
      <c r="F18" s="12">
        <f>SUMIFS('Week 5 Jan 27 - Feb 2 2020'!F:F,'Week 5 Jan 27 - Feb 2 2020'!D:D,'Week 6 Feb 3 - Feb 9 2020'!D:D,'Week 5 Jan 27 - Feb 2 2020'!C:C,'Week 6 Feb 3 - Feb 9 2020'!C:C)+Table3611[[#This Row],[Week Sales]]</f>
        <v>777812</v>
      </c>
      <c r="G18" s="18" t="str">
        <f>(VLOOKUP(D:D,'Week 5 Jan 27 - Feb 2 2020'!D:G,4,FALSE))</f>
        <v>Nintendo</v>
      </c>
      <c r="H18" s="67">
        <f>(VLOOKUP(D:D,'Week 3 Jan 13 - Jan 19 2020'!D:H,5,FALSE))</f>
        <v>43476</v>
      </c>
      <c r="I18" s="12">
        <f>_xlfn.IFNA(VLOOKUP('Week 6 Feb 3 - Feb 9 2020'!D:D,'Week 5 Jan 27 - Feb 2 2020'!D:E, 2, FALSE),"New")</f>
        <v>3253</v>
      </c>
      <c r="J18" s="28">
        <f t="shared" si="1"/>
        <v>-5.0415001537042731E-2</v>
      </c>
    </row>
    <row r="19" spans="1:10" x14ac:dyDescent="0.2">
      <c r="A19" s="25">
        <v>18</v>
      </c>
      <c r="B19" s="27">
        <v>19</v>
      </c>
      <c r="C19" s="18" t="s">
        <v>7</v>
      </c>
      <c r="D19" t="s">
        <v>83</v>
      </c>
      <c r="E19" s="12">
        <v>2559</v>
      </c>
      <c r="F19" s="12">
        <f>SUMIFS('Week 5 Jan 27 - Feb 2 2020'!F:F,'Week 5 Jan 27 - Feb 2 2020'!D:D,'Week 6 Feb 3 - Feb 9 2020'!D:D,'Week 5 Jan 27 - Feb 2 2020'!C:C,'Week 6 Feb 3 - Feb 9 2020'!C:C)+Table3611[[#This Row],[Week Sales]]</f>
        <v>485392</v>
      </c>
      <c r="G19" s="18" t="str">
        <f>(VLOOKUP(D:D,'Week 5 Jan 27 - Feb 2 2020'!D:G,4,FALSE))</f>
        <v>Square Enix</v>
      </c>
      <c r="H19" s="67">
        <f>(VLOOKUP(D:D,'Week 3 Jan 13 - Jan 19 2020'!D:H,5,FALSE))</f>
        <v>43735</v>
      </c>
      <c r="I19" s="12">
        <f>_xlfn.IFNA(VLOOKUP('Week 6 Feb 3 - Feb 9 2020'!D:D,'Week 5 Jan 27 - Feb 2 2020'!D:E, 2, FALSE),"New")</f>
        <v>2562</v>
      </c>
      <c r="J19" s="28">
        <f t="shared" si="1"/>
        <v>-1.17096018735363E-3</v>
      </c>
    </row>
    <row r="20" spans="1:10" x14ac:dyDescent="0.2">
      <c r="A20" s="25">
        <v>19</v>
      </c>
      <c r="B20" s="27">
        <v>17</v>
      </c>
      <c r="C20" s="18" t="s">
        <v>8</v>
      </c>
      <c r="D20" t="s">
        <v>180</v>
      </c>
      <c r="E20" s="12">
        <v>2496</v>
      </c>
      <c r="F20" s="12">
        <f>SUMIFS('Week 5 Jan 27 - Feb 2 2020'!F:F,'Week 5 Jan 27 - Feb 2 2020'!D:D,'Week 6 Feb 3 - Feb 9 2020'!D:D,'Week 5 Jan 27 - Feb 2 2020'!C:C,'Week 6 Feb 3 - Feb 9 2020'!C:C)+Table3611[[#This Row],[Week Sales]]</f>
        <v>31868</v>
      </c>
      <c r="G20" s="18" t="str">
        <f>(VLOOKUP(D:D,'Week 5 Jan 27 - Feb 2 2020'!D:G,4,FALSE))</f>
        <v>Koei Tecmo</v>
      </c>
      <c r="H20" s="67">
        <f>(VLOOKUP(D:D,'Week 3 Jan 13 - Jan 19 2020'!D:H,5,FALSE))</f>
        <v>43847</v>
      </c>
      <c r="I20" s="12">
        <f>_xlfn.IFNA(VLOOKUP('Week 6 Feb 3 - Feb 9 2020'!D:D,'Week 5 Jan 27 - Feb 2 2020'!D:E, 2, FALSE),"New")</f>
        <v>3537</v>
      </c>
      <c r="J20" s="28">
        <f t="shared" si="1"/>
        <v>-0.29431721798134014</v>
      </c>
    </row>
    <row r="21" spans="1:10" x14ac:dyDescent="0.2">
      <c r="A21" s="25">
        <v>20</v>
      </c>
      <c r="B21" s="27">
        <v>16</v>
      </c>
      <c r="C21" s="18" t="s">
        <v>8</v>
      </c>
      <c r="D21" t="s">
        <v>117</v>
      </c>
      <c r="E21" s="12">
        <v>2160</v>
      </c>
      <c r="F21" s="12">
        <f>SUMIFS('Week 5 Jan 27 - Feb 2 2020'!F:F,'Week 5 Jan 27 - Feb 2 2020'!D:D,'Week 6 Feb 3 - Feb 9 2020'!D:D,'Week 5 Jan 27 - Feb 2 2020'!C:C,'Week 6 Feb 3 - Feb 9 2020'!C:C)+Table3611[[#This Row],[Week Sales]]</f>
        <v>65575</v>
      </c>
      <c r="G21" s="18" t="str">
        <f>(VLOOKUP(D:D,'Week 5 Jan 27 - Feb 2 2020'!D:G,4,FALSE))</f>
        <v>Atlus</v>
      </c>
      <c r="H21" s="67">
        <f>(VLOOKUP(D:D,'Week 3 Jan 13 - Jan 19 2020'!D:H,5,FALSE))</f>
        <v>43797</v>
      </c>
      <c r="I21" s="12">
        <f>_xlfn.IFNA(VLOOKUP('Week 6 Feb 3 - Feb 9 2020'!D:D,'Week 5 Jan 27 - Feb 2 2020'!D:E, 2, FALSE),"New")</f>
        <v>3930</v>
      </c>
      <c r="J21" s="28">
        <f t="shared" si="1"/>
        <v>-0.45038167938931295</v>
      </c>
    </row>
    <row r="22" spans="1:10" x14ac:dyDescent="0.2">
      <c r="A22" s="25">
        <v>21</v>
      </c>
      <c r="B22" s="27">
        <v>23</v>
      </c>
      <c r="C22" s="18" t="s">
        <v>7</v>
      </c>
      <c r="D22" t="s">
        <v>25</v>
      </c>
      <c r="E22" s="12">
        <v>1851</v>
      </c>
      <c r="F22" s="12">
        <f>SUMIFS('Week 5 Jan 27 - Feb 2 2020'!F:F,'Week 5 Jan 27 - Feb 2 2020'!D:D,'Week 6 Feb 3 - Feb 9 2020'!D:D,'Week 5 Jan 27 - Feb 2 2020'!C:C,'Week 6 Feb 3 - Feb 9 2020'!C:C)+Table3611[[#This Row],[Week Sales]]</f>
        <v>443205</v>
      </c>
      <c r="G22" s="18" t="str">
        <f>(VLOOKUP(D:D,'Week 5 Jan 27 - Feb 2 2020'!D:G,4,FALSE))</f>
        <v>Bandai Namco</v>
      </c>
      <c r="H22" s="67">
        <f>(VLOOKUP(D:D,'Week 3 Jan 13 - Jan 19 2020'!D:H,5,FALSE))</f>
        <v>43300</v>
      </c>
      <c r="I22" s="12">
        <f>_xlfn.IFNA(VLOOKUP('Week 6 Feb 3 - Feb 9 2020'!D:D,'Week 5 Jan 27 - Feb 2 2020'!D:E, 2, FALSE),"New")</f>
        <v>2026</v>
      </c>
      <c r="J22" s="28">
        <f t="shared" si="1"/>
        <v>-8.6377097729516294E-2</v>
      </c>
    </row>
    <row r="23" spans="1:10" x14ac:dyDescent="0.2">
      <c r="A23" s="25">
        <v>22</v>
      </c>
      <c r="B23" s="18">
        <v>21</v>
      </c>
      <c r="C23" s="18" t="s">
        <v>7</v>
      </c>
      <c r="D23" t="s">
        <v>185</v>
      </c>
      <c r="E23" s="12">
        <v>1824</v>
      </c>
      <c r="F23" s="12">
        <f>SUMIFS('Week 5 Jan 27 - Feb 2 2020'!F:F,'Week 5 Jan 27 - Feb 2 2020'!D:D,'Week 6 Feb 3 - Feb 9 2020'!D:D,'Week 5 Jan 27 - Feb 2 2020'!C:C,'Week 6 Feb 3 - Feb 9 2020'!C:C)+Table3611[[#This Row],[Week Sales]]</f>
        <v>287216</v>
      </c>
      <c r="G23" s="18" t="str">
        <f>(VLOOKUP(D:D,'Week 5 Jan 27 - Feb 2 2020'!D:G,4,FALSE))</f>
        <v>Nintendo</v>
      </c>
      <c r="H23" s="67">
        <f>(VLOOKUP(D:D,'Week 3 Jan 13 - Jan 19 2020'!D:H,5,FALSE))</f>
        <v>43672</v>
      </c>
      <c r="I23" s="12">
        <f>_xlfn.IFNA(VLOOKUP('Week 6 Feb 3 - Feb 9 2020'!D:D,'Week 5 Jan 27 - Feb 2 2020'!D:E, 2, FALSE),"New")</f>
        <v>2316</v>
      </c>
      <c r="J23" s="28">
        <f>IFERROR((E23-I23)/I23,"New")</f>
        <v>-0.21243523316062177</v>
      </c>
    </row>
    <row r="24" spans="1:10" x14ac:dyDescent="0.2">
      <c r="A24" s="25">
        <v>23</v>
      </c>
      <c r="B24" s="27">
        <v>24</v>
      </c>
      <c r="C24" s="18" t="s">
        <v>7</v>
      </c>
      <c r="D24" t="s">
        <v>26</v>
      </c>
      <c r="E24" s="12">
        <v>1787</v>
      </c>
      <c r="F24" s="12">
        <f>SUMIFS('Week 5 Jan 27 - Feb 2 2020'!F:F,'Week 5 Jan 27 - Feb 2 2020'!D:D,'Week 6 Feb 3 - Feb 9 2020'!D:D,'Week 5 Jan 27 - Feb 2 2020'!C:C,'Week 6 Feb 3 - Feb 9 2020'!C:C)+Table3611[[#This Row],[Week Sales]]</f>
        <v>2068664</v>
      </c>
      <c r="G24" s="18" t="str">
        <f>(VLOOKUP(D:D,'Week 5 Jan 27 - Feb 2 2020'!D:G,4,FALSE))</f>
        <v>Nintendo</v>
      </c>
      <c r="H24" s="67">
        <f>(VLOOKUP(D:D,'Week 3 Jan 13 - Jan 19 2020'!D:H,5,FALSE))</f>
        <v>43035</v>
      </c>
      <c r="I24" s="12">
        <f>_xlfn.IFNA(VLOOKUP('Week 6 Feb 3 - Feb 9 2020'!D:D,'Week 5 Jan 27 - Feb 2 2020'!D:E, 2, FALSE),"New")</f>
        <v>1923</v>
      </c>
      <c r="J24" s="28">
        <f>IFERROR((E24-I24)/I24,"New")</f>
        <v>-7.0722828913156524E-2</v>
      </c>
    </row>
    <row r="25" spans="1:10" x14ac:dyDescent="0.2">
      <c r="A25" s="35">
        <v>24</v>
      </c>
      <c r="B25" s="29" t="s">
        <v>53</v>
      </c>
      <c r="C25" s="31" t="s">
        <v>8</v>
      </c>
      <c r="D25" s="91" t="s">
        <v>187</v>
      </c>
      <c r="E25" s="33">
        <v>1657</v>
      </c>
      <c r="F25" s="33">
        <v>18239</v>
      </c>
      <c r="G25" s="31" t="str">
        <f>(VLOOKUP(D:D,'Week 3 Jan 13 - Jan 19 2020'!D:G,4,FALSE))</f>
        <v>Rockstar Games</v>
      </c>
      <c r="H25" s="93">
        <f>(VLOOKUP(D:D,'Week 3 Jan 13 - Jan 19 2020'!D:H,5,FALSE))</f>
        <v>43440</v>
      </c>
      <c r="I25" s="33"/>
      <c r="J25" s="97"/>
    </row>
    <row r="26" spans="1:10" x14ac:dyDescent="0.2">
      <c r="A26" s="35">
        <v>25</v>
      </c>
      <c r="B26" s="29" t="s">
        <v>53</v>
      </c>
      <c r="C26" s="31" t="s">
        <v>7</v>
      </c>
      <c r="D26" s="32" t="s">
        <v>85</v>
      </c>
      <c r="E26" s="33">
        <v>1641</v>
      </c>
      <c r="F26" s="33">
        <v>225614</v>
      </c>
      <c r="G26" s="31" t="str">
        <f>(VLOOKUP(D:D,'Week 2 Jan 6 - Jan 12 2020'!D:G,4,FALSE))</f>
        <v>Konami</v>
      </c>
      <c r="H26" s="93">
        <f>(VLOOKUP(D:D,'Week 2 Jan 6 - Jan 12 2020'!D:H,5,FALSE))</f>
        <v>43643</v>
      </c>
      <c r="I26" s="33"/>
      <c r="J26" s="97"/>
    </row>
    <row r="27" spans="1:10" x14ac:dyDescent="0.2">
      <c r="A27" s="25">
        <v>26</v>
      </c>
      <c r="B27" s="27">
        <v>26</v>
      </c>
      <c r="C27" s="18" t="s">
        <v>7</v>
      </c>
      <c r="D27" t="s">
        <v>89</v>
      </c>
      <c r="E27" s="12">
        <v>1533</v>
      </c>
      <c r="F27" s="12">
        <f>SUMIFS('Week 5 Jan 27 - Feb 2 2020'!F:F,'Week 5 Jan 27 - Feb 2 2020'!D:D,'Week 6 Feb 3 - Feb 9 2020'!D:D,'Week 5 Jan 27 - Feb 2 2020'!C:C,'Week 6 Feb 3 - Feb 9 2020'!C:C)+Table3611[[#This Row],[Week Sales]]</f>
        <v>133502</v>
      </c>
      <c r="G27" s="18" t="str">
        <f>(VLOOKUP(D:D,'Week 5 Jan 27 - Feb 2 2020'!D:G,4,FALSE))</f>
        <v>Marvelous</v>
      </c>
      <c r="H27" s="67">
        <f>(VLOOKUP(D:D,'Week 3 Jan 13 - Jan 19 2020'!D:H,5,FALSE))</f>
        <v>43755</v>
      </c>
      <c r="I27" s="12">
        <f>_xlfn.IFNA(VLOOKUP('Week 6 Feb 3 - Feb 9 2020'!D:D,'Week 5 Jan 27 - Feb 2 2020'!D:E, 2, FALSE),"New")</f>
        <v>1650</v>
      </c>
      <c r="J27" s="28">
        <f>IFERROR((E27-I27)/I27,"New")</f>
        <v>-7.0909090909090908E-2</v>
      </c>
    </row>
    <row r="28" spans="1:10" x14ac:dyDescent="0.2">
      <c r="A28" s="25">
        <v>27</v>
      </c>
      <c r="B28" s="27">
        <v>25</v>
      </c>
      <c r="C28" s="18" t="s">
        <v>8</v>
      </c>
      <c r="D28" t="s">
        <v>99</v>
      </c>
      <c r="E28" s="12">
        <v>1499</v>
      </c>
      <c r="F28" s="12">
        <f>SUMIFS('Week 5 Jan 27 - Feb 2 2020'!F:F,'Week 5 Jan 27 - Feb 2 2020'!D:D,'Week 6 Feb 3 - Feb 9 2020'!D:D,'Week 5 Jan 27 - Feb 2 2020'!C:C,'Week 6 Feb 3 - Feb 9 2020'!C:C)+Table3611[[#This Row],[Week Sales]]</f>
        <v>432312</v>
      </c>
      <c r="G28" s="18" t="str">
        <f>(VLOOKUP(D:D,'Week 5 Jan 27 - Feb 2 2020'!D:G,4,FALSE))</f>
        <v>Capcom</v>
      </c>
      <c r="H28" s="67">
        <f>(VLOOKUP(D:D,'Week 3 Jan 13 - Jan 19 2020'!D:H,5,FALSE))</f>
        <v>43714</v>
      </c>
      <c r="I28" s="12">
        <f>_xlfn.IFNA(VLOOKUP('Week 6 Feb 3 - Feb 9 2020'!D:D,'Week 5 Jan 27 - Feb 2 2020'!D:E, 2, FALSE),"New")</f>
        <v>1880</v>
      </c>
      <c r="J28" s="28">
        <f t="shared" ref="J28:J30" si="2">IFERROR((E28-I28)/I28,"New")</f>
        <v>-0.20265957446808511</v>
      </c>
    </row>
    <row r="29" spans="1:10" x14ac:dyDescent="0.2">
      <c r="A29" s="25">
        <v>28</v>
      </c>
      <c r="B29" s="27">
        <v>29</v>
      </c>
      <c r="C29" s="18" t="s">
        <v>7</v>
      </c>
      <c r="D29" t="s">
        <v>93</v>
      </c>
      <c r="E29" s="12">
        <v>1457</v>
      </c>
      <c r="F29" s="12">
        <f>SUMIFS('Week 5 Jan 27 - Feb 2 2020'!F:F,'Week 5 Jan 27 - Feb 2 2020'!D:D,'Week 6 Feb 3 - Feb 9 2020'!D:D,'Week 5 Jan 27 - Feb 2 2020'!C:C,'Week 6 Feb 3 - Feb 9 2020'!C:C)+Table3611[[#This Row],[Week Sales]]</f>
        <v>1699251</v>
      </c>
      <c r="G29" s="18" t="str">
        <f>(VLOOKUP(D:D,'Week 5 Jan 27 - Feb 2 2020'!D:G,4,FALSE))</f>
        <v>The Pokemon Company</v>
      </c>
      <c r="H29" s="67">
        <f>(VLOOKUP(D:D,'Week 5 Jan 27 - Feb 2 2020'!D:H,5,FALSE))</f>
        <v>43420</v>
      </c>
      <c r="I29" s="12">
        <f>_xlfn.IFNA(VLOOKUP('Week 6 Feb 3 - Feb 9 2020'!D:D,'Week 5 Jan 27 - Feb 2 2020'!D:E, 2, FALSE),"New")</f>
        <v>1488</v>
      </c>
      <c r="J29" s="28">
        <f>IFERROR((E29-I29)/I29,"New")</f>
        <v>-2.0833333333333332E-2</v>
      </c>
    </row>
    <row r="30" spans="1:10" x14ac:dyDescent="0.2">
      <c r="A30" s="25">
        <v>29</v>
      </c>
      <c r="B30" s="27">
        <v>20</v>
      </c>
      <c r="C30" s="18" t="s">
        <v>7</v>
      </c>
      <c r="D30" t="s">
        <v>183</v>
      </c>
      <c r="E30" s="12">
        <v>1397</v>
      </c>
      <c r="F30" s="12">
        <f>SUMIFS('Week 5 Jan 27 - Feb 2 2020'!F:F,'Week 5 Jan 27 - Feb 2 2020'!D:D,'Week 6 Feb 3 - Feb 9 2020'!D:D,'Week 5 Jan 27 - Feb 2 2020'!C:C,'Week 6 Feb 3 - Feb 9 2020'!C:C)+Table3611[[#This Row],[Week Sales]]</f>
        <v>27017</v>
      </c>
      <c r="G30" s="18" t="str">
        <f>(VLOOKUP(D:D,'Week 5 Jan 27 - Feb 2 2020'!D:G,4,FALSE))</f>
        <v>Nintendo</v>
      </c>
      <c r="H30" s="67">
        <f>(VLOOKUP(D:D,'Week 3 Jan 13 - Jan 19 2020'!D:H,5,FALSE))</f>
        <v>43847</v>
      </c>
      <c r="I30" s="12">
        <f>_xlfn.IFNA(VLOOKUP('Week 6 Feb 3 - Feb 9 2020'!D:D,'Week 5 Jan 27 - Feb 2 2020'!D:E, 2, FALSE),"New")</f>
        <v>2526</v>
      </c>
      <c r="J30" s="28">
        <f t="shared" si="2"/>
        <v>-0.44695170229612036</v>
      </c>
    </row>
    <row r="31" spans="1:10" x14ac:dyDescent="0.2">
      <c r="A31" s="25">
        <v>30</v>
      </c>
      <c r="B31" s="27">
        <v>27</v>
      </c>
      <c r="C31" s="18" t="s">
        <v>7</v>
      </c>
      <c r="D31" t="s">
        <v>120</v>
      </c>
      <c r="E31" s="12">
        <v>1375</v>
      </c>
      <c r="F31" s="12">
        <f>SUMIFS('Week 5 Jan 27 - Feb 2 2020'!F:F,'Week 5 Jan 27 - Feb 2 2020'!D:D,'Week 6 Feb 3 - Feb 9 2020'!D:D,'Week 5 Jan 27 - Feb 2 2020'!C:C,'Week 6 Feb 3 - Feb 9 2020'!C:C)+Table3611[[#This Row],[Week Sales]]</f>
        <v>263917</v>
      </c>
      <c r="G31" s="18" t="str">
        <f>(VLOOKUP(D:D,'Week 5 Jan 27 - Feb 2 2020'!D:G,4,FALSE))</f>
        <v>Nintendo</v>
      </c>
      <c r="H31" s="67">
        <f>(VLOOKUP(D:D,'Week 5 Jan 27 - Feb 2 2020'!D:H,5,FALSE))</f>
        <v>43728</v>
      </c>
      <c r="I31" s="12">
        <f>_xlfn.IFNA(VLOOKUP('Week 6 Feb 3 - Feb 9 2020'!D:D,'Week 5 Jan 27 - Feb 2 2020'!D:E, 2, FALSE),"New")</f>
        <v>1624</v>
      </c>
      <c r="J31" s="28">
        <f>IFERROR((E31-I31)/I31,"New")</f>
        <v>-0.15332512315270935</v>
      </c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245575</v>
      </c>
      <c r="F33" s="2"/>
      <c r="I33" s="2"/>
      <c r="J33" s="19"/>
    </row>
    <row r="34" spans="1:10" x14ac:dyDescent="0.2">
      <c r="A34" s="3"/>
      <c r="B34" s="3"/>
      <c r="D34" s="100" t="s">
        <v>178</v>
      </c>
      <c r="E34" s="101">
        <f>SUM('Week 5 Jan 27 - Feb 2 2020'!E34,'Week 6 Feb 3 - Feb 9 2020'!E33)</f>
        <v>2258762</v>
      </c>
      <c r="F34" s="2"/>
      <c r="I34" s="2"/>
      <c r="J34" s="19"/>
    </row>
    <row r="35" spans="1:10" x14ac:dyDescent="0.2">
      <c r="A35" s="3"/>
      <c r="B35" s="3"/>
      <c r="D35" s="2" t="s">
        <v>60</v>
      </c>
      <c r="E35" s="2">
        <f>AVERAGE(E2:E31)</f>
        <v>8185.833333333333</v>
      </c>
      <c r="F35" s="2"/>
      <c r="I35" s="2"/>
      <c r="J35" s="19"/>
    </row>
    <row r="36" spans="1:10" x14ac:dyDescent="0.2">
      <c r="A36" s="3"/>
      <c r="B36" s="3"/>
      <c r="D36" s="9" t="s">
        <v>78</v>
      </c>
      <c r="E36" s="10">
        <f>COUNTIF(B:B,"New")</f>
        <v>1</v>
      </c>
      <c r="F36" s="2"/>
      <c r="I36" s="2"/>
      <c r="J36" s="19"/>
    </row>
    <row r="37" spans="1:10" x14ac:dyDescent="0.2">
      <c r="A37" s="3"/>
      <c r="B37" s="3"/>
      <c r="E37" s="2"/>
      <c r="F37" s="2"/>
      <c r="I37" s="2"/>
      <c r="J37" s="19"/>
    </row>
    <row r="38" spans="1:10" x14ac:dyDescent="0.2">
      <c r="A38" s="3"/>
      <c r="B38" s="3"/>
      <c r="D38" t="s">
        <v>66</v>
      </c>
      <c r="E38" s="2"/>
      <c r="F38" s="2"/>
      <c r="I38" s="2"/>
      <c r="J38" s="19"/>
    </row>
    <row r="39" spans="1:10" x14ac:dyDescent="0.2">
      <c r="A39" s="3"/>
      <c r="B39" s="3"/>
      <c r="D39" s="8" t="s">
        <v>67</v>
      </c>
      <c r="E39" s="2"/>
      <c r="F39" s="2"/>
      <c r="I39" s="2"/>
      <c r="J39" s="19"/>
    </row>
    <row r="40" spans="1:10" x14ac:dyDescent="0.2">
      <c r="A40" s="3"/>
      <c r="B40" s="3"/>
      <c r="D40" s="8" t="s">
        <v>65</v>
      </c>
      <c r="E40" s="2"/>
      <c r="F40" s="2"/>
      <c r="I40" s="2"/>
      <c r="J40" s="19"/>
    </row>
    <row r="41" spans="1:10" x14ac:dyDescent="0.2">
      <c r="D41" s="8" t="s">
        <v>71</v>
      </c>
      <c r="E41" s="2"/>
    </row>
  </sheetData>
  <hyperlinks>
    <hyperlink ref="D40" r:id="rId1" xr:uid="{4537BB62-160E-AB47-8378-2D1EE0581AE8}"/>
    <hyperlink ref="D41" r:id="rId2" xr:uid="{6DEDB289-8A72-054B-B945-7869E452C3E0}"/>
    <hyperlink ref="D39" r:id="rId3" xr:uid="{E98EE085-E3F1-D440-BB5F-7BA78A131BC7}"/>
  </hyperlinks>
  <pageMargins left="0.7" right="0.7" top="0.75" bottom="0.75" header="0.3" footer="0.3"/>
  <pageSetup paperSize="9" orientation="portrait" horizontalDpi="0" verticalDpi="0"/>
  <ignoredErrors>
    <ignoredError sqref="F25:F26" calculatedColumn="1"/>
    <ignoredError sqref="H26:H30" formula="1"/>
  </ignoredErrors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1C42B-A351-B24E-839F-0903D09314F6}">
  <dimension ref="A1:J41"/>
  <sheetViews>
    <sheetView workbookViewId="0">
      <selection activeCell="D12" sqref="D12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9.8320312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0" x14ac:dyDescent="0.2">
      <c r="A2" s="13">
        <v>1</v>
      </c>
      <c r="B2" s="13" t="s">
        <v>36</v>
      </c>
      <c r="C2" s="9" t="s">
        <v>7</v>
      </c>
      <c r="D2" s="9" t="s">
        <v>192</v>
      </c>
      <c r="E2" s="10">
        <v>53606</v>
      </c>
      <c r="F2" s="10">
        <f>SUMIFS('Week 6 Feb 3 - Feb 9 2020'!F:F,'Week 6 Feb 3 - Feb 9 2020'!D:D,'Week 7 Feb 10 - Feb 16 2020'!D:D,'Week 6 Feb 3 - Feb 9 2020'!C:C,'Week 7 Feb 10 - Feb 16 2020'!C:C)+Table36119[[#This Row],[Week Sales]]</f>
        <v>53606</v>
      </c>
      <c r="G2" s="9" t="s">
        <v>95</v>
      </c>
      <c r="H2" s="14">
        <v>43874</v>
      </c>
      <c r="I2" s="10" t="str">
        <f>_xlfn.IFNA(VLOOKUP(Table36119[Title],'Week 6 Feb 3 - Feb 9 2020'!D:E, 2, FALSE),"New")</f>
        <v>New</v>
      </c>
      <c r="J2" s="92" t="str">
        <f>IFERROR((E2-I2)/I2,"New")</f>
        <v>New</v>
      </c>
    </row>
    <row r="3" spans="1:10" x14ac:dyDescent="0.2">
      <c r="A3" s="25">
        <v>2</v>
      </c>
      <c r="B3" s="27">
        <v>3</v>
      </c>
      <c r="C3" s="18" t="s">
        <v>7</v>
      </c>
      <c r="D3" t="s">
        <v>62</v>
      </c>
      <c r="E3" s="12">
        <v>24534</v>
      </c>
      <c r="F3" s="12">
        <f>SUMIFS('Week 6 Feb 3 - Feb 9 2020'!F:F,'Week 6 Feb 3 - Feb 9 2020'!D:D,'Week 7 Feb 10 - Feb 16 2020'!D:D,'Week 6 Feb 3 - Feb 9 2020'!C:C,'Week 7 Feb 10 - Feb 16 2020'!C:C)+Table36119[[#This Row],[Week Sales]]</f>
        <v>3427385</v>
      </c>
      <c r="G3" s="18" t="str">
        <f>(VLOOKUP(D:D,'Week 6 Feb 3 - Feb 9 2020'!D:G,4,FALSE))</f>
        <v>The Pokemon Company</v>
      </c>
      <c r="H3" s="67">
        <f>(VLOOKUP(D:D,'Week 6 Feb 3 - Feb 9 2020'!D:H,5,FALSE))</f>
        <v>43784</v>
      </c>
      <c r="I3" s="12">
        <f>_xlfn.IFNA(VLOOKUP(Table36119[Title],'Week 6 Feb 3 - Feb 9 2020'!D:E, 2, FALSE),"New")</f>
        <v>23114</v>
      </c>
      <c r="J3" s="28">
        <f t="shared" ref="J3:J8" si="0">IFERROR((E3-I3)/I3,"New")</f>
        <v>6.143462836376222E-2</v>
      </c>
    </row>
    <row r="4" spans="1:10" x14ac:dyDescent="0.2">
      <c r="A4" s="25">
        <v>3</v>
      </c>
      <c r="B4" s="27">
        <v>1</v>
      </c>
      <c r="C4" s="18" t="s">
        <v>8</v>
      </c>
      <c r="D4" t="s">
        <v>191</v>
      </c>
      <c r="E4" s="12">
        <v>12165</v>
      </c>
      <c r="F4" s="12">
        <f>SUMIFS('Week 6 Feb 3 - Feb 9 2020'!F:F,'Week 6 Feb 3 - Feb 9 2020'!D:D,'Week 7 Feb 10 - Feb 16 2020'!D:D,'Week 6 Feb 3 - Feb 9 2020'!C:C,'Week 7 Feb 10 - Feb 16 2020'!C:C)+Table36119[[#This Row],[Week Sales]]</f>
        <v>98413</v>
      </c>
      <c r="G4" s="18" t="str">
        <f>(VLOOKUP(D:D,'Week 6 Feb 3 - Feb 9 2020'!D:G,4,FALSE))</f>
        <v>Cygames</v>
      </c>
      <c r="H4" s="67">
        <f>(VLOOKUP(D:D,'Week 6 Feb 3 - Feb 9 2020'!D:H,5,FALSE))</f>
        <v>43867</v>
      </c>
      <c r="I4" s="12">
        <f>_xlfn.IFNA(VLOOKUP(Table36119[Title],'Week 6 Feb 3 - Feb 9 2020'!D:E, 2, FALSE),"New")</f>
        <v>86248</v>
      </c>
      <c r="J4" s="28">
        <f t="shared" si="0"/>
        <v>-0.8589532510898803</v>
      </c>
    </row>
    <row r="5" spans="1:10" x14ac:dyDescent="0.2">
      <c r="A5" s="25">
        <v>4</v>
      </c>
      <c r="B5" s="27">
        <v>7</v>
      </c>
      <c r="C5" s="18" t="s">
        <v>7</v>
      </c>
      <c r="D5" t="s">
        <v>12</v>
      </c>
      <c r="E5" s="12">
        <v>11275</v>
      </c>
      <c r="F5" s="12">
        <f>SUMIFS('Week 6 Feb 3 - Feb 9 2020'!F:F,'Week 6 Feb 3 - Feb 9 2020'!D:D,'Week 7 Feb 10 - Feb 16 2020'!D:D,'Week 6 Feb 3 - Feb 9 2020'!C:C,'Week 7 Feb 10 - Feb 16 2020'!C:C)+Table36119[[#This Row],[Week Sales]]</f>
        <v>1263898</v>
      </c>
      <c r="G5" s="18" t="str">
        <f>(VLOOKUP(D:D,'Week 6 Feb 3 - Feb 9 2020'!D:G,4,FALSE))</f>
        <v>Microsoft</v>
      </c>
      <c r="H5" s="67">
        <f>(VLOOKUP(D:D,'Week 6 Feb 3 - Feb 9 2020'!D:H,5,FALSE))</f>
        <v>43272</v>
      </c>
      <c r="I5" s="12">
        <f>_xlfn.IFNA(VLOOKUP(Table36119[Title],'Week 6 Feb 3 - Feb 9 2020'!D:E, 2, FALSE),"New")</f>
        <v>9063</v>
      </c>
      <c r="J5" s="28">
        <f>IFERROR((E5-I5)/I5,"New")</f>
        <v>0.24406929272867703</v>
      </c>
    </row>
    <row r="6" spans="1:10" x14ac:dyDescent="0.2">
      <c r="A6" s="25">
        <v>5</v>
      </c>
      <c r="B6" s="27">
        <v>2</v>
      </c>
      <c r="C6" s="18" t="s">
        <v>7</v>
      </c>
      <c r="D6" t="s">
        <v>45</v>
      </c>
      <c r="E6" s="12">
        <v>10238</v>
      </c>
      <c r="F6" s="12">
        <f>SUMIFS('Week 6 Feb 3 - Feb 9 2020'!F:F,'Week 6 Feb 3 - Feb 9 2020'!D:D,'Week 7 Feb 10 - Feb 16 2020'!D:D,'Week 6 Feb 3 - Feb 9 2020'!C:C,'Week 7 Feb 10 - Feb 16 2020'!C:C)+Table36119[[#This Row],[Week Sales]]</f>
        <v>686144</v>
      </c>
      <c r="G6" s="18" t="str">
        <f>(VLOOKUP(D:D,'Week 6 Feb 3 - Feb 9 2020'!D:G,4,FALSE))</f>
        <v>Nintendo</v>
      </c>
      <c r="H6" s="67">
        <f>(VLOOKUP(D:D,'Week 6 Feb 3 - Feb 9 2020'!D:H,5,FALSE))</f>
        <v>43756</v>
      </c>
      <c r="I6" s="12">
        <f>_xlfn.IFNA(VLOOKUP(Table36119[Title],'Week 6 Feb 3 - Feb 9 2020'!D:E, 2, FALSE),"New")</f>
        <v>23149</v>
      </c>
      <c r="J6" s="28">
        <f t="shared" si="0"/>
        <v>-0.55773467536394661</v>
      </c>
    </row>
    <row r="7" spans="1:10" x14ac:dyDescent="0.2">
      <c r="A7" s="25">
        <v>6</v>
      </c>
      <c r="B7" s="27">
        <v>5</v>
      </c>
      <c r="C7" s="18" t="s">
        <v>7</v>
      </c>
      <c r="D7" t="s">
        <v>16</v>
      </c>
      <c r="E7" s="12">
        <v>9367</v>
      </c>
      <c r="F7" s="12">
        <f>SUMIFS('Week 6 Feb 3 - Feb 9 2020'!F:F,'Week 6 Feb 3 - Feb 9 2020'!D:D,'Week 7 Feb 10 - Feb 16 2020'!D:D,'Week 6 Feb 3 - Feb 9 2020'!C:C,'Week 7 Feb 10 - Feb 16 2020'!C:C)+Table36119[[#This Row],[Week Sales]]</f>
        <v>151548</v>
      </c>
      <c r="G7" s="18" t="str">
        <f>(VLOOKUP(D:D,'Week 6 Feb 3 - Feb 9 2020'!D:G,4,FALSE))</f>
        <v>Nintendo</v>
      </c>
      <c r="H7" s="67">
        <f>(VLOOKUP(D:D,'Week 6 Feb 3 - Feb 9 2020'!D:H,5,FALSE))</f>
        <v>43826</v>
      </c>
      <c r="I7" s="12">
        <f>_xlfn.IFNA(VLOOKUP(Table36119[Title],'Week 6 Feb 3 - Feb 9 2020'!D:E, 2, FALSE),"New")</f>
        <v>9650</v>
      </c>
      <c r="J7" s="28">
        <f>IFERROR((E7-I7)/I7,"New")</f>
        <v>-2.9326424870466321E-2</v>
      </c>
    </row>
    <row r="8" spans="1:10" x14ac:dyDescent="0.2">
      <c r="A8" s="25">
        <v>7</v>
      </c>
      <c r="B8" s="27">
        <v>6</v>
      </c>
      <c r="C8" s="18" t="s">
        <v>7</v>
      </c>
      <c r="D8" t="s">
        <v>52</v>
      </c>
      <c r="E8" s="12">
        <v>9155</v>
      </c>
      <c r="F8" s="12">
        <f>SUMIFS('Week 6 Feb 3 - Feb 9 2020'!F:F,'Week 6 Feb 3 - Feb 9 2020'!D:D,'Week 7 Feb 10 - Feb 16 2020'!D:D,'Week 6 Feb 3 - Feb 9 2020'!C:C,'Week 7 Feb 10 - Feb 16 2020'!C:C)+Table36119[[#This Row],[Week Sales]]</f>
        <v>3561812</v>
      </c>
      <c r="G8" s="18" t="str">
        <f>(VLOOKUP(D:D,'Week 6 Feb 3 - Feb 9 2020'!D:G,4,FALSE))</f>
        <v>Nintendo</v>
      </c>
      <c r="H8" s="67">
        <f>(VLOOKUP(D:D,'Week 6 Feb 3 - Feb 9 2020'!D:H,5,FALSE))</f>
        <v>43441</v>
      </c>
      <c r="I8" s="12">
        <f>_xlfn.IFNA(VLOOKUP(Table36119[Title],'Week 6 Feb 3 - Feb 9 2020'!D:E, 2, FALSE),"New")</f>
        <v>9336</v>
      </c>
      <c r="J8" s="28">
        <f t="shared" si="0"/>
        <v>-1.9387317909168807E-2</v>
      </c>
    </row>
    <row r="9" spans="1:10" x14ac:dyDescent="0.2">
      <c r="A9" s="25">
        <v>8</v>
      </c>
      <c r="B9" s="27">
        <v>8</v>
      </c>
      <c r="C9" s="18" t="s">
        <v>7</v>
      </c>
      <c r="D9" t="s">
        <v>49</v>
      </c>
      <c r="E9" s="12">
        <v>8548</v>
      </c>
      <c r="F9" s="12">
        <f>SUMIFS('Week 6 Feb 3 - Feb 9 2020'!F:F,'Week 6 Feb 3 - Feb 9 2020'!D:D,'Week 7 Feb 10 - Feb 16 2020'!D:D,'Week 6 Feb 3 - Feb 9 2020'!C:C,'Week 7 Feb 10 - Feb 16 2020'!C:C)+Table36119[[#This Row],[Week Sales]]</f>
        <v>2773951</v>
      </c>
      <c r="G9" s="18" t="str">
        <f>(VLOOKUP(D:D,'Week 6 Feb 3 - Feb 9 2020'!D:G,4,FALSE))</f>
        <v>Nintendo</v>
      </c>
      <c r="H9" s="67">
        <f>(VLOOKUP(D:D,'Week 6 Feb 3 - Feb 9 2020'!D:H,5,FALSE))</f>
        <v>42853</v>
      </c>
      <c r="I9" s="12">
        <f>_xlfn.IFNA(VLOOKUP(Table36119[Title],'Week 6 Feb 3 - Feb 9 2020'!D:E, 2, FALSE),"New")</f>
        <v>8911</v>
      </c>
      <c r="J9" s="28">
        <f>IFERROR((E9-I9)/I9,"New")</f>
        <v>-4.0736168780159357E-2</v>
      </c>
    </row>
    <row r="10" spans="1:10" x14ac:dyDescent="0.2">
      <c r="A10" s="13">
        <v>9</v>
      </c>
      <c r="B10" s="13" t="s">
        <v>36</v>
      </c>
      <c r="C10" s="9" t="s">
        <v>8</v>
      </c>
      <c r="D10" s="9" t="s">
        <v>193</v>
      </c>
      <c r="E10" s="10">
        <v>7003</v>
      </c>
      <c r="F10" s="10">
        <f>SUMIFS('Week 6 Feb 3 - Feb 9 2020'!F:F,'Week 6 Feb 3 - Feb 9 2020'!D:D,'Week 7 Feb 10 - Feb 16 2020'!D:D,'Week 6 Feb 3 - Feb 9 2020'!C:C,'Week 7 Feb 10 - Feb 16 2020'!C:C)+Table36119[[#This Row],[Week Sales]]</f>
        <v>7003</v>
      </c>
      <c r="G10" s="9" t="s">
        <v>41</v>
      </c>
      <c r="H10" s="14">
        <v>43874</v>
      </c>
      <c r="I10" s="10" t="str">
        <f>_xlfn.IFNA(VLOOKUP(Table36119[Title],'Week 6 Feb 3 - Feb 9 2020'!D:E, 2, FALSE),"New")</f>
        <v>New</v>
      </c>
      <c r="J10" s="92" t="str">
        <f t="shared" ref="J10:J22" si="1">IFERROR((E10-I10)/I10,"New")</f>
        <v>New</v>
      </c>
    </row>
    <row r="11" spans="1:10" x14ac:dyDescent="0.2">
      <c r="A11" s="25">
        <v>10</v>
      </c>
      <c r="B11" s="27">
        <v>4</v>
      </c>
      <c r="C11" s="18" t="s">
        <v>8</v>
      </c>
      <c r="D11" t="s">
        <v>181</v>
      </c>
      <c r="E11" s="12">
        <v>6844</v>
      </c>
      <c r="F11" s="12">
        <f>SUMIFS('Week 6 Feb 3 - Feb 9 2020'!F:F,'Week 6 Feb 3 - Feb 9 2020'!D:D,'Week 7 Feb 10 - Feb 16 2020'!D:D,'Week 6 Feb 3 - Feb 9 2020'!C:C,'Week 7 Feb 10 - Feb 16 2020'!C:C)+Table36119[[#This Row],[Week Sales]]</f>
        <v>235303</v>
      </c>
      <c r="G11" s="18" t="str">
        <f>(VLOOKUP(D:D,'Week 6 Feb 3 - Feb 9 2020'!D:G,4,FALSE))</f>
        <v>Sega</v>
      </c>
      <c r="H11" s="67">
        <f>(VLOOKUP(D:D,'Week 6 Feb 3 - Feb 9 2020'!D:H,5,FALSE))</f>
        <v>43847</v>
      </c>
      <c r="I11" s="12">
        <f>_xlfn.IFNA(VLOOKUP(Table36119[Title],'Week 6 Feb 3 - Feb 9 2020'!D:E, 2, FALSE),"New")</f>
        <v>10589</v>
      </c>
      <c r="J11" s="28">
        <f t="shared" si="1"/>
        <v>-0.35366890169043347</v>
      </c>
    </row>
    <row r="12" spans="1:10" x14ac:dyDescent="0.2">
      <c r="A12" s="13">
        <v>11</v>
      </c>
      <c r="B12" s="13" t="s">
        <v>36</v>
      </c>
      <c r="C12" s="9" t="s">
        <v>8</v>
      </c>
      <c r="D12" s="9" t="s">
        <v>194</v>
      </c>
      <c r="E12" s="10">
        <v>6587</v>
      </c>
      <c r="F12" s="10">
        <f>SUMIFS('Week 6 Feb 3 - Feb 9 2020'!F:F,'Week 6 Feb 3 - Feb 9 2020'!D:D,'Week 7 Feb 10 - Feb 16 2020'!D:D,'Week 6 Feb 3 - Feb 9 2020'!C:C,'Week 7 Feb 10 - Feb 16 2020'!C:C)+Table36119[[#This Row],[Week Sales]]</f>
        <v>6587</v>
      </c>
      <c r="G12" s="9" t="s">
        <v>121</v>
      </c>
      <c r="H12" s="14">
        <v>43875</v>
      </c>
      <c r="I12" s="10" t="str">
        <f>_xlfn.IFNA(VLOOKUP(Table36119[Title],'Week 6 Feb 3 - Feb 9 2020'!D:E, 2, FALSE),"New")</f>
        <v>New</v>
      </c>
      <c r="J12" s="92" t="str">
        <f t="shared" si="1"/>
        <v>New</v>
      </c>
    </row>
    <row r="13" spans="1:10" x14ac:dyDescent="0.2">
      <c r="A13" s="25">
        <v>12</v>
      </c>
      <c r="B13" s="27">
        <v>10</v>
      </c>
      <c r="C13" s="18" t="s">
        <v>7</v>
      </c>
      <c r="D13" t="s">
        <v>13</v>
      </c>
      <c r="E13" s="12">
        <v>6130</v>
      </c>
      <c r="F13" s="12">
        <f>SUMIFS('Week 6 Feb 3 - Feb 9 2020'!F:F,'Week 6 Feb 3 - Feb 9 2020'!D:D,'Week 7 Feb 10 - Feb 16 2020'!D:D,'Week 6 Feb 3 - Feb 9 2020'!C:C,'Week 7 Feb 10 - Feb 16 2020'!C:C)+Table36119[[#This Row],[Week Sales]]</f>
        <v>1342407</v>
      </c>
      <c r="G13" s="18" t="str">
        <f>(VLOOKUP(D:D,'Week 6 Feb 3 - Feb 9 2020'!D:G,4,FALSE))</f>
        <v>Nintendo</v>
      </c>
      <c r="H13" s="67">
        <f>(VLOOKUP(D:D,'Week 6 Feb 3 - Feb 9 2020'!D:H,5,FALSE))</f>
        <v>43378</v>
      </c>
      <c r="I13" s="12">
        <f>_xlfn.IFNA(VLOOKUP(Table36119[Title],'Week 6 Feb 3 - Feb 9 2020'!D:E, 2, FALSE),"New")</f>
        <v>6132</v>
      </c>
      <c r="J13" s="28">
        <f t="shared" si="1"/>
        <v>-3.2615786040443573E-4</v>
      </c>
    </row>
    <row r="14" spans="1:10" x14ac:dyDescent="0.2">
      <c r="A14" s="25">
        <v>13</v>
      </c>
      <c r="B14" s="27">
        <v>9</v>
      </c>
      <c r="C14" s="18" t="s">
        <v>8</v>
      </c>
      <c r="D14" t="s">
        <v>182</v>
      </c>
      <c r="E14" s="12">
        <v>5241</v>
      </c>
      <c r="F14" s="12">
        <f>SUMIFS('Week 6 Feb 3 - Feb 9 2020'!F:F,'Week 6 Feb 3 - Feb 9 2020'!D:D,'Week 7 Feb 10 - Feb 16 2020'!D:D,'Week 6 Feb 3 - Feb 9 2020'!C:C,'Week 7 Feb 10 - Feb 16 2020'!C:C)+Table36119[[#This Row],[Week Sales]]</f>
        <v>142173</v>
      </c>
      <c r="G14" s="18" t="str">
        <f>(VLOOKUP(D:D,'Week 6 Feb 3 - Feb 9 2020'!D:G,4,FALSE))</f>
        <v>Bandai Namco</v>
      </c>
      <c r="H14" s="67">
        <f>(VLOOKUP(D:D,'Week 6 Feb 3 - Feb 9 2020'!D:H,5,FALSE))</f>
        <v>43847</v>
      </c>
      <c r="I14" s="12">
        <f>_xlfn.IFNA(VLOOKUP(Table36119[Title],'Week 6 Feb 3 - Feb 9 2020'!D:E, 2, FALSE),"New")</f>
        <v>7860</v>
      </c>
      <c r="J14" s="28">
        <f t="shared" si="1"/>
        <v>-0.333206106870229</v>
      </c>
    </row>
    <row r="15" spans="1:10" x14ac:dyDescent="0.2">
      <c r="A15" s="25">
        <v>14</v>
      </c>
      <c r="B15" s="27">
        <v>11</v>
      </c>
      <c r="C15" s="18" t="s">
        <v>7</v>
      </c>
      <c r="D15" t="s">
        <v>10</v>
      </c>
      <c r="E15" s="12">
        <v>5144</v>
      </c>
      <c r="F15" s="12">
        <f>SUMIFS('Week 6 Feb 3 - Feb 9 2020'!F:F,'Week 6 Feb 3 - Feb 9 2020'!D:D,'Week 7 Feb 10 - Feb 16 2020'!D:D,'Week 6 Feb 3 - Feb 9 2020'!C:C,'Week 7 Feb 10 - Feb 16 2020'!C:C)+Table36119[[#This Row],[Week Sales]]</f>
        <v>3316892</v>
      </c>
      <c r="G15" s="18" t="str">
        <f>(VLOOKUP(D:D,'Week 6 Feb 3 - Feb 9 2020'!D:G,4,FALSE))</f>
        <v>Nintendo</v>
      </c>
      <c r="H15" s="67">
        <f>(VLOOKUP(D:D,'Week 6 Feb 3 - Feb 9 2020'!D:H,5,FALSE))</f>
        <v>42937</v>
      </c>
      <c r="I15" s="12">
        <f>_xlfn.IFNA(VLOOKUP(Table36119[Title],'Week 6 Feb 3 - Feb 9 2020'!D:E, 2, FALSE),"New")</f>
        <v>4900</v>
      </c>
      <c r="J15" s="28">
        <f t="shared" si="1"/>
        <v>4.9795918367346939E-2</v>
      </c>
    </row>
    <row r="16" spans="1:10" x14ac:dyDescent="0.2">
      <c r="A16" s="25">
        <v>15</v>
      </c>
      <c r="B16" s="27">
        <v>12</v>
      </c>
      <c r="C16" s="18" t="s">
        <v>7</v>
      </c>
      <c r="D16" t="s">
        <v>39</v>
      </c>
      <c r="E16" s="12">
        <v>4628</v>
      </c>
      <c r="F16" s="12">
        <f>SUMIFS('Week 6 Feb 3 - Feb 9 2020'!F:F,'Week 6 Feb 3 - Feb 9 2020'!D:D,'Week 7 Feb 10 - Feb 16 2020'!D:D,'Week 6 Feb 3 - Feb 9 2020'!C:C,'Week 7 Feb 10 - Feb 16 2020'!C:C)+Table36119[[#This Row],[Week Sales]]</f>
        <v>1521100</v>
      </c>
      <c r="G16" s="18" t="str">
        <f>(VLOOKUP(D:D,'Week 6 Feb 3 - Feb 9 2020'!D:G,4,FALSE))</f>
        <v>Nintendo</v>
      </c>
      <c r="H16" s="67">
        <f>(VLOOKUP(D:D,'Week 6 Feb 3 - Feb 9 2020'!D:H,5,FALSE))</f>
        <v>42797</v>
      </c>
      <c r="I16" s="12">
        <f>_xlfn.IFNA(VLOOKUP(Table36119[Title],'Week 6 Feb 3 - Feb 9 2020'!D:E, 2, FALSE),"New")</f>
        <v>4723</v>
      </c>
      <c r="J16" s="28">
        <f t="shared" si="1"/>
        <v>-2.0114334109676054E-2</v>
      </c>
    </row>
    <row r="17" spans="1:10" x14ac:dyDescent="0.2">
      <c r="A17" s="25">
        <v>16</v>
      </c>
      <c r="B17" s="27">
        <v>13</v>
      </c>
      <c r="C17" s="18" t="s">
        <v>7</v>
      </c>
      <c r="D17" t="s">
        <v>79</v>
      </c>
      <c r="E17" s="12">
        <v>4560</v>
      </c>
      <c r="F17" s="12">
        <f>SUMIFS('Week 6 Feb 3 - Feb 9 2020'!F:F,'Week 6 Feb 3 - Feb 9 2020'!D:D,'Week 7 Feb 10 - Feb 16 2020'!D:D,'Week 6 Feb 3 - Feb 9 2020'!C:C,'Week 7 Feb 10 - Feb 16 2020'!C:C)+Table36119[[#This Row],[Week Sales]]</f>
        <v>599257</v>
      </c>
      <c r="G17" s="18" t="str">
        <f>(VLOOKUP(D:D,'Week 6 Feb 3 - Feb 9 2020'!D:G,4,FALSE))</f>
        <v>Nintendo</v>
      </c>
      <c r="H17" s="67">
        <f>(VLOOKUP(D:D,'Week 6 Feb 3 - Feb 9 2020'!D:H,5,FALSE))</f>
        <v>43769</v>
      </c>
      <c r="I17" s="12">
        <f>_xlfn.IFNA(VLOOKUP(Table36119[Title],'Week 6 Feb 3 - Feb 9 2020'!D:E, 2, FALSE),"New")</f>
        <v>4575</v>
      </c>
      <c r="J17" s="28">
        <f t="shared" si="1"/>
        <v>-3.2786885245901639E-3</v>
      </c>
    </row>
    <row r="18" spans="1:10" x14ac:dyDescent="0.2">
      <c r="A18" s="25">
        <v>17</v>
      </c>
      <c r="B18" s="27">
        <v>14</v>
      </c>
      <c r="C18" s="18" t="s">
        <v>7</v>
      </c>
      <c r="D18" t="s">
        <v>19</v>
      </c>
      <c r="E18" s="12">
        <v>4229</v>
      </c>
      <c r="F18" s="12">
        <f>SUMIFS('Week 6 Feb 3 - Feb 9 2020'!F:F,'Week 6 Feb 3 - Feb 9 2020'!D:D,'Week 7 Feb 10 - Feb 16 2020'!D:D,'Week 6 Feb 3 - Feb 9 2020'!C:C,'Week 7 Feb 10 - Feb 16 2020'!C:C)+Table36119[[#This Row],[Week Sales]]</f>
        <v>855987</v>
      </c>
      <c r="G18" s="18" t="str">
        <f>(VLOOKUP(D:D,'Week 6 Feb 3 - Feb 9 2020'!D:G,4,FALSE))</f>
        <v>Nintendo</v>
      </c>
      <c r="H18" s="67">
        <f>(VLOOKUP(D:D,'Week 6 Feb 3 - Feb 9 2020'!D:H,5,FALSE))</f>
        <v>43644</v>
      </c>
      <c r="I18" s="12">
        <f>_xlfn.IFNA(VLOOKUP(Table36119[Title],'Week 6 Feb 3 - Feb 9 2020'!D:E, 2, FALSE),"New")</f>
        <v>3854</v>
      </c>
      <c r="J18" s="28">
        <f t="shared" si="1"/>
        <v>9.7301504929942911E-2</v>
      </c>
    </row>
    <row r="19" spans="1:10" x14ac:dyDescent="0.2">
      <c r="A19" s="25">
        <v>18</v>
      </c>
      <c r="B19" s="27">
        <v>15</v>
      </c>
      <c r="C19" s="18" t="s">
        <v>7</v>
      </c>
      <c r="D19" t="s">
        <v>80</v>
      </c>
      <c r="E19" s="12">
        <v>3694</v>
      </c>
      <c r="F19" s="12">
        <f>SUMIFS('Week 6 Feb 3 - Feb 9 2020'!F:F,'Week 6 Feb 3 - Feb 9 2020'!D:D,'Week 7 Feb 10 - Feb 16 2020'!D:D,'Week 6 Feb 3 - Feb 9 2020'!C:C,'Week 7 Feb 10 - Feb 16 2020'!C:C)+Table36119[[#This Row],[Week Sales]]</f>
        <v>271911</v>
      </c>
      <c r="G19" s="18" t="str">
        <f>(VLOOKUP(D:D,'Week 6 Feb 3 - Feb 9 2020'!D:G,4,FALSE))</f>
        <v>Sega</v>
      </c>
      <c r="H19" s="67">
        <f>(VLOOKUP(D:D,'Week 6 Feb 3 - Feb 9 2020'!D:H,5,FALSE))</f>
        <v>43770</v>
      </c>
      <c r="I19" s="12">
        <f>_xlfn.IFNA(VLOOKUP(Table36119[Title],'Week 6 Feb 3 - Feb 9 2020'!D:E, 2, FALSE),"New")</f>
        <v>3582</v>
      </c>
      <c r="J19" s="28">
        <f t="shared" si="1"/>
        <v>3.1267448352875489E-2</v>
      </c>
    </row>
    <row r="20" spans="1:10" x14ac:dyDescent="0.2">
      <c r="A20" s="25">
        <v>19</v>
      </c>
      <c r="B20" s="27">
        <v>16</v>
      </c>
      <c r="C20" s="18" t="s">
        <v>7</v>
      </c>
      <c r="D20" t="s">
        <v>20</v>
      </c>
      <c r="E20" s="12">
        <v>3524</v>
      </c>
      <c r="F20" s="12">
        <f>SUMIFS('Week 6 Feb 3 - Feb 9 2020'!F:F,'Week 6 Feb 3 - Feb 9 2020'!D:D,'Week 7 Feb 10 - Feb 16 2020'!D:D,'Week 6 Feb 3 - Feb 9 2020'!C:C,'Week 7 Feb 10 - Feb 16 2020'!C:C)+Table36119[[#This Row],[Week Sales]]</f>
        <v>393054</v>
      </c>
      <c r="G20" s="18" t="str">
        <f>(VLOOKUP(D:D,'Week 6 Feb 3 - Feb 9 2020'!D:G,4,FALSE))</f>
        <v>Bandai Namco</v>
      </c>
      <c r="H20" s="67">
        <f>(VLOOKUP(D:D,'Week 6 Feb 3 - Feb 9 2020'!D:H,5,FALSE))</f>
        <v>43671</v>
      </c>
      <c r="I20" s="12">
        <f>_xlfn.IFNA(VLOOKUP(Table36119[Title],'Week 6 Feb 3 - Feb 9 2020'!D:E, 2, FALSE),"New")</f>
        <v>3564</v>
      </c>
      <c r="J20" s="28">
        <f t="shared" si="1"/>
        <v>-1.1223344556677889E-2</v>
      </c>
    </row>
    <row r="21" spans="1:10" x14ac:dyDescent="0.2">
      <c r="A21" s="25">
        <v>20</v>
      </c>
      <c r="B21" s="27">
        <v>17</v>
      </c>
      <c r="C21" s="18" t="s">
        <v>7</v>
      </c>
      <c r="D21" t="s">
        <v>17</v>
      </c>
      <c r="E21" s="12">
        <v>3202</v>
      </c>
      <c r="F21" s="12">
        <f>SUMIFS('Week 6 Feb 3 - Feb 9 2020'!F:F,'Week 6 Feb 3 - Feb 9 2020'!D:D,'Week 7 Feb 10 - Feb 16 2020'!D:D,'Week 6 Feb 3 - Feb 9 2020'!C:C,'Week 7 Feb 10 - Feb 16 2020'!C:C)+Table36119[[#This Row],[Week Sales]]</f>
        <v>781014</v>
      </c>
      <c r="G21" s="18" t="str">
        <f>(VLOOKUP(D:D,'Week 6 Feb 3 - Feb 9 2020'!D:G,4,FALSE))</f>
        <v>Nintendo</v>
      </c>
      <c r="H21" s="67">
        <f>(VLOOKUP(D:D,'Week 6 Feb 3 - Feb 9 2020'!D:H,5,FALSE))</f>
        <v>43476</v>
      </c>
      <c r="I21" s="12">
        <f>_xlfn.IFNA(VLOOKUP(Table36119[Title],'Week 6 Feb 3 - Feb 9 2020'!D:E, 2, FALSE),"New")</f>
        <v>3089</v>
      </c>
      <c r="J21" s="28">
        <f t="shared" si="1"/>
        <v>3.6581417934606668E-2</v>
      </c>
    </row>
    <row r="22" spans="1:10" x14ac:dyDescent="0.2">
      <c r="A22" s="25">
        <v>21</v>
      </c>
      <c r="B22" s="27">
        <v>18</v>
      </c>
      <c r="C22" s="18" t="s">
        <v>7</v>
      </c>
      <c r="D22" t="s">
        <v>83</v>
      </c>
      <c r="E22" s="12">
        <v>2589</v>
      </c>
      <c r="F22" s="12">
        <f>SUMIFS('Week 6 Feb 3 - Feb 9 2020'!F:F,'Week 6 Feb 3 - Feb 9 2020'!D:D,'Week 7 Feb 10 - Feb 16 2020'!D:D,'Week 6 Feb 3 - Feb 9 2020'!C:C,'Week 7 Feb 10 - Feb 16 2020'!C:C)+Table36119[[#This Row],[Week Sales]]</f>
        <v>487981</v>
      </c>
      <c r="G22" s="18" t="str">
        <f>(VLOOKUP(D:D,'Week 6 Feb 3 - Feb 9 2020'!D:G,4,FALSE))</f>
        <v>Square Enix</v>
      </c>
      <c r="H22" s="67">
        <f>(VLOOKUP(D:D,'Week 6 Feb 3 - Feb 9 2020'!D:H,5,FALSE))</f>
        <v>43735</v>
      </c>
      <c r="I22" s="12">
        <f>_xlfn.IFNA(VLOOKUP(Table36119[Title],'Week 6 Feb 3 - Feb 9 2020'!D:E, 2, FALSE),"New")</f>
        <v>2559</v>
      </c>
      <c r="J22" s="28">
        <f t="shared" si="1"/>
        <v>1.1723329425556858E-2</v>
      </c>
    </row>
    <row r="23" spans="1:10" x14ac:dyDescent="0.2">
      <c r="A23" s="25">
        <v>22</v>
      </c>
      <c r="B23" s="27">
        <v>21</v>
      </c>
      <c r="C23" s="18" t="s">
        <v>7</v>
      </c>
      <c r="D23" t="s">
        <v>25</v>
      </c>
      <c r="E23" s="12">
        <v>2121</v>
      </c>
      <c r="F23" s="12">
        <f>SUMIFS('Week 6 Feb 3 - Feb 9 2020'!F:F,'Week 6 Feb 3 - Feb 9 2020'!D:D,'Week 7 Feb 10 - Feb 16 2020'!D:D,'Week 6 Feb 3 - Feb 9 2020'!C:C,'Week 7 Feb 10 - Feb 16 2020'!C:C)+Table36119[[#This Row],[Week Sales]]</f>
        <v>445326</v>
      </c>
      <c r="G23" s="18" t="str">
        <f>(VLOOKUP(D:D,'Week 6 Feb 3 - Feb 9 2020'!D:G,4,FALSE))</f>
        <v>Bandai Namco</v>
      </c>
      <c r="H23" s="67">
        <f>(VLOOKUP(D:D,'Week 6 Feb 3 - Feb 9 2020'!D:H,5,FALSE))</f>
        <v>43300</v>
      </c>
      <c r="I23" s="12">
        <f>_xlfn.IFNA(VLOOKUP(Table36119[Title],'Week 6 Feb 3 - Feb 9 2020'!D:E, 2, FALSE),"New")</f>
        <v>1851</v>
      </c>
      <c r="J23" s="28">
        <f>IFERROR((E23-I23)/I23,"New")</f>
        <v>0.14586709886547811</v>
      </c>
    </row>
    <row r="24" spans="1:10" x14ac:dyDescent="0.2">
      <c r="A24" s="25">
        <v>23</v>
      </c>
      <c r="B24" s="27">
        <v>28</v>
      </c>
      <c r="C24" s="18" t="s">
        <v>7</v>
      </c>
      <c r="D24" t="s">
        <v>93</v>
      </c>
      <c r="E24" s="12">
        <v>2074</v>
      </c>
      <c r="F24" s="12">
        <f>SUMIFS('Week 6 Feb 3 - Feb 9 2020'!F:F,'Week 6 Feb 3 - Feb 9 2020'!D:D,'Week 7 Feb 10 - Feb 16 2020'!D:D,'Week 6 Feb 3 - Feb 9 2020'!C:C,'Week 7 Feb 10 - Feb 16 2020'!C:C)+Table36119[[#This Row],[Week Sales]]</f>
        <v>1701325</v>
      </c>
      <c r="G24" s="18" t="str">
        <f>(VLOOKUP(D:D,'Week 6 Feb 3 - Feb 9 2020'!D:G,4,FALSE))</f>
        <v>The Pokemon Company</v>
      </c>
      <c r="H24" s="67">
        <f>(VLOOKUP(D:D,'Week 6 Feb 3 - Feb 9 2020'!D:H,5,FALSE))</f>
        <v>43420</v>
      </c>
      <c r="I24" s="12">
        <f>_xlfn.IFNA(VLOOKUP(Table36119[Title],'Week 6 Feb 3 - Feb 9 2020'!D:E, 2, FALSE),"New")</f>
        <v>1457</v>
      </c>
      <c r="J24" s="28">
        <f>IFERROR((E24-I24)/I24,"New")</f>
        <v>0.4234728894989705</v>
      </c>
    </row>
    <row r="25" spans="1:10" x14ac:dyDescent="0.2">
      <c r="A25" s="25">
        <v>24</v>
      </c>
      <c r="B25" s="27">
        <v>23</v>
      </c>
      <c r="C25" s="18" t="s">
        <v>7</v>
      </c>
      <c r="D25" t="s">
        <v>26</v>
      </c>
      <c r="E25" s="12">
        <v>2062</v>
      </c>
      <c r="F25" s="12">
        <f>SUMIFS('Week 6 Feb 3 - Feb 9 2020'!F:F,'Week 6 Feb 3 - Feb 9 2020'!D:D,'Week 7 Feb 10 - Feb 16 2020'!D:D,'Week 6 Feb 3 - Feb 9 2020'!C:C,'Week 7 Feb 10 - Feb 16 2020'!C:C)+Table36119[[#This Row],[Week Sales]]</f>
        <v>2070726</v>
      </c>
      <c r="G25" s="18" t="str">
        <f>(VLOOKUP(D:D,'Week 6 Feb 3 - Feb 9 2020'!D:G,4,FALSE))</f>
        <v>Nintendo</v>
      </c>
      <c r="H25" s="67">
        <f>(VLOOKUP(D:D,'Week 6 Feb 3 - Feb 9 2020'!D:H,5,FALSE))</f>
        <v>43035</v>
      </c>
      <c r="I25" s="12">
        <f>_xlfn.IFNA(VLOOKUP(Table36119[Title],'Week 6 Feb 3 - Feb 9 2020'!D:E, 2, FALSE),"New")</f>
        <v>1787</v>
      </c>
      <c r="J25" s="28">
        <f t="shared" ref="J25:J30" si="2">IFERROR((E25-I25)/I25,"New")</f>
        <v>0.15388919977616117</v>
      </c>
    </row>
    <row r="26" spans="1:10" x14ac:dyDescent="0.2">
      <c r="A26" s="25">
        <v>25</v>
      </c>
      <c r="B26" s="27">
        <v>20</v>
      </c>
      <c r="C26" s="18" t="s">
        <v>8</v>
      </c>
      <c r="D26" t="s">
        <v>117</v>
      </c>
      <c r="E26" s="12">
        <v>1921</v>
      </c>
      <c r="F26" s="12">
        <f>SUMIFS('Week 6 Feb 3 - Feb 9 2020'!F:F,'Week 6 Feb 3 - Feb 9 2020'!D:D,'Week 7 Feb 10 - Feb 16 2020'!D:D,'Week 6 Feb 3 - Feb 9 2020'!C:C,'Week 7 Feb 10 - Feb 16 2020'!C:C)+Table36119[[#This Row],[Week Sales]]</f>
        <v>67496</v>
      </c>
      <c r="G26" s="18" t="str">
        <f>(VLOOKUP(D:D,'Week 6 Feb 3 - Feb 9 2020'!D:G,4,FALSE))</f>
        <v>Atlus</v>
      </c>
      <c r="H26" s="67">
        <f>(VLOOKUP(D:D,'Week 6 Feb 3 - Feb 9 2020'!D:H,5,FALSE))</f>
        <v>43797</v>
      </c>
      <c r="I26" s="12">
        <f>_xlfn.IFNA(VLOOKUP(Table36119[Title],'Week 6 Feb 3 - Feb 9 2020'!D:E, 2, FALSE),"New")</f>
        <v>2160</v>
      </c>
      <c r="J26" s="28">
        <f t="shared" si="2"/>
        <v>-0.11064814814814815</v>
      </c>
    </row>
    <row r="27" spans="1:10" x14ac:dyDescent="0.2">
      <c r="A27" s="25">
        <v>26</v>
      </c>
      <c r="B27" s="27">
        <v>22</v>
      </c>
      <c r="C27" s="18" t="s">
        <v>7</v>
      </c>
      <c r="D27" t="s">
        <v>185</v>
      </c>
      <c r="E27" s="12">
        <v>1826</v>
      </c>
      <c r="F27" s="12">
        <f>SUMIFS('Week 6 Feb 3 - Feb 9 2020'!F:F,'Week 6 Feb 3 - Feb 9 2020'!D:D,'Week 7 Feb 10 - Feb 16 2020'!D:D,'Week 6 Feb 3 - Feb 9 2020'!C:C,'Week 7 Feb 10 - Feb 16 2020'!C:C)+Table36119[[#This Row],[Week Sales]]</f>
        <v>289042</v>
      </c>
      <c r="G27" s="18" t="str">
        <f>(VLOOKUP(D:D,'Week 6 Feb 3 - Feb 9 2020'!D:G,4,FALSE))</f>
        <v>Nintendo</v>
      </c>
      <c r="H27" s="67">
        <f>(VLOOKUP(D:D,'Week 6 Feb 3 - Feb 9 2020'!D:H,5,FALSE))</f>
        <v>43672</v>
      </c>
      <c r="I27" s="12">
        <f>_xlfn.IFNA(VLOOKUP(Table36119[Title],'Week 6 Feb 3 - Feb 9 2020'!D:E, 2, FALSE),"New")</f>
        <v>1824</v>
      </c>
      <c r="J27" s="28">
        <f>IFERROR((E27-I27)/I27,"New")</f>
        <v>1.0964912280701754E-3</v>
      </c>
    </row>
    <row r="28" spans="1:10" x14ac:dyDescent="0.2">
      <c r="A28" s="25">
        <v>27</v>
      </c>
      <c r="B28" s="27">
        <v>27</v>
      </c>
      <c r="C28" s="18" t="s">
        <v>8</v>
      </c>
      <c r="D28" t="s">
        <v>99</v>
      </c>
      <c r="E28" s="12">
        <v>1809</v>
      </c>
      <c r="F28" s="12">
        <f>SUMIFS('Week 6 Feb 3 - Feb 9 2020'!F:F,'Week 6 Feb 3 - Feb 9 2020'!D:D,'Week 7 Feb 10 - Feb 16 2020'!D:D,'Week 6 Feb 3 - Feb 9 2020'!C:C,'Week 7 Feb 10 - Feb 16 2020'!C:C)+Table36119[[#This Row],[Week Sales]]</f>
        <v>434121</v>
      </c>
      <c r="G28" s="18" t="str">
        <f>(VLOOKUP(D:D,'Week 6 Feb 3 - Feb 9 2020'!D:G,4,FALSE))</f>
        <v>Capcom</v>
      </c>
      <c r="H28" s="67">
        <f>(VLOOKUP(D:D,'Week 6 Feb 3 - Feb 9 2020'!D:H,5,FALSE))</f>
        <v>43714</v>
      </c>
      <c r="I28" s="12">
        <f>_xlfn.IFNA(VLOOKUP(Table36119[Title],'Week 6 Feb 3 - Feb 9 2020'!D:E, 2, FALSE),"New")</f>
        <v>1499</v>
      </c>
      <c r="J28" s="28">
        <f t="shared" si="2"/>
        <v>0.20680453635757171</v>
      </c>
    </row>
    <row r="29" spans="1:10" x14ac:dyDescent="0.2">
      <c r="A29" s="25">
        <v>28</v>
      </c>
      <c r="B29" s="27">
        <v>19</v>
      </c>
      <c r="C29" s="18" t="s">
        <v>8</v>
      </c>
      <c r="D29" t="s">
        <v>180</v>
      </c>
      <c r="E29" s="12">
        <v>1776</v>
      </c>
      <c r="F29" s="12">
        <f>SUMIFS('Week 6 Feb 3 - Feb 9 2020'!F:F,'Week 6 Feb 3 - Feb 9 2020'!D:D,'Week 7 Feb 10 - Feb 16 2020'!D:D,'Week 6 Feb 3 - Feb 9 2020'!C:C,'Week 7 Feb 10 - Feb 16 2020'!C:C)+Table36119[[#This Row],[Week Sales]]</f>
        <v>33644</v>
      </c>
      <c r="G29" s="18" t="str">
        <f>(VLOOKUP(D:D,'Week 6 Feb 3 - Feb 9 2020'!D:G,4,FALSE))</f>
        <v>Koei Tecmo</v>
      </c>
      <c r="H29" s="67">
        <f>(VLOOKUP(D:D,'Week 6 Feb 3 - Feb 9 2020'!D:H,5,FALSE))</f>
        <v>43847</v>
      </c>
      <c r="I29" s="12">
        <f>_xlfn.IFNA(VLOOKUP(Table36119[Title],'Week 6 Feb 3 - Feb 9 2020'!D:E, 2, FALSE),"New")</f>
        <v>2496</v>
      </c>
      <c r="J29" s="28">
        <f>IFERROR((E29-I29)/I29,"New")</f>
        <v>-0.28846153846153844</v>
      </c>
    </row>
    <row r="30" spans="1:10" x14ac:dyDescent="0.2">
      <c r="A30" s="25">
        <v>29</v>
      </c>
      <c r="B30" s="27">
        <v>24</v>
      </c>
      <c r="C30" s="18" t="s">
        <v>8</v>
      </c>
      <c r="D30" t="s">
        <v>187</v>
      </c>
      <c r="E30" s="12">
        <v>1688</v>
      </c>
      <c r="F30" s="12">
        <f>SUMIFS('Week 6 Feb 3 - Feb 9 2020'!F:F,'Week 6 Feb 3 - Feb 9 2020'!D:D,'Week 7 Feb 10 - Feb 16 2020'!D:D,'Week 6 Feb 3 - Feb 9 2020'!C:C,'Week 7 Feb 10 - Feb 16 2020'!C:C)+Table36119[[#This Row],[Week Sales]]</f>
        <v>19927</v>
      </c>
      <c r="G30" s="18" t="str">
        <f>(VLOOKUP(D:D,'Week 6 Feb 3 - Feb 9 2020'!D:G,4,FALSE))</f>
        <v>Rockstar Games</v>
      </c>
      <c r="H30" s="67">
        <f>(VLOOKUP(D:D,'Week 6 Feb 3 - Feb 9 2020'!D:H,5,FALSE))</f>
        <v>43440</v>
      </c>
      <c r="I30" s="12">
        <f>_xlfn.IFNA(VLOOKUP(Table36119[Title],'Week 6 Feb 3 - Feb 9 2020'!D:E, 2, FALSE),"New")</f>
        <v>1657</v>
      </c>
      <c r="J30" s="28">
        <f t="shared" si="2"/>
        <v>1.8708509354254676E-2</v>
      </c>
    </row>
    <row r="31" spans="1:10" x14ac:dyDescent="0.2">
      <c r="A31" s="25">
        <v>30</v>
      </c>
      <c r="B31" s="27">
        <v>26</v>
      </c>
      <c r="C31" s="18" t="s">
        <v>7</v>
      </c>
      <c r="D31" t="s">
        <v>89</v>
      </c>
      <c r="E31" s="12">
        <v>1559</v>
      </c>
      <c r="F31" s="12">
        <f>SUMIFS('Week 6 Feb 3 - Feb 9 2020'!F:F,'Week 6 Feb 3 - Feb 9 2020'!D:D,'Week 7 Feb 10 - Feb 16 2020'!D:D,'Week 6 Feb 3 - Feb 9 2020'!C:C,'Week 7 Feb 10 - Feb 16 2020'!C:C)+Table36119[[#This Row],[Week Sales]]</f>
        <v>135061</v>
      </c>
      <c r="G31" s="18" t="str">
        <f>(VLOOKUP(D:D,'Week 6 Feb 3 - Feb 9 2020'!D:G,4,FALSE))</f>
        <v>Marvelous</v>
      </c>
      <c r="H31" s="67">
        <f>(VLOOKUP(D:D,'Week 6 Feb 3 - Feb 9 2020'!D:H,5,FALSE))</f>
        <v>43755</v>
      </c>
      <c r="I31" s="12">
        <f>_xlfn.IFNA(VLOOKUP(Table36119[Title],'Week 6 Feb 3 - Feb 9 2020'!D:E, 2, FALSE),"New")</f>
        <v>1533</v>
      </c>
      <c r="J31" s="28">
        <f>IFERROR((E31-I31)/I31,"New")</f>
        <v>1.6960208741030658E-2</v>
      </c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219099</v>
      </c>
      <c r="F33" s="2"/>
      <c r="I33" s="2"/>
      <c r="J33" s="19"/>
    </row>
    <row r="34" spans="1:10" x14ac:dyDescent="0.2">
      <c r="A34" s="3"/>
      <c r="B34" s="3"/>
      <c r="D34" s="100" t="s">
        <v>178</v>
      </c>
      <c r="E34" s="101">
        <f>SUM('Week 6 Feb 3 - Feb 9 2020'!E34,'Week 7 Feb 10 - Feb 16 2020'!E33)</f>
        <v>2477861</v>
      </c>
      <c r="F34" s="2"/>
      <c r="I34" s="2"/>
      <c r="J34" s="19"/>
    </row>
    <row r="35" spans="1:10" x14ac:dyDescent="0.2">
      <c r="A35" s="3"/>
      <c r="B35" s="3"/>
      <c r="D35" s="2" t="s">
        <v>60</v>
      </c>
      <c r="E35" s="2">
        <f>AVERAGE(E2:E31)</f>
        <v>7303.3</v>
      </c>
      <c r="F35" s="2"/>
      <c r="I35" s="2"/>
      <c r="J35" s="19"/>
    </row>
    <row r="36" spans="1:10" x14ac:dyDescent="0.2">
      <c r="A36" s="3"/>
      <c r="B36" s="3"/>
      <c r="D36" s="9" t="s">
        <v>78</v>
      </c>
      <c r="E36" s="10">
        <f>COUNTIF(B:B,"New")</f>
        <v>3</v>
      </c>
      <c r="F36" s="2"/>
      <c r="I36" s="2"/>
      <c r="J36" s="19"/>
    </row>
    <row r="37" spans="1:10" x14ac:dyDescent="0.2">
      <c r="A37" s="3"/>
      <c r="B37" s="3"/>
      <c r="E37" s="2"/>
      <c r="F37" s="2"/>
      <c r="I37" s="2"/>
      <c r="J37" s="19"/>
    </row>
    <row r="38" spans="1:10" x14ac:dyDescent="0.2">
      <c r="A38" s="3"/>
      <c r="B38" s="3"/>
      <c r="D38" t="s">
        <v>66</v>
      </c>
      <c r="E38" s="2"/>
      <c r="F38" s="2"/>
      <c r="I38" s="2"/>
      <c r="J38" s="19"/>
    </row>
    <row r="39" spans="1:10" x14ac:dyDescent="0.2">
      <c r="A39" s="3"/>
      <c r="B39" s="3"/>
      <c r="D39" s="8" t="s">
        <v>67</v>
      </c>
      <c r="E39" s="2"/>
      <c r="F39" s="2"/>
      <c r="I39" s="2"/>
      <c r="J39" s="19"/>
    </row>
    <row r="40" spans="1:10" x14ac:dyDescent="0.2">
      <c r="A40" s="3"/>
      <c r="B40" s="3"/>
      <c r="D40" s="8" t="s">
        <v>65</v>
      </c>
      <c r="E40" s="2"/>
      <c r="F40" s="2"/>
      <c r="I40" s="2"/>
      <c r="J40" s="19"/>
    </row>
    <row r="41" spans="1:10" x14ac:dyDescent="0.2">
      <c r="D41" s="8" t="s">
        <v>71</v>
      </c>
      <c r="E41" s="2"/>
    </row>
  </sheetData>
  <hyperlinks>
    <hyperlink ref="D40" r:id="rId1" xr:uid="{43F4A075-EB3D-144A-8C66-A0F9017021EF}"/>
    <hyperlink ref="D41" r:id="rId2" xr:uid="{EBA91C63-E3D3-224D-9A90-1E4E1A212968}"/>
    <hyperlink ref="D39" r:id="rId3" xr:uid="{5F96281F-C0B9-3341-9B18-B58BB85E4A1F}"/>
  </hyperlinks>
  <pageMargins left="0.7" right="0.7" top="0.75" bottom="0.75" header="0.3" footer="0.3"/>
  <pageSetup paperSize="9" orientation="portrait" horizontalDpi="0" verticalDpi="0"/>
  <ignoredErrors>
    <ignoredError sqref="G10:G12 G2" calculatedColumn="1"/>
  </ignoredErrors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75386-67FE-5741-B481-8A3D9C16FB9B}">
  <dimension ref="A1:J41"/>
  <sheetViews>
    <sheetView workbookViewId="0">
      <selection activeCell="D8" sqref="D8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3.8320312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0" x14ac:dyDescent="0.2">
      <c r="A2" s="13">
        <v>1</v>
      </c>
      <c r="B2" s="13" t="s">
        <v>36</v>
      </c>
      <c r="C2" s="9" t="s">
        <v>8</v>
      </c>
      <c r="D2" s="9" t="s">
        <v>195</v>
      </c>
      <c r="E2" s="10">
        <v>115995</v>
      </c>
      <c r="F2" s="10">
        <f>SUMIFS('Week 7 Feb 10 - Feb 16 2020'!F:F,'Week 7 Feb 10 - Feb 16 2020'!D:D,'Week 8 Feb 17 - Feb 23 2020'!D:D,'Week 7 Feb 10 - Feb 16 2020'!C:C,'Week 8 Feb 17 - Feb 23 2020'!C:C)+Table3611910[[#This Row],[Week Sales]]</f>
        <v>115995</v>
      </c>
      <c r="G2" s="9" t="s">
        <v>118</v>
      </c>
      <c r="H2" s="14">
        <v>43881</v>
      </c>
      <c r="I2" s="10" t="str">
        <f>_xlfn.IFNA(VLOOKUP(Table3611910[Title],'Week 7 Feb 10 - Feb 16 2020'!D:E, 2, FALSE),"New")</f>
        <v>New</v>
      </c>
      <c r="J2" s="92" t="str">
        <f>IFERROR((E2-I2)/I2,"New")</f>
        <v>New</v>
      </c>
    </row>
    <row r="3" spans="1:10" x14ac:dyDescent="0.2">
      <c r="A3" s="13">
        <v>2</v>
      </c>
      <c r="B3" s="13" t="s">
        <v>36</v>
      </c>
      <c r="C3" s="9" t="s">
        <v>7</v>
      </c>
      <c r="D3" s="9" t="s">
        <v>195</v>
      </c>
      <c r="E3" s="10">
        <v>46415</v>
      </c>
      <c r="F3" s="10">
        <f>SUMIFS('Week 7 Feb 10 - Feb 16 2020'!F:F,'Week 7 Feb 10 - Feb 16 2020'!D:D,'Week 8 Feb 17 - Feb 23 2020'!D:D,'Week 7 Feb 10 - Feb 16 2020'!C:C,'Week 8 Feb 17 - Feb 23 2020'!C:C)+Table3611910[[#This Row],[Week Sales]]</f>
        <v>46415</v>
      </c>
      <c r="G3" s="9" t="s">
        <v>118</v>
      </c>
      <c r="H3" s="14">
        <v>43881</v>
      </c>
      <c r="I3" s="10" t="str">
        <f>_xlfn.IFNA(VLOOKUP(Table3611910[Title],'Week 7 Feb 10 - Feb 16 2020'!D:E, 2, FALSE),"New")</f>
        <v>New</v>
      </c>
      <c r="J3" s="92" t="str">
        <f t="shared" ref="J3:J8" si="0">IFERROR((E3-I3)/I3,"New")</f>
        <v>New</v>
      </c>
    </row>
    <row r="4" spans="1:10" x14ac:dyDescent="0.2">
      <c r="A4" s="25">
        <v>3</v>
      </c>
      <c r="B4" s="27">
        <v>2</v>
      </c>
      <c r="C4" s="18" t="s">
        <v>7</v>
      </c>
      <c r="D4" t="s">
        <v>62</v>
      </c>
      <c r="E4" s="12">
        <v>18403</v>
      </c>
      <c r="F4" s="12">
        <f>SUMIFS('Week 7 Feb 10 - Feb 16 2020'!F:F,'Week 7 Feb 10 - Feb 16 2020'!D:D,'Week 8 Feb 17 - Feb 23 2020'!D:D,'Week 7 Feb 10 - Feb 16 2020'!C:C,'Week 8 Feb 17 - Feb 23 2020'!C:C)+Table3611910[[#This Row],[Week Sales]]</f>
        <v>3445788</v>
      </c>
      <c r="G4" s="18" t="str">
        <f>(VLOOKUP(D:D,'Week 7 Feb 10 - Feb 16 2020'!D:G,4,FALSE))</f>
        <v>The Pokemon Company</v>
      </c>
      <c r="H4" s="67">
        <f>(VLOOKUP(D:D,'Week 7 Feb 10 - Feb 16 2020'!D:H,5,FALSE))</f>
        <v>43784</v>
      </c>
      <c r="I4" s="12">
        <f>_xlfn.IFNA(VLOOKUP(Table3611910[Title],'Week 7 Feb 10 - Feb 16 2020'!D:E, 2, FALSE),"New")</f>
        <v>24534</v>
      </c>
      <c r="J4" s="28">
        <f t="shared" si="0"/>
        <v>-0.24989810059509251</v>
      </c>
    </row>
    <row r="5" spans="1:10" x14ac:dyDescent="0.2">
      <c r="A5" s="13">
        <v>4</v>
      </c>
      <c r="B5" s="13" t="s">
        <v>36</v>
      </c>
      <c r="C5" s="9" t="s">
        <v>8</v>
      </c>
      <c r="D5" s="9" t="s">
        <v>196</v>
      </c>
      <c r="E5" s="10">
        <v>10654</v>
      </c>
      <c r="F5" s="10">
        <f>SUMIFS('Week 7 Feb 10 - Feb 16 2020'!F:F,'Week 7 Feb 10 - Feb 16 2020'!D:D,'Week 8 Feb 17 - Feb 23 2020'!D:D,'Week 7 Feb 10 - Feb 16 2020'!C:C,'Week 8 Feb 17 - Feb 23 2020'!C:C)+Table3611910[[#This Row],[Week Sales]]</f>
        <v>10654</v>
      </c>
      <c r="G5" s="9" t="s">
        <v>130</v>
      </c>
      <c r="H5" s="14">
        <v>43881</v>
      </c>
      <c r="I5" s="10" t="str">
        <f>_xlfn.IFNA(VLOOKUP(Table3611910[Title],'Week 7 Feb 10 - Feb 16 2020'!D:E, 2, FALSE),"New")</f>
        <v>New</v>
      </c>
      <c r="J5" s="92" t="str">
        <f>IFERROR((E5-I5)/I5,"New")</f>
        <v>New</v>
      </c>
    </row>
    <row r="6" spans="1:10" x14ac:dyDescent="0.2">
      <c r="A6" s="25">
        <v>5</v>
      </c>
      <c r="B6" s="27">
        <v>5</v>
      </c>
      <c r="C6" s="18" t="s">
        <v>7</v>
      </c>
      <c r="D6" t="s">
        <v>45</v>
      </c>
      <c r="E6" s="12">
        <v>9861</v>
      </c>
      <c r="F6" s="12">
        <f>SUMIFS('Week 7 Feb 10 - Feb 16 2020'!F:F,'Week 7 Feb 10 - Feb 16 2020'!D:D,'Week 8 Feb 17 - Feb 23 2020'!D:D,'Week 7 Feb 10 - Feb 16 2020'!C:C,'Week 8 Feb 17 - Feb 23 2020'!C:C)+Table3611910[[#This Row],[Week Sales]]</f>
        <v>696005</v>
      </c>
      <c r="G6" s="18" t="str">
        <f>(VLOOKUP(D:D,'Week 7 Feb 10 - Feb 16 2020'!D:G,4,FALSE))</f>
        <v>Nintendo</v>
      </c>
      <c r="H6" s="67">
        <f>(VLOOKUP(D:D,'Week 7 Feb 10 - Feb 16 2020'!D:H,5,FALSE))</f>
        <v>43756</v>
      </c>
      <c r="I6" s="12">
        <f>_xlfn.IFNA(VLOOKUP(Table3611910[Title],'Week 7 Feb 10 - Feb 16 2020'!D:E, 2, FALSE),"New")</f>
        <v>10238</v>
      </c>
      <c r="J6" s="28">
        <f t="shared" si="0"/>
        <v>-3.68235983590545E-2</v>
      </c>
    </row>
    <row r="7" spans="1:10" x14ac:dyDescent="0.2">
      <c r="A7" s="25">
        <v>6</v>
      </c>
      <c r="B7" s="27">
        <v>4</v>
      </c>
      <c r="C7" s="18" t="s">
        <v>7</v>
      </c>
      <c r="D7" t="s">
        <v>12</v>
      </c>
      <c r="E7" s="12">
        <v>8687</v>
      </c>
      <c r="F7" s="12">
        <f>SUMIFS('Week 7 Feb 10 - Feb 16 2020'!F:F,'Week 7 Feb 10 - Feb 16 2020'!D:D,'Week 8 Feb 17 - Feb 23 2020'!D:D,'Week 7 Feb 10 - Feb 16 2020'!C:C,'Week 8 Feb 17 - Feb 23 2020'!C:C)+Table3611910[[#This Row],[Week Sales]]</f>
        <v>1272585</v>
      </c>
      <c r="G7" s="18" t="str">
        <f>(VLOOKUP(D:D,'Week 7 Feb 10 - Feb 16 2020'!D:G,4,FALSE))</f>
        <v>Microsoft</v>
      </c>
      <c r="H7" s="67">
        <f>(VLOOKUP(D:D,'Week 7 Feb 10 - Feb 16 2020'!D:H,5,FALSE))</f>
        <v>43272</v>
      </c>
      <c r="I7" s="12">
        <f>_xlfn.IFNA(VLOOKUP(Table3611910[Title],'Week 7 Feb 10 - Feb 16 2020'!D:E, 2, FALSE),"New")</f>
        <v>11275</v>
      </c>
      <c r="J7" s="28">
        <f>IFERROR((E7-I7)/I7,"New")</f>
        <v>-0.22953436807095343</v>
      </c>
    </row>
    <row r="8" spans="1:10" x14ac:dyDescent="0.2">
      <c r="A8" s="25">
        <v>7</v>
      </c>
      <c r="B8" s="27">
        <v>1</v>
      </c>
      <c r="C8" s="18" t="s">
        <v>7</v>
      </c>
      <c r="D8" t="s">
        <v>192</v>
      </c>
      <c r="E8" s="12">
        <v>8468</v>
      </c>
      <c r="F8" s="12">
        <f>SUMIFS('Week 7 Feb 10 - Feb 16 2020'!F:F,'Week 7 Feb 10 - Feb 16 2020'!D:D,'Week 8 Feb 17 - Feb 23 2020'!D:D,'Week 7 Feb 10 - Feb 16 2020'!C:C,'Week 8 Feb 17 - Feb 23 2020'!C:C)+Table3611910[[#This Row],[Week Sales]]</f>
        <v>62074</v>
      </c>
      <c r="G8" s="18" t="str">
        <f>(VLOOKUP(D:D,'Week 7 Feb 10 - Feb 16 2020'!D:G,4,FALSE))</f>
        <v>Sega</v>
      </c>
      <c r="H8" s="67">
        <f>(VLOOKUP(D:D,'Week 7 Feb 10 - Feb 16 2020'!D:H,5,FALSE))</f>
        <v>43874</v>
      </c>
      <c r="I8" s="12">
        <f>_xlfn.IFNA(VLOOKUP(Table3611910[Title],'Week 7 Feb 10 - Feb 16 2020'!D:E, 2, FALSE),"New")</f>
        <v>53606</v>
      </c>
      <c r="J8" s="28">
        <f t="shared" si="0"/>
        <v>-0.84203260829011672</v>
      </c>
    </row>
    <row r="9" spans="1:10" x14ac:dyDescent="0.2">
      <c r="A9" s="25">
        <v>8</v>
      </c>
      <c r="B9" s="27">
        <v>7</v>
      </c>
      <c r="C9" s="18" t="s">
        <v>7</v>
      </c>
      <c r="D9" t="s">
        <v>52</v>
      </c>
      <c r="E9" s="12">
        <v>7608</v>
      </c>
      <c r="F9" s="12">
        <f>SUMIFS('Week 7 Feb 10 - Feb 16 2020'!F:F,'Week 7 Feb 10 - Feb 16 2020'!D:D,'Week 8 Feb 17 - Feb 23 2020'!D:D,'Week 7 Feb 10 - Feb 16 2020'!C:C,'Week 8 Feb 17 - Feb 23 2020'!C:C)+Table3611910[[#This Row],[Week Sales]]</f>
        <v>3569420</v>
      </c>
      <c r="G9" s="18" t="str">
        <f>(VLOOKUP(D:D,'Week 7 Feb 10 - Feb 16 2020'!D:G,4,FALSE))</f>
        <v>Nintendo</v>
      </c>
      <c r="H9" s="67">
        <f>(VLOOKUP(D:D,'Week 7 Feb 10 - Feb 16 2020'!D:H,5,FALSE))</f>
        <v>43441</v>
      </c>
      <c r="I9" s="12">
        <f>_xlfn.IFNA(VLOOKUP(Table3611910[Title],'Week 7 Feb 10 - Feb 16 2020'!D:E, 2, FALSE),"New")</f>
        <v>9155</v>
      </c>
      <c r="J9" s="28">
        <f>IFERROR((E9-I9)/I9,"New")</f>
        <v>-0.16897870016384489</v>
      </c>
    </row>
    <row r="10" spans="1:10" x14ac:dyDescent="0.2">
      <c r="A10" s="13">
        <v>9</v>
      </c>
      <c r="B10" s="13" t="s">
        <v>36</v>
      </c>
      <c r="C10" s="9" t="s">
        <v>7</v>
      </c>
      <c r="D10" s="9" t="s">
        <v>196</v>
      </c>
      <c r="E10" s="10">
        <v>7392</v>
      </c>
      <c r="F10" s="10">
        <f>SUMIFS('Week 7 Feb 10 - Feb 16 2020'!F:F,'Week 7 Feb 10 - Feb 16 2020'!D:D,'Week 8 Feb 17 - Feb 23 2020'!D:D,'Week 7 Feb 10 - Feb 16 2020'!C:C,'Week 8 Feb 17 - Feb 23 2020'!C:C)+Table3611910[[#This Row],[Week Sales]]</f>
        <v>7392</v>
      </c>
      <c r="G10" s="9" t="s">
        <v>130</v>
      </c>
      <c r="H10" s="102">
        <v>43881</v>
      </c>
      <c r="I10" s="10" t="str">
        <f>_xlfn.IFNA(VLOOKUP(Table3611910[Title],'Week 7 Feb 10 - Feb 16 2020'!D:E, 2, FALSE),"New")</f>
        <v>New</v>
      </c>
      <c r="J10" s="92" t="str">
        <f t="shared" ref="J10:J22" si="1">IFERROR((E10-I10)/I10,"New")</f>
        <v>New</v>
      </c>
    </row>
    <row r="11" spans="1:10" x14ac:dyDescent="0.2">
      <c r="A11" s="25">
        <v>10</v>
      </c>
      <c r="B11" s="27">
        <v>8</v>
      </c>
      <c r="C11" s="18" t="s">
        <v>7</v>
      </c>
      <c r="D11" t="s">
        <v>49</v>
      </c>
      <c r="E11" s="12">
        <v>7326</v>
      </c>
      <c r="F11" s="12">
        <f>SUMIFS('Week 7 Feb 10 - Feb 16 2020'!F:F,'Week 7 Feb 10 - Feb 16 2020'!D:D,'Week 8 Feb 17 - Feb 23 2020'!D:D,'Week 7 Feb 10 - Feb 16 2020'!C:C,'Week 8 Feb 17 - Feb 23 2020'!C:C)+Table3611910[[#This Row],[Week Sales]]</f>
        <v>2781277</v>
      </c>
      <c r="G11" s="18" t="str">
        <f>(VLOOKUP(D:D,'Week 7 Feb 10 - Feb 16 2020'!D:G,4,FALSE))</f>
        <v>Nintendo</v>
      </c>
      <c r="H11" s="67">
        <f>(VLOOKUP(D:D,'Week 7 Feb 10 - Feb 16 2020'!D:H,5,FALSE))</f>
        <v>42853</v>
      </c>
      <c r="I11" s="12">
        <f>_xlfn.IFNA(VLOOKUP(Table3611910[Title],'Week 7 Feb 10 - Feb 16 2020'!D:E, 2, FALSE),"New")</f>
        <v>8548</v>
      </c>
      <c r="J11" s="28">
        <f t="shared" si="1"/>
        <v>-0.14295741693963501</v>
      </c>
    </row>
    <row r="12" spans="1:10" x14ac:dyDescent="0.2">
      <c r="A12" s="13">
        <v>11</v>
      </c>
      <c r="B12" s="13" t="s">
        <v>36</v>
      </c>
      <c r="C12" s="9" t="s">
        <v>8</v>
      </c>
      <c r="D12" s="9" t="s">
        <v>197</v>
      </c>
      <c r="E12" s="10">
        <v>7038</v>
      </c>
      <c r="F12" s="10">
        <f>SUMIFS('Week 7 Feb 10 - Feb 16 2020'!F:F,'Week 7 Feb 10 - Feb 16 2020'!D:D,'Week 8 Feb 17 - Feb 23 2020'!D:D,'Week 7 Feb 10 - Feb 16 2020'!C:C,'Week 8 Feb 17 - Feb 23 2020'!C:C)+Table3611910[[#This Row],[Week Sales]]</f>
        <v>7038</v>
      </c>
      <c r="G12" s="9" t="s">
        <v>143</v>
      </c>
      <c r="H12" s="102">
        <v>43881</v>
      </c>
      <c r="I12" s="10" t="str">
        <f>_xlfn.IFNA(VLOOKUP(Table3611910[Title],'Week 7 Feb 10 - Feb 16 2020'!D:E, 2, FALSE),"New")</f>
        <v>New</v>
      </c>
      <c r="J12" s="92" t="str">
        <f t="shared" si="1"/>
        <v>New</v>
      </c>
    </row>
    <row r="13" spans="1:10" x14ac:dyDescent="0.2">
      <c r="A13" s="25">
        <v>12</v>
      </c>
      <c r="B13" s="27">
        <v>6</v>
      </c>
      <c r="C13" s="18" t="s">
        <v>7</v>
      </c>
      <c r="D13" t="s">
        <v>16</v>
      </c>
      <c r="E13" s="12">
        <v>6139</v>
      </c>
      <c r="F13" s="12">
        <f>SUMIFS('Week 7 Feb 10 - Feb 16 2020'!F:F,'Week 7 Feb 10 - Feb 16 2020'!D:D,'Week 8 Feb 17 - Feb 23 2020'!D:D,'Week 7 Feb 10 - Feb 16 2020'!C:C,'Week 8 Feb 17 - Feb 23 2020'!C:C)+Table3611910[[#This Row],[Week Sales]]</f>
        <v>157687</v>
      </c>
      <c r="G13" s="18" t="str">
        <f>(VLOOKUP(D:D,'Week 7 Feb 10 - Feb 16 2020'!D:G,4,FALSE))</f>
        <v>Nintendo</v>
      </c>
      <c r="H13" s="67">
        <f>(VLOOKUP(D:D,'Week 7 Feb 10 - Feb 16 2020'!D:H,5,FALSE))</f>
        <v>43826</v>
      </c>
      <c r="I13" s="12">
        <f>_xlfn.IFNA(VLOOKUP(Table3611910[Title],'Week 7 Feb 10 - Feb 16 2020'!D:E, 2, FALSE),"New")</f>
        <v>9367</v>
      </c>
      <c r="J13" s="28">
        <f t="shared" si="1"/>
        <v>-0.34461407067364153</v>
      </c>
    </row>
    <row r="14" spans="1:10" x14ac:dyDescent="0.2">
      <c r="A14" s="25">
        <v>13</v>
      </c>
      <c r="B14" s="27">
        <v>12</v>
      </c>
      <c r="C14" s="18" t="s">
        <v>7</v>
      </c>
      <c r="D14" t="s">
        <v>13</v>
      </c>
      <c r="E14" s="12">
        <v>4497</v>
      </c>
      <c r="F14" s="12">
        <f>SUMIFS('Week 7 Feb 10 - Feb 16 2020'!F:F,'Week 7 Feb 10 - Feb 16 2020'!D:D,'Week 8 Feb 17 - Feb 23 2020'!D:D,'Week 7 Feb 10 - Feb 16 2020'!C:C,'Week 8 Feb 17 - Feb 23 2020'!C:C)+Table3611910[[#This Row],[Week Sales]]</f>
        <v>1346904</v>
      </c>
      <c r="G14" s="18" t="str">
        <f>(VLOOKUP(D:D,'Week 7 Feb 10 - Feb 16 2020'!D:G,4,FALSE))</f>
        <v>Nintendo</v>
      </c>
      <c r="H14" s="67">
        <f>(VLOOKUP(D:D,'Week 7 Feb 10 - Feb 16 2020'!D:H,5,FALSE))</f>
        <v>43378</v>
      </c>
      <c r="I14" s="12">
        <f>_xlfn.IFNA(VLOOKUP(Table3611910[Title],'Week 7 Feb 10 - Feb 16 2020'!D:E, 2, FALSE),"New")</f>
        <v>6130</v>
      </c>
      <c r="J14" s="28">
        <f t="shared" si="1"/>
        <v>-0.26639477977161502</v>
      </c>
    </row>
    <row r="15" spans="1:10" x14ac:dyDescent="0.2">
      <c r="A15" s="25">
        <v>14</v>
      </c>
      <c r="B15" s="27">
        <v>14</v>
      </c>
      <c r="C15" s="18" t="s">
        <v>7</v>
      </c>
      <c r="D15" t="s">
        <v>10</v>
      </c>
      <c r="E15" s="12">
        <v>4140</v>
      </c>
      <c r="F15" s="12">
        <f>SUMIFS('Week 7 Feb 10 - Feb 16 2020'!F:F,'Week 7 Feb 10 - Feb 16 2020'!D:D,'Week 8 Feb 17 - Feb 23 2020'!D:D,'Week 7 Feb 10 - Feb 16 2020'!C:C,'Week 8 Feb 17 - Feb 23 2020'!C:C)+Table3611910[[#This Row],[Week Sales]]</f>
        <v>3321032</v>
      </c>
      <c r="G15" s="18" t="str">
        <f>(VLOOKUP(D:D,'Week 7 Feb 10 - Feb 16 2020'!D:G,4,FALSE))</f>
        <v>Nintendo</v>
      </c>
      <c r="H15" s="67">
        <f>(VLOOKUP(D:D,'Week 7 Feb 10 - Feb 16 2020'!D:H,5,FALSE))</f>
        <v>42937</v>
      </c>
      <c r="I15" s="12">
        <f>_xlfn.IFNA(VLOOKUP(Table3611910[Title],'Week 7 Feb 10 - Feb 16 2020'!D:E, 2, FALSE),"New")</f>
        <v>5144</v>
      </c>
      <c r="J15" s="28">
        <f t="shared" si="1"/>
        <v>-0.19517884914463451</v>
      </c>
    </row>
    <row r="16" spans="1:10" x14ac:dyDescent="0.2">
      <c r="A16" s="25">
        <v>15</v>
      </c>
      <c r="B16" s="27">
        <v>15</v>
      </c>
      <c r="C16" s="18" t="s">
        <v>7</v>
      </c>
      <c r="D16" t="s">
        <v>39</v>
      </c>
      <c r="E16" s="12">
        <v>3992</v>
      </c>
      <c r="F16" s="12">
        <f>SUMIFS('Week 7 Feb 10 - Feb 16 2020'!F:F,'Week 7 Feb 10 - Feb 16 2020'!D:D,'Week 8 Feb 17 - Feb 23 2020'!D:D,'Week 7 Feb 10 - Feb 16 2020'!C:C,'Week 8 Feb 17 - Feb 23 2020'!C:C)+Table3611910[[#This Row],[Week Sales]]</f>
        <v>1525092</v>
      </c>
      <c r="G16" s="18" t="str">
        <f>(VLOOKUP(D:D,'Week 7 Feb 10 - Feb 16 2020'!D:G,4,FALSE))</f>
        <v>Nintendo</v>
      </c>
      <c r="H16" s="67">
        <f>(VLOOKUP(D:D,'Week 7 Feb 10 - Feb 16 2020'!D:H,5,FALSE))</f>
        <v>42797</v>
      </c>
      <c r="I16" s="12">
        <f>_xlfn.IFNA(VLOOKUP(Table3611910[Title],'Week 7 Feb 10 - Feb 16 2020'!D:E, 2, FALSE),"New")</f>
        <v>4628</v>
      </c>
      <c r="J16" s="28">
        <f t="shared" si="1"/>
        <v>-0.13742437337942956</v>
      </c>
    </row>
    <row r="17" spans="1:10" x14ac:dyDescent="0.2">
      <c r="A17" s="25">
        <v>16</v>
      </c>
      <c r="B17" s="27">
        <v>3</v>
      </c>
      <c r="C17" s="18" t="s">
        <v>8</v>
      </c>
      <c r="D17" t="s">
        <v>191</v>
      </c>
      <c r="E17" s="12">
        <v>3901</v>
      </c>
      <c r="F17" s="12">
        <f>SUMIFS('Week 7 Feb 10 - Feb 16 2020'!F:F,'Week 7 Feb 10 - Feb 16 2020'!D:D,'Week 8 Feb 17 - Feb 23 2020'!D:D,'Week 7 Feb 10 - Feb 16 2020'!C:C,'Week 8 Feb 17 - Feb 23 2020'!C:C)+Table3611910[[#This Row],[Week Sales]]</f>
        <v>102314</v>
      </c>
      <c r="G17" s="18" t="str">
        <f>(VLOOKUP(D:D,'Week 7 Feb 10 - Feb 16 2020'!D:G,4,FALSE))</f>
        <v>Cygames</v>
      </c>
      <c r="H17" s="67">
        <f>(VLOOKUP(D:D,'Week 7 Feb 10 - Feb 16 2020'!D:H,5,FALSE))</f>
        <v>43867</v>
      </c>
      <c r="I17" s="12">
        <f>_xlfn.IFNA(VLOOKUP(Table3611910[Title],'Week 7 Feb 10 - Feb 16 2020'!D:E, 2, FALSE),"New")</f>
        <v>12165</v>
      </c>
      <c r="J17" s="28">
        <f t="shared" si="1"/>
        <v>-0.67932593505959715</v>
      </c>
    </row>
    <row r="18" spans="1:10" x14ac:dyDescent="0.2">
      <c r="A18" s="25">
        <v>17</v>
      </c>
      <c r="B18" s="27">
        <v>16</v>
      </c>
      <c r="C18" s="18" t="s">
        <v>7</v>
      </c>
      <c r="D18" t="s">
        <v>79</v>
      </c>
      <c r="E18" s="12">
        <v>3472</v>
      </c>
      <c r="F18" s="12">
        <f>SUMIFS('Week 7 Feb 10 - Feb 16 2020'!F:F,'Week 7 Feb 10 - Feb 16 2020'!D:D,'Week 8 Feb 17 - Feb 23 2020'!D:D,'Week 7 Feb 10 - Feb 16 2020'!C:C,'Week 8 Feb 17 - Feb 23 2020'!C:C)+Table3611910[[#This Row],[Week Sales]]</f>
        <v>602729</v>
      </c>
      <c r="G18" s="18" t="str">
        <f>(VLOOKUP(D:D,'Week 7 Feb 10 - Feb 16 2020'!D:G,4,FALSE))</f>
        <v>Nintendo</v>
      </c>
      <c r="H18" s="67">
        <f>(VLOOKUP(D:D,'Week 7 Feb 10 - Feb 16 2020'!D:H,5,FALSE))</f>
        <v>43769</v>
      </c>
      <c r="I18" s="12">
        <f>_xlfn.IFNA(VLOOKUP(Table3611910[Title],'Week 7 Feb 10 - Feb 16 2020'!D:E, 2, FALSE),"New")</f>
        <v>4560</v>
      </c>
      <c r="J18" s="28">
        <f t="shared" si="1"/>
        <v>-0.23859649122807017</v>
      </c>
    </row>
    <row r="19" spans="1:10" x14ac:dyDescent="0.2">
      <c r="A19" s="25">
        <v>18</v>
      </c>
      <c r="B19" s="27">
        <v>17</v>
      </c>
      <c r="C19" s="18" t="s">
        <v>7</v>
      </c>
      <c r="D19" t="s">
        <v>19</v>
      </c>
      <c r="E19" s="12">
        <v>3387</v>
      </c>
      <c r="F19" s="12">
        <f>SUMIFS('Week 7 Feb 10 - Feb 16 2020'!F:F,'Week 7 Feb 10 - Feb 16 2020'!D:D,'Week 8 Feb 17 - Feb 23 2020'!D:D,'Week 7 Feb 10 - Feb 16 2020'!C:C,'Week 8 Feb 17 - Feb 23 2020'!C:C)+Table3611910[[#This Row],[Week Sales]]</f>
        <v>859374</v>
      </c>
      <c r="G19" s="18" t="str">
        <f>(VLOOKUP(D:D,'Week 7 Feb 10 - Feb 16 2020'!D:G,4,FALSE))</f>
        <v>Nintendo</v>
      </c>
      <c r="H19" s="67">
        <f>(VLOOKUP(D:D,'Week 7 Feb 10 - Feb 16 2020'!D:H,5,FALSE))</f>
        <v>43644</v>
      </c>
      <c r="I19" s="12">
        <f>_xlfn.IFNA(VLOOKUP(Table3611910[Title],'Week 7 Feb 10 - Feb 16 2020'!D:E, 2, FALSE),"New")</f>
        <v>4229</v>
      </c>
      <c r="J19" s="28">
        <f t="shared" si="1"/>
        <v>-0.1991014424213762</v>
      </c>
    </row>
    <row r="20" spans="1:10" x14ac:dyDescent="0.2">
      <c r="A20" s="25">
        <v>19</v>
      </c>
      <c r="B20" s="27">
        <v>10</v>
      </c>
      <c r="C20" s="18" t="s">
        <v>8</v>
      </c>
      <c r="D20" t="s">
        <v>181</v>
      </c>
      <c r="E20" s="12">
        <v>3327</v>
      </c>
      <c r="F20" s="12">
        <f>SUMIFS('Week 7 Feb 10 - Feb 16 2020'!F:F,'Week 7 Feb 10 - Feb 16 2020'!D:D,'Week 8 Feb 17 - Feb 23 2020'!D:D,'Week 7 Feb 10 - Feb 16 2020'!C:C,'Week 8 Feb 17 - Feb 23 2020'!C:C)+Table3611910[[#This Row],[Week Sales]]</f>
        <v>238630</v>
      </c>
      <c r="G20" s="18" t="str">
        <f>(VLOOKUP(D:D,'Week 7 Feb 10 - Feb 16 2020'!D:G,4,FALSE))</f>
        <v>Sega</v>
      </c>
      <c r="H20" s="67">
        <f>(VLOOKUP(D:D,'Week 7 Feb 10 - Feb 16 2020'!D:H,5,FALSE))</f>
        <v>43847</v>
      </c>
      <c r="I20" s="12">
        <f>_xlfn.IFNA(VLOOKUP(Table3611910[Title],'Week 7 Feb 10 - Feb 16 2020'!D:E, 2, FALSE),"New")</f>
        <v>6844</v>
      </c>
      <c r="J20" s="28">
        <f t="shared" si="1"/>
        <v>-0.5138807714786674</v>
      </c>
    </row>
    <row r="21" spans="1:10" x14ac:dyDescent="0.2">
      <c r="A21" s="25">
        <v>20</v>
      </c>
      <c r="B21" s="27">
        <v>13</v>
      </c>
      <c r="C21" s="18" t="s">
        <v>8</v>
      </c>
      <c r="D21" t="s">
        <v>182</v>
      </c>
      <c r="E21" s="12">
        <v>2909</v>
      </c>
      <c r="F21" s="12">
        <f>SUMIFS('Week 7 Feb 10 - Feb 16 2020'!F:F,'Week 7 Feb 10 - Feb 16 2020'!D:D,'Week 8 Feb 17 - Feb 23 2020'!D:D,'Week 7 Feb 10 - Feb 16 2020'!C:C,'Week 8 Feb 17 - Feb 23 2020'!C:C)+Table3611910[[#This Row],[Week Sales]]</f>
        <v>145082</v>
      </c>
      <c r="G21" s="18" t="str">
        <f>(VLOOKUP(D:D,'Week 7 Feb 10 - Feb 16 2020'!D:G,4,FALSE))</f>
        <v>Bandai Namco</v>
      </c>
      <c r="H21" s="67">
        <f>(VLOOKUP(D:D,'Week 7 Feb 10 - Feb 16 2020'!D:H,5,FALSE))</f>
        <v>43847</v>
      </c>
      <c r="I21" s="12">
        <f>_xlfn.IFNA(VLOOKUP(Table3611910[Title],'Week 7 Feb 10 - Feb 16 2020'!D:E, 2, FALSE),"New")</f>
        <v>5241</v>
      </c>
      <c r="J21" s="28">
        <f t="shared" si="1"/>
        <v>-0.44495325319595497</v>
      </c>
    </row>
    <row r="22" spans="1:10" x14ac:dyDescent="0.2">
      <c r="A22" s="25">
        <v>21</v>
      </c>
      <c r="B22" s="27">
        <v>20</v>
      </c>
      <c r="C22" s="18" t="s">
        <v>7</v>
      </c>
      <c r="D22" t="s">
        <v>17</v>
      </c>
      <c r="E22" s="12">
        <v>2668</v>
      </c>
      <c r="F22" s="12">
        <f>SUMIFS('Week 7 Feb 10 - Feb 16 2020'!F:F,'Week 7 Feb 10 - Feb 16 2020'!D:D,'Week 8 Feb 17 - Feb 23 2020'!D:D,'Week 7 Feb 10 - Feb 16 2020'!C:C,'Week 8 Feb 17 - Feb 23 2020'!C:C)+Table3611910[[#This Row],[Week Sales]]</f>
        <v>783682</v>
      </c>
      <c r="G22" s="18" t="str">
        <f>(VLOOKUP(D:D,'Week 7 Feb 10 - Feb 16 2020'!D:G,4,FALSE))</f>
        <v>Nintendo</v>
      </c>
      <c r="H22" s="67">
        <f>(VLOOKUP(D:D,'Week 7 Feb 10 - Feb 16 2020'!D:H,5,FALSE))</f>
        <v>43476</v>
      </c>
      <c r="I22" s="12">
        <f>_xlfn.IFNA(VLOOKUP(Table3611910[Title],'Week 7 Feb 10 - Feb 16 2020'!D:E, 2, FALSE),"New")</f>
        <v>3202</v>
      </c>
      <c r="J22" s="28">
        <f t="shared" si="1"/>
        <v>-0.16677076826983137</v>
      </c>
    </row>
    <row r="23" spans="1:10" x14ac:dyDescent="0.2">
      <c r="A23" s="25">
        <v>22</v>
      </c>
      <c r="B23" s="27">
        <v>19</v>
      </c>
      <c r="C23" s="18" t="s">
        <v>7</v>
      </c>
      <c r="D23" t="s">
        <v>20</v>
      </c>
      <c r="E23" s="12">
        <v>2579</v>
      </c>
      <c r="F23" s="12">
        <f>SUMIFS('Week 7 Feb 10 - Feb 16 2020'!F:F,'Week 7 Feb 10 - Feb 16 2020'!D:D,'Week 8 Feb 17 - Feb 23 2020'!D:D,'Week 7 Feb 10 - Feb 16 2020'!C:C,'Week 8 Feb 17 - Feb 23 2020'!C:C)+Table3611910[[#This Row],[Week Sales]]</f>
        <v>395633</v>
      </c>
      <c r="G23" s="18" t="str">
        <f>(VLOOKUP(D:D,'Week 7 Feb 10 - Feb 16 2020'!D:G,4,FALSE))</f>
        <v>Bandai Namco</v>
      </c>
      <c r="H23" s="67">
        <f>(VLOOKUP(D:D,'Week 7 Feb 10 - Feb 16 2020'!D:H,5,FALSE))</f>
        <v>43671</v>
      </c>
      <c r="I23" s="12">
        <f>_xlfn.IFNA(VLOOKUP(Table3611910[Title],'Week 7 Feb 10 - Feb 16 2020'!D:E, 2, FALSE),"New")</f>
        <v>3524</v>
      </c>
      <c r="J23" s="28">
        <f>IFERROR((E23-I23)/I23,"New")</f>
        <v>-0.26816118047673099</v>
      </c>
    </row>
    <row r="24" spans="1:10" x14ac:dyDescent="0.2">
      <c r="A24" s="25">
        <v>23</v>
      </c>
      <c r="B24" s="27">
        <v>18</v>
      </c>
      <c r="C24" s="18" t="s">
        <v>7</v>
      </c>
      <c r="D24" t="s">
        <v>80</v>
      </c>
      <c r="E24" s="12">
        <v>2526</v>
      </c>
      <c r="F24" s="12">
        <f>SUMIFS('Week 7 Feb 10 - Feb 16 2020'!F:F,'Week 7 Feb 10 - Feb 16 2020'!D:D,'Week 8 Feb 17 - Feb 23 2020'!D:D,'Week 7 Feb 10 - Feb 16 2020'!C:C,'Week 8 Feb 17 - Feb 23 2020'!C:C)+Table3611910[[#This Row],[Week Sales]]</f>
        <v>274437</v>
      </c>
      <c r="G24" s="18" t="str">
        <f>(VLOOKUP(D:D,'Week 7 Feb 10 - Feb 16 2020'!D:G,4,FALSE))</f>
        <v>Sega</v>
      </c>
      <c r="H24" s="67">
        <f>(VLOOKUP(D:D,'Week 7 Feb 10 - Feb 16 2020'!D:H,5,FALSE))</f>
        <v>43770</v>
      </c>
      <c r="I24" s="12">
        <f>_xlfn.IFNA(VLOOKUP(Table3611910[Title],'Week 7 Feb 10 - Feb 16 2020'!D:E, 2, FALSE),"New")</f>
        <v>3694</v>
      </c>
      <c r="J24" s="28">
        <f>IFERROR((E24-I24)/I24,"New")</f>
        <v>-0.31618841364374661</v>
      </c>
    </row>
    <row r="25" spans="1:10" x14ac:dyDescent="0.2">
      <c r="A25" s="25">
        <v>24</v>
      </c>
      <c r="B25" s="27">
        <v>11</v>
      </c>
      <c r="C25" s="18" t="s">
        <v>8</v>
      </c>
      <c r="D25" t="s">
        <v>194</v>
      </c>
      <c r="E25" s="12">
        <v>2118</v>
      </c>
      <c r="F25" s="12">
        <f>SUMIFS('Week 7 Feb 10 - Feb 16 2020'!F:F,'Week 7 Feb 10 - Feb 16 2020'!D:D,'Week 8 Feb 17 - Feb 23 2020'!D:D,'Week 7 Feb 10 - Feb 16 2020'!C:C,'Week 8 Feb 17 - Feb 23 2020'!C:C)+Table3611910[[#This Row],[Week Sales]]</f>
        <v>8705</v>
      </c>
      <c r="G25" s="18" t="str">
        <f>(VLOOKUP(D:D,'Week 7 Feb 10 - Feb 16 2020'!D:G,4,FALSE))</f>
        <v>Capcom</v>
      </c>
      <c r="H25" s="67">
        <f>(VLOOKUP(D:D,'Week 7 Feb 10 - Feb 16 2020'!D:H,5,FALSE))</f>
        <v>43875</v>
      </c>
      <c r="I25" s="12">
        <f>_xlfn.IFNA(VLOOKUP(Table3611910[Title],'Week 7 Feb 10 - Feb 16 2020'!D:E, 2, FALSE),"New")</f>
        <v>6587</v>
      </c>
      <c r="J25" s="28">
        <f t="shared" ref="J25:J30" si="2">IFERROR((E25-I25)/I25,"New")</f>
        <v>-0.67845756793684531</v>
      </c>
    </row>
    <row r="26" spans="1:10" x14ac:dyDescent="0.2">
      <c r="A26" s="25">
        <v>25</v>
      </c>
      <c r="B26" s="27">
        <v>21</v>
      </c>
      <c r="C26" s="18" t="s">
        <v>7</v>
      </c>
      <c r="D26" t="s">
        <v>83</v>
      </c>
      <c r="E26" s="12">
        <v>2044</v>
      </c>
      <c r="F26" s="12">
        <f>SUMIFS('Week 7 Feb 10 - Feb 16 2020'!F:F,'Week 7 Feb 10 - Feb 16 2020'!D:D,'Week 8 Feb 17 - Feb 23 2020'!D:D,'Week 7 Feb 10 - Feb 16 2020'!C:C,'Week 8 Feb 17 - Feb 23 2020'!C:C)+Table3611910[[#This Row],[Week Sales]]</f>
        <v>490025</v>
      </c>
      <c r="G26" s="18" t="str">
        <f>(VLOOKUP(D:D,'Week 7 Feb 10 - Feb 16 2020'!D:G,4,FALSE))</f>
        <v>Square Enix</v>
      </c>
      <c r="H26" s="67">
        <f>(VLOOKUP(D:D,'Week 7 Feb 10 - Feb 16 2020'!D:H,5,FALSE))</f>
        <v>43735</v>
      </c>
      <c r="I26" s="12">
        <f>_xlfn.IFNA(VLOOKUP(Table3611910[Title],'Week 7 Feb 10 - Feb 16 2020'!D:E, 2, FALSE),"New")</f>
        <v>2589</v>
      </c>
      <c r="J26" s="28">
        <f t="shared" si="2"/>
        <v>-0.21050598686751643</v>
      </c>
    </row>
    <row r="27" spans="1:10" x14ac:dyDescent="0.2">
      <c r="A27" s="25">
        <v>26</v>
      </c>
      <c r="B27" s="27">
        <v>23</v>
      </c>
      <c r="C27" s="18" t="s">
        <v>7</v>
      </c>
      <c r="D27" t="s">
        <v>93</v>
      </c>
      <c r="E27" s="12">
        <v>2038</v>
      </c>
      <c r="F27" s="12">
        <f>SUMIFS('Week 7 Feb 10 - Feb 16 2020'!F:F,'Week 7 Feb 10 - Feb 16 2020'!D:D,'Week 8 Feb 17 - Feb 23 2020'!D:D,'Week 7 Feb 10 - Feb 16 2020'!C:C,'Week 8 Feb 17 - Feb 23 2020'!C:C)+Table3611910[[#This Row],[Week Sales]]</f>
        <v>1703363</v>
      </c>
      <c r="G27" s="18" t="str">
        <f>(VLOOKUP(D:D,'Week 7 Feb 10 - Feb 16 2020'!D:G,4,FALSE))</f>
        <v>The Pokemon Company</v>
      </c>
      <c r="H27" s="67">
        <f>(VLOOKUP(D:D,'Week 7 Feb 10 - Feb 16 2020'!D:H,5,FALSE))</f>
        <v>43420</v>
      </c>
      <c r="I27" s="12">
        <f>_xlfn.IFNA(VLOOKUP(Table3611910[Title],'Week 7 Feb 10 - Feb 16 2020'!D:E, 2, FALSE),"New")</f>
        <v>2074</v>
      </c>
      <c r="J27" s="28">
        <f>IFERROR((E27-I27)/I27,"New")</f>
        <v>-1.7357762777242044E-2</v>
      </c>
    </row>
    <row r="28" spans="1:10" x14ac:dyDescent="0.2">
      <c r="A28" s="25">
        <v>27</v>
      </c>
      <c r="B28" s="27">
        <v>22</v>
      </c>
      <c r="C28" s="18" t="s">
        <v>7</v>
      </c>
      <c r="D28" t="s">
        <v>25</v>
      </c>
      <c r="E28" s="12">
        <v>1882</v>
      </c>
      <c r="F28" s="12">
        <f>SUMIFS('Week 7 Feb 10 - Feb 16 2020'!F:F,'Week 7 Feb 10 - Feb 16 2020'!D:D,'Week 8 Feb 17 - Feb 23 2020'!D:D,'Week 7 Feb 10 - Feb 16 2020'!C:C,'Week 8 Feb 17 - Feb 23 2020'!C:C)+Table3611910[[#This Row],[Week Sales]]</f>
        <v>447208</v>
      </c>
      <c r="G28" s="18" t="str">
        <f>(VLOOKUP(D:D,'Week 7 Feb 10 - Feb 16 2020'!D:G,4,FALSE))</f>
        <v>Bandai Namco</v>
      </c>
      <c r="H28" s="67">
        <f>(VLOOKUP(D:D,'Week 7 Feb 10 - Feb 16 2020'!D:H,5,FALSE))</f>
        <v>43300</v>
      </c>
      <c r="I28" s="12">
        <f>_xlfn.IFNA(VLOOKUP(Table3611910[Title],'Week 7 Feb 10 - Feb 16 2020'!D:E, 2, FALSE),"New")</f>
        <v>2121</v>
      </c>
      <c r="J28" s="28">
        <f t="shared" si="2"/>
        <v>-0.11268269684111268</v>
      </c>
    </row>
    <row r="29" spans="1:10" x14ac:dyDescent="0.2">
      <c r="A29" s="13">
        <v>28</v>
      </c>
      <c r="B29" s="13" t="s">
        <v>36</v>
      </c>
      <c r="C29" s="9" t="s">
        <v>7</v>
      </c>
      <c r="D29" s="9" t="s">
        <v>198</v>
      </c>
      <c r="E29" s="10">
        <v>1752</v>
      </c>
      <c r="F29" s="10">
        <f>SUMIFS('Week 7 Feb 10 - Feb 16 2020'!F:F,'Week 7 Feb 10 - Feb 16 2020'!D:D,'Week 8 Feb 17 - Feb 23 2020'!D:D,'Week 7 Feb 10 - Feb 16 2020'!C:C,'Week 8 Feb 17 - Feb 23 2020'!C:C)+Table3611910[[#This Row],[Week Sales]]</f>
        <v>1752</v>
      </c>
      <c r="G29" s="9" t="s">
        <v>121</v>
      </c>
      <c r="H29" s="102">
        <v>43881</v>
      </c>
      <c r="I29" s="10" t="str">
        <f>_xlfn.IFNA(VLOOKUP(Table3611910[Title],'Week 7 Feb 10 - Feb 16 2020'!D:E, 2, FALSE),"New")</f>
        <v>New</v>
      </c>
      <c r="J29" s="92" t="str">
        <f>IFERROR((E29-I29)/I29,"New")</f>
        <v>New</v>
      </c>
    </row>
    <row r="30" spans="1:10" x14ac:dyDescent="0.2">
      <c r="A30" s="25">
        <v>29</v>
      </c>
      <c r="B30" s="27">
        <v>24</v>
      </c>
      <c r="C30" s="18" t="s">
        <v>7</v>
      </c>
      <c r="D30" t="s">
        <v>26</v>
      </c>
      <c r="E30" s="12">
        <v>1742</v>
      </c>
      <c r="F30" s="12">
        <f>SUMIFS('Week 7 Feb 10 - Feb 16 2020'!F:F,'Week 7 Feb 10 - Feb 16 2020'!D:D,'Week 8 Feb 17 - Feb 23 2020'!D:D,'Week 7 Feb 10 - Feb 16 2020'!C:C,'Week 8 Feb 17 - Feb 23 2020'!C:C)+Table3611910[[#This Row],[Week Sales]]</f>
        <v>2072468</v>
      </c>
      <c r="G30" s="18" t="str">
        <f>(VLOOKUP(D:D,'Week 7 Feb 10 - Feb 16 2020'!D:G,4,FALSE))</f>
        <v>Nintendo</v>
      </c>
      <c r="H30" s="67">
        <f>(VLOOKUP(D:D,'Week 7 Feb 10 - Feb 16 2020'!D:H,5,FALSE))</f>
        <v>43035</v>
      </c>
      <c r="I30" s="12">
        <f>_xlfn.IFNA(VLOOKUP(Table3611910[Title],'Week 7 Feb 10 - Feb 16 2020'!D:E, 2, FALSE),"New")</f>
        <v>2062</v>
      </c>
      <c r="J30" s="28">
        <f t="shared" si="2"/>
        <v>-0.15518913676042678</v>
      </c>
    </row>
    <row r="31" spans="1:10" x14ac:dyDescent="0.2">
      <c r="A31" s="13">
        <v>30</v>
      </c>
      <c r="B31" s="13" t="s">
        <v>36</v>
      </c>
      <c r="C31" s="9" t="s">
        <v>7</v>
      </c>
      <c r="D31" s="9" t="s">
        <v>199</v>
      </c>
      <c r="E31" s="10">
        <v>1730</v>
      </c>
      <c r="F31" s="10">
        <f>SUMIFS('Week 7 Feb 10 - Feb 16 2020'!F:F,'Week 7 Feb 10 - Feb 16 2020'!D:D,'Week 8 Feb 17 - Feb 23 2020'!D:D,'Week 7 Feb 10 - Feb 16 2020'!C:C,'Week 8 Feb 17 - Feb 23 2020'!C:C)+Table3611910[[#This Row],[Week Sales]]</f>
        <v>1730</v>
      </c>
      <c r="G31" s="9" t="s">
        <v>200</v>
      </c>
      <c r="H31" s="102">
        <v>43881</v>
      </c>
      <c r="I31" s="10" t="str">
        <f>_xlfn.IFNA(VLOOKUP(Table3611910[Title],'Week 7 Feb 10 - Feb 16 2020'!D:E, 2, FALSE),"New")</f>
        <v>New</v>
      </c>
      <c r="J31" s="92" t="str">
        <f>IFERROR((E31-I31)/I31,"New")</f>
        <v>New</v>
      </c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304690</v>
      </c>
      <c r="F33" s="2"/>
      <c r="I33" s="2"/>
      <c r="J33" s="19"/>
    </row>
    <row r="34" spans="1:10" x14ac:dyDescent="0.2">
      <c r="A34" s="3"/>
      <c r="B34" s="3"/>
      <c r="D34" s="100" t="s">
        <v>178</v>
      </c>
      <c r="E34" s="101">
        <f>SUM('Week 7 Feb 10 - Feb 16 2020'!E34,'Week 8 Feb 17 - Feb 23 2020'!E33)</f>
        <v>2782551</v>
      </c>
      <c r="F34" s="2"/>
      <c r="I34" s="2"/>
      <c r="J34" s="19"/>
    </row>
    <row r="35" spans="1:10" x14ac:dyDescent="0.2">
      <c r="A35" s="3"/>
      <c r="B35" s="3"/>
      <c r="D35" s="2" t="s">
        <v>60</v>
      </c>
      <c r="E35" s="2">
        <f>AVERAGE(E2:E31)</f>
        <v>10156.333333333334</v>
      </c>
      <c r="F35" s="2"/>
      <c r="I35" s="2"/>
      <c r="J35" s="19"/>
    </row>
    <row r="36" spans="1:10" x14ac:dyDescent="0.2">
      <c r="A36" s="3"/>
      <c r="B36" s="3"/>
      <c r="D36" s="9" t="s">
        <v>78</v>
      </c>
      <c r="E36" s="10">
        <f>COUNTIF(B:B,"New")</f>
        <v>7</v>
      </c>
      <c r="F36" s="2"/>
      <c r="I36" s="2"/>
      <c r="J36" s="19"/>
    </row>
    <row r="37" spans="1:10" x14ac:dyDescent="0.2">
      <c r="A37" s="3"/>
      <c r="B37" s="3"/>
      <c r="E37" s="2"/>
      <c r="F37" s="2"/>
      <c r="I37" s="2"/>
      <c r="J37" s="19"/>
    </row>
    <row r="38" spans="1:10" x14ac:dyDescent="0.2">
      <c r="A38" s="3"/>
      <c r="B38" s="3"/>
      <c r="D38" t="s">
        <v>66</v>
      </c>
      <c r="E38" s="2"/>
      <c r="F38" s="2"/>
      <c r="I38" s="2"/>
      <c r="J38" s="19"/>
    </row>
    <row r="39" spans="1:10" x14ac:dyDescent="0.2">
      <c r="A39" s="3"/>
      <c r="B39" s="3"/>
      <c r="D39" s="8" t="s">
        <v>67</v>
      </c>
      <c r="E39" s="2"/>
      <c r="F39" s="2"/>
      <c r="I39" s="2"/>
      <c r="J39" s="19"/>
    </row>
    <row r="40" spans="1:10" x14ac:dyDescent="0.2">
      <c r="A40" s="3"/>
      <c r="B40" s="3"/>
      <c r="D40" s="8" t="s">
        <v>65</v>
      </c>
      <c r="E40" s="2"/>
      <c r="F40" s="2"/>
      <c r="I40" s="2"/>
      <c r="J40" s="19"/>
    </row>
    <row r="41" spans="1:10" x14ac:dyDescent="0.2">
      <c r="D41" s="8" t="s">
        <v>71</v>
      </c>
      <c r="E41" s="2"/>
    </row>
  </sheetData>
  <hyperlinks>
    <hyperlink ref="D40" r:id="rId1" xr:uid="{F579B153-7547-CA40-ABDC-2D0D5070067B}"/>
    <hyperlink ref="D41" r:id="rId2" xr:uid="{8D465A12-2DCB-1F48-B948-9EF01D5ECB31}"/>
    <hyperlink ref="D39" r:id="rId3" xr:uid="{261CC58A-FB99-C44A-808C-7184BC874F53}"/>
  </hyperlinks>
  <pageMargins left="0.7" right="0.7" top="0.75" bottom="0.75" header="0.3" footer="0.3"/>
  <pageSetup paperSize="9" orientation="portrait" horizontalDpi="0" verticalDpi="0"/>
  <ignoredErrors>
    <ignoredError sqref="G2:G31" calculatedColumn="1"/>
  </ignoredErrors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05916-9CB8-6048-BEBB-0DD78B3E0B02}">
  <dimension ref="A1:L42"/>
  <sheetViews>
    <sheetView workbookViewId="0">
      <selection activeCell="D14" sqref="D14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3.8320312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0" x14ac:dyDescent="0.2">
      <c r="A2" s="25">
        <v>1</v>
      </c>
      <c r="B2" s="27">
        <v>3</v>
      </c>
      <c r="C2" s="18" t="s">
        <v>7</v>
      </c>
      <c r="D2" s="47" t="s">
        <v>62</v>
      </c>
      <c r="E2" s="12">
        <v>24886</v>
      </c>
      <c r="F2" s="12">
        <f>SUMIFS('Week 8 Feb 17 - Feb 23 2020'!F:F,'Week 8 Feb 17 - Feb 23 2020'!D:D,'Week 9 Feb 24 - Mar 1 2020'!D:D,'Week 8 Feb 17 - Feb 23 2020'!C:C,'Week 9 Feb 24 - Mar 1 2020'!C:C)+Table361191013[[#This Row],[Week Sales]]</f>
        <v>3470674</v>
      </c>
      <c r="G2" s="18" t="str">
        <f>(VLOOKUP(D:D,'Week 8 Feb 17 - Feb 23 2020'!D:G,4,FALSE))</f>
        <v>The Pokemon Company</v>
      </c>
      <c r="H2" s="67">
        <f>(VLOOKUP(D:D,'Week 8 Feb 17 - Feb 23 2020'!D:H,5,FALSE))</f>
        <v>43784</v>
      </c>
      <c r="I2" s="12">
        <f>_xlfn.IFNA(SUMIFS('Week 8 Feb 17 - Feb 23 2020'!E:E,'Week 8 Feb 17 - Feb 23 2020'!D:D,'Week 9 Feb 24 - Mar 1 2020'!D:D,'Week 8 Feb 17 - Feb 23 2020'!C:C,'Week 9 Feb 24 - Mar 1 2020'!C:C),"New")</f>
        <v>18403</v>
      </c>
      <c r="J2" s="28">
        <f>IFERROR((E2-I2)/I2,"New")</f>
        <v>0.35227951964353638</v>
      </c>
    </row>
    <row r="3" spans="1:10" x14ac:dyDescent="0.2">
      <c r="A3" s="25">
        <v>2</v>
      </c>
      <c r="B3" s="27">
        <v>1</v>
      </c>
      <c r="C3" s="18" t="s">
        <v>8</v>
      </c>
      <c r="D3" s="47" t="s">
        <v>195</v>
      </c>
      <c r="E3" s="12">
        <v>19504</v>
      </c>
      <c r="F3" s="12">
        <f>SUMIFS('Week 8 Feb 17 - Feb 23 2020'!F:F,'Week 8 Feb 17 - Feb 23 2020'!D:D,'Week 9 Feb 24 - Mar 1 2020'!D:D,'Week 8 Feb 17 - Feb 23 2020'!C:C,'Week 9 Feb 24 - Mar 1 2020'!C:C)+Table361191013[[#This Row],[Week Sales]]</f>
        <v>135499</v>
      </c>
      <c r="G3" s="18" t="str">
        <f>(VLOOKUP(D:D,'Week 8 Feb 17 - Feb 23 2020'!D:G,4,FALSE))</f>
        <v>Atlus</v>
      </c>
      <c r="H3" s="67">
        <f>(VLOOKUP(D:D,'Week 8 Feb 17 - Feb 23 2020'!D:H,5,FALSE))</f>
        <v>43881</v>
      </c>
      <c r="I3" s="12">
        <f>_xlfn.IFNA(SUMIFS('Week 8 Feb 17 - Feb 23 2020'!E:E,'Week 8 Feb 17 - Feb 23 2020'!D:D,'Week 9 Feb 24 - Mar 1 2020'!D:D,'Week 8 Feb 17 - Feb 23 2020'!C:C,'Week 9 Feb 24 - Mar 1 2020'!C:C),"New")</f>
        <v>115995</v>
      </c>
      <c r="J3" s="28">
        <f t="shared" ref="J3:J8" si="0">IFERROR((E3-I3)/I3,"New")</f>
        <v>-0.83185482132850552</v>
      </c>
    </row>
    <row r="4" spans="1:10" x14ac:dyDescent="0.2">
      <c r="A4" s="25">
        <v>3</v>
      </c>
      <c r="B4" s="27">
        <v>6</v>
      </c>
      <c r="C4" s="18" t="s">
        <v>7</v>
      </c>
      <c r="D4" s="47" t="s">
        <v>12</v>
      </c>
      <c r="E4" s="12">
        <v>12510</v>
      </c>
      <c r="F4" s="12">
        <f>SUMIFS('Week 8 Feb 17 - Feb 23 2020'!F:F,'Week 8 Feb 17 - Feb 23 2020'!D:D,'Week 9 Feb 24 - Mar 1 2020'!D:D,'Week 8 Feb 17 - Feb 23 2020'!C:C,'Week 9 Feb 24 - Mar 1 2020'!C:C)+Table361191013[[#This Row],[Week Sales]]</f>
        <v>1285095</v>
      </c>
      <c r="G4" s="18" t="str">
        <f>(VLOOKUP(D:D,'Week 8 Feb 17 - Feb 23 2020'!D:G,4,FALSE))</f>
        <v>Microsoft</v>
      </c>
      <c r="H4" s="67">
        <f>(VLOOKUP(D:D,'Week 8 Feb 17 - Feb 23 2020'!D:H,5,FALSE))</f>
        <v>43272</v>
      </c>
      <c r="I4" s="12">
        <f>_xlfn.IFNA(SUMIFS('Week 8 Feb 17 - Feb 23 2020'!E:E,'Week 8 Feb 17 - Feb 23 2020'!D:D,'Week 9 Feb 24 - Mar 1 2020'!D:D,'Week 8 Feb 17 - Feb 23 2020'!C:C,'Week 9 Feb 24 - Mar 1 2020'!C:C),"New")</f>
        <v>8687</v>
      </c>
      <c r="J4" s="28">
        <f t="shared" si="0"/>
        <v>0.44008288246805571</v>
      </c>
    </row>
    <row r="5" spans="1:10" x14ac:dyDescent="0.2">
      <c r="A5" s="25">
        <v>4</v>
      </c>
      <c r="B5" s="27">
        <v>10</v>
      </c>
      <c r="C5" s="18" t="s">
        <v>7</v>
      </c>
      <c r="D5" s="47" t="s">
        <v>49</v>
      </c>
      <c r="E5" s="12">
        <v>11958</v>
      </c>
      <c r="F5" s="12">
        <f>SUMIFS('Week 8 Feb 17 - Feb 23 2020'!F:F,'Week 8 Feb 17 - Feb 23 2020'!D:D,'Week 9 Feb 24 - Mar 1 2020'!D:D,'Week 8 Feb 17 - Feb 23 2020'!C:C,'Week 9 Feb 24 - Mar 1 2020'!C:C)+Table361191013[[#This Row],[Week Sales]]</f>
        <v>2793235</v>
      </c>
      <c r="G5" s="18" t="str">
        <f>(VLOOKUP(D:D,'Week 8 Feb 17 - Feb 23 2020'!D:G,4,FALSE))</f>
        <v>Nintendo</v>
      </c>
      <c r="H5" s="67">
        <f>(VLOOKUP(D:D,'Week 8 Feb 17 - Feb 23 2020'!D:H,5,FALSE))</f>
        <v>42853</v>
      </c>
      <c r="I5" s="12">
        <f>_xlfn.IFNA(SUMIFS('Week 8 Feb 17 - Feb 23 2020'!E:E,'Week 8 Feb 17 - Feb 23 2020'!D:D,'Week 9 Feb 24 - Mar 1 2020'!D:D,'Week 8 Feb 17 - Feb 23 2020'!C:C,'Week 9 Feb 24 - Mar 1 2020'!C:C),"New")</f>
        <v>7326</v>
      </c>
      <c r="J5" s="28">
        <f>IFERROR((E5-I5)/I5,"New")</f>
        <v>0.63226863226863228</v>
      </c>
    </row>
    <row r="6" spans="1:10" x14ac:dyDescent="0.2">
      <c r="A6" s="25">
        <v>5</v>
      </c>
      <c r="B6" s="27">
        <v>8</v>
      </c>
      <c r="C6" s="18" t="s">
        <v>7</v>
      </c>
      <c r="D6" s="47" t="s">
        <v>52</v>
      </c>
      <c r="E6" s="12">
        <v>11635</v>
      </c>
      <c r="F6" s="12">
        <f>SUMIFS('Week 8 Feb 17 - Feb 23 2020'!F:F,'Week 8 Feb 17 - Feb 23 2020'!D:D,'Week 9 Feb 24 - Mar 1 2020'!D:D,'Week 8 Feb 17 - Feb 23 2020'!C:C,'Week 9 Feb 24 - Mar 1 2020'!C:C)+Table361191013[[#This Row],[Week Sales]]</f>
        <v>3581055</v>
      </c>
      <c r="G6" s="18" t="str">
        <f>(VLOOKUP(D:D,'Week 8 Feb 17 - Feb 23 2020'!D:G,4,FALSE))</f>
        <v>Nintendo</v>
      </c>
      <c r="H6" s="67">
        <f>(VLOOKUP(D:D,'Week 8 Feb 17 - Feb 23 2020'!D:H,5,FALSE))</f>
        <v>43441</v>
      </c>
      <c r="I6" s="12">
        <f>_xlfn.IFNA(SUMIFS('Week 8 Feb 17 - Feb 23 2020'!E:E,'Week 8 Feb 17 - Feb 23 2020'!D:D,'Week 9 Feb 24 - Mar 1 2020'!D:D,'Week 8 Feb 17 - Feb 23 2020'!C:C,'Week 9 Feb 24 - Mar 1 2020'!C:C),"New")</f>
        <v>7608</v>
      </c>
      <c r="J6" s="28">
        <f t="shared" si="0"/>
        <v>0.52931125131440593</v>
      </c>
    </row>
    <row r="7" spans="1:10" x14ac:dyDescent="0.2">
      <c r="A7" s="13">
        <v>6</v>
      </c>
      <c r="B7" s="13" t="s">
        <v>36</v>
      </c>
      <c r="C7" s="9" t="s">
        <v>7</v>
      </c>
      <c r="D7" s="9" t="s">
        <v>202</v>
      </c>
      <c r="E7" s="10">
        <v>11610</v>
      </c>
      <c r="F7" s="10">
        <f>SUMIFS('Week 8 Feb 17 - Feb 23 2020'!F:F,'Week 8 Feb 17 - Feb 23 2020'!D:D,'Week 9 Feb 24 - Mar 1 2020'!D:D,'Week 8 Feb 17 - Feb 23 2020'!C:C,'Week 9 Feb 24 - Mar 1 2020'!C:C)+Table361191013[[#This Row],[Week Sales]]</f>
        <v>11610</v>
      </c>
      <c r="G7" s="9" t="s">
        <v>121</v>
      </c>
      <c r="H7" s="14">
        <v>43888</v>
      </c>
      <c r="I7" s="10" t="s">
        <v>36</v>
      </c>
      <c r="J7" s="92" t="str">
        <f>IFERROR((E7-I7)/I7,"New")</f>
        <v>New</v>
      </c>
    </row>
    <row r="8" spans="1:10" x14ac:dyDescent="0.2">
      <c r="A8" s="25">
        <v>7</v>
      </c>
      <c r="B8" s="27">
        <v>5</v>
      </c>
      <c r="C8" s="18" t="s">
        <v>7</v>
      </c>
      <c r="D8" s="47" t="s">
        <v>45</v>
      </c>
      <c r="E8" s="12">
        <v>8958</v>
      </c>
      <c r="F8" s="12">
        <f>SUMIFS('Week 8 Feb 17 - Feb 23 2020'!F:F,'Week 8 Feb 17 - Feb 23 2020'!D:D,'Week 9 Feb 24 - Mar 1 2020'!D:D,'Week 8 Feb 17 - Feb 23 2020'!C:C,'Week 9 Feb 24 - Mar 1 2020'!C:C)+Table361191013[[#This Row],[Week Sales]]</f>
        <v>704963</v>
      </c>
      <c r="G8" s="18" t="str">
        <f>(VLOOKUP(D:D,'Week 8 Feb 17 - Feb 23 2020'!D:G,4,FALSE))</f>
        <v>Nintendo</v>
      </c>
      <c r="H8" s="67">
        <f>(VLOOKUP(D:D,'Week 8 Feb 17 - Feb 23 2020'!D:H,5,FALSE))</f>
        <v>43756</v>
      </c>
      <c r="I8" s="12">
        <f>_xlfn.IFNA(SUMIFS('Week 8 Feb 17 - Feb 23 2020'!E:E,'Week 8 Feb 17 - Feb 23 2020'!D:D,'Week 9 Feb 24 - Mar 1 2020'!D:D,'Week 8 Feb 17 - Feb 23 2020'!C:C,'Week 9 Feb 24 - Mar 1 2020'!C:C),"New")</f>
        <v>9861</v>
      </c>
      <c r="J8" s="28">
        <f t="shared" si="0"/>
        <v>-9.1572862792820203E-2</v>
      </c>
    </row>
    <row r="9" spans="1:10" x14ac:dyDescent="0.2">
      <c r="A9" s="25">
        <v>8</v>
      </c>
      <c r="B9" s="27">
        <v>2</v>
      </c>
      <c r="C9" s="18" t="s">
        <v>7</v>
      </c>
      <c r="D9" s="47" t="s">
        <v>195</v>
      </c>
      <c r="E9" s="12">
        <v>8889</v>
      </c>
      <c r="F9" s="12">
        <f>SUMIFS('Week 8 Feb 17 - Feb 23 2020'!F:F,'Week 8 Feb 17 - Feb 23 2020'!D:D,'Week 9 Feb 24 - Mar 1 2020'!D:D,'Week 8 Feb 17 - Feb 23 2020'!C:C,'Week 9 Feb 24 - Mar 1 2020'!C:C)+Table361191013[[#This Row],[Week Sales]]</f>
        <v>55304</v>
      </c>
      <c r="G9" s="18" t="str">
        <f>(VLOOKUP(D:D,'Week 8 Feb 17 - Feb 23 2020'!D:G,4,FALSE))</f>
        <v>Atlus</v>
      </c>
      <c r="H9" s="67">
        <f>(VLOOKUP(D:D,'Week 8 Feb 17 - Feb 23 2020'!D:H,5,FALSE))</f>
        <v>43881</v>
      </c>
      <c r="I9" s="12">
        <f>_xlfn.IFNA(SUMIFS('Week 8 Feb 17 - Feb 23 2020'!E:E,'Week 8 Feb 17 - Feb 23 2020'!D:D,'Week 9 Feb 24 - Mar 1 2020'!D:D,'Week 8 Feb 17 - Feb 23 2020'!C:C,'Week 9 Feb 24 - Mar 1 2020'!C:C),"New")</f>
        <v>46415</v>
      </c>
      <c r="J9" s="28">
        <f>IFERROR((E9-I9)/I9,"New")</f>
        <v>-0.80848863513950231</v>
      </c>
    </row>
    <row r="10" spans="1:10" x14ac:dyDescent="0.2">
      <c r="A10" s="25">
        <v>9</v>
      </c>
      <c r="B10" s="27">
        <v>13</v>
      </c>
      <c r="C10" s="18" t="s">
        <v>7</v>
      </c>
      <c r="D10" s="47" t="s">
        <v>13</v>
      </c>
      <c r="E10" s="12">
        <v>7650</v>
      </c>
      <c r="F10" s="12">
        <f>SUMIFS('Week 8 Feb 17 - Feb 23 2020'!F:F,'Week 8 Feb 17 - Feb 23 2020'!D:D,'Week 9 Feb 24 - Mar 1 2020'!D:D,'Week 8 Feb 17 - Feb 23 2020'!C:C,'Week 9 Feb 24 - Mar 1 2020'!C:C)+Table361191013[[#This Row],[Week Sales]]</f>
        <v>1354554</v>
      </c>
      <c r="G10" s="18" t="str">
        <f>(VLOOKUP(D:D,'Week 8 Feb 17 - Feb 23 2020'!D:G,4,FALSE))</f>
        <v>Nintendo</v>
      </c>
      <c r="H10" s="67">
        <f>(VLOOKUP(D:D,'Week 8 Feb 17 - Feb 23 2020'!D:H,5,FALSE))</f>
        <v>43378</v>
      </c>
      <c r="I10" s="12">
        <f>_xlfn.IFNA(SUMIFS('Week 8 Feb 17 - Feb 23 2020'!E:E,'Week 8 Feb 17 - Feb 23 2020'!D:D,'Week 9 Feb 24 - Mar 1 2020'!D:D,'Week 8 Feb 17 - Feb 23 2020'!C:C,'Week 9 Feb 24 - Mar 1 2020'!C:C),"New")</f>
        <v>4497</v>
      </c>
      <c r="J10" s="28">
        <f t="shared" ref="J10:J22" si="1">IFERROR((E10-I10)/I10,"New")</f>
        <v>0.70113408939292865</v>
      </c>
    </row>
    <row r="11" spans="1:10" x14ac:dyDescent="0.2">
      <c r="A11" s="25">
        <v>10</v>
      </c>
      <c r="B11" s="27">
        <v>12</v>
      </c>
      <c r="C11" s="18" t="s">
        <v>7</v>
      </c>
      <c r="D11" s="47" t="s">
        <v>16</v>
      </c>
      <c r="E11" s="12">
        <v>7644</v>
      </c>
      <c r="F11" s="12">
        <f>SUMIFS('Week 8 Feb 17 - Feb 23 2020'!F:F,'Week 8 Feb 17 - Feb 23 2020'!D:D,'Week 9 Feb 24 - Mar 1 2020'!D:D,'Week 8 Feb 17 - Feb 23 2020'!C:C,'Week 9 Feb 24 - Mar 1 2020'!C:C)+Table361191013[[#This Row],[Week Sales]]</f>
        <v>165331</v>
      </c>
      <c r="G11" s="18" t="str">
        <f>(VLOOKUP(D:D,'Week 8 Feb 17 - Feb 23 2020'!D:G,4,FALSE))</f>
        <v>Nintendo</v>
      </c>
      <c r="H11" s="67">
        <f>(VLOOKUP(D:D,'Week 8 Feb 17 - Feb 23 2020'!D:H,5,FALSE))</f>
        <v>43826</v>
      </c>
      <c r="I11" s="12">
        <f>_xlfn.IFNA(SUMIFS('Week 8 Feb 17 - Feb 23 2020'!E:E,'Week 8 Feb 17 - Feb 23 2020'!D:D,'Week 9 Feb 24 - Mar 1 2020'!D:D,'Week 8 Feb 17 - Feb 23 2020'!C:C,'Week 9 Feb 24 - Mar 1 2020'!C:C),"New")</f>
        <v>6139</v>
      </c>
      <c r="J11" s="28">
        <f t="shared" si="1"/>
        <v>0.2451539338654504</v>
      </c>
    </row>
    <row r="12" spans="1:10" x14ac:dyDescent="0.2">
      <c r="A12" s="13">
        <v>11</v>
      </c>
      <c r="B12" s="13" t="s">
        <v>36</v>
      </c>
      <c r="C12" s="9" t="s">
        <v>8</v>
      </c>
      <c r="D12" s="9" t="s">
        <v>202</v>
      </c>
      <c r="E12" s="10">
        <v>7235</v>
      </c>
      <c r="F12" s="10">
        <f>SUMIFS('Week 8 Feb 17 - Feb 23 2020'!F:F,'Week 8 Feb 17 - Feb 23 2020'!D:D,'Week 9 Feb 24 - Mar 1 2020'!D:D,'Week 8 Feb 17 - Feb 23 2020'!C:C,'Week 9 Feb 24 - Mar 1 2020'!C:C)+Table361191013[[#This Row],[Week Sales]]</f>
        <v>7235</v>
      </c>
      <c r="G12" s="9" t="s">
        <v>121</v>
      </c>
      <c r="H12" s="14">
        <v>43888</v>
      </c>
      <c r="I12" s="10" t="s">
        <v>36</v>
      </c>
      <c r="J12" s="92" t="str">
        <f t="shared" si="1"/>
        <v>New</v>
      </c>
    </row>
    <row r="13" spans="1:10" x14ac:dyDescent="0.2">
      <c r="A13" s="25">
        <v>12</v>
      </c>
      <c r="B13" s="27">
        <v>14</v>
      </c>
      <c r="C13" s="18" t="s">
        <v>7</v>
      </c>
      <c r="D13" s="47" t="s">
        <v>10</v>
      </c>
      <c r="E13" s="12">
        <v>6798</v>
      </c>
      <c r="F13" s="12">
        <f>SUMIFS('Week 8 Feb 17 - Feb 23 2020'!F:F,'Week 8 Feb 17 - Feb 23 2020'!D:D,'Week 9 Feb 24 - Mar 1 2020'!D:D,'Week 8 Feb 17 - Feb 23 2020'!C:C,'Week 9 Feb 24 - Mar 1 2020'!C:C)+Table361191013[[#This Row],[Week Sales]]</f>
        <v>3327830</v>
      </c>
      <c r="G13" s="18" t="str">
        <f>(VLOOKUP(D:D,'Week 8 Feb 17 - Feb 23 2020'!D:G,4,FALSE))</f>
        <v>Nintendo</v>
      </c>
      <c r="H13" s="67">
        <f>(VLOOKUP(D:D,'Week 8 Feb 17 - Feb 23 2020'!D:H,5,FALSE))</f>
        <v>42937</v>
      </c>
      <c r="I13" s="12">
        <f>_xlfn.IFNA(SUMIFS('Week 8 Feb 17 - Feb 23 2020'!E:E,'Week 8 Feb 17 - Feb 23 2020'!D:D,'Week 9 Feb 24 - Mar 1 2020'!D:D,'Week 8 Feb 17 - Feb 23 2020'!C:C,'Week 9 Feb 24 - Mar 1 2020'!C:C),"New")</f>
        <v>4140</v>
      </c>
      <c r="J13" s="28">
        <f t="shared" si="1"/>
        <v>0.64202898550724641</v>
      </c>
    </row>
    <row r="14" spans="1:10" x14ac:dyDescent="0.2">
      <c r="A14" s="13">
        <v>13</v>
      </c>
      <c r="B14" s="13" t="s">
        <v>36</v>
      </c>
      <c r="C14" s="9" t="s">
        <v>7</v>
      </c>
      <c r="D14" s="9" t="s">
        <v>203</v>
      </c>
      <c r="E14" s="10">
        <v>5838</v>
      </c>
      <c r="F14" s="10">
        <f>SUMIFS('Week 8 Feb 17 - Feb 23 2020'!F:F,'Week 8 Feb 17 - Feb 23 2020'!D:D,'Week 9 Feb 24 - Mar 1 2020'!D:D,'Week 8 Feb 17 - Feb 23 2020'!C:C,'Week 9 Feb 24 - Mar 1 2020'!C:C)+Table361191013[[#This Row],[Week Sales]]</f>
        <v>5838</v>
      </c>
      <c r="G14" s="9" t="s">
        <v>29</v>
      </c>
      <c r="H14" s="102">
        <v>43888</v>
      </c>
      <c r="I14" s="10" t="s">
        <v>36</v>
      </c>
      <c r="J14" s="92" t="str">
        <f t="shared" si="1"/>
        <v>New</v>
      </c>
    </row>
    <row r="15" spans="1:10" x14ac:dyDescent="0.2">
      <c r="A15" s="25">
        <v>14</v>
      </c>
      <c r="B15" s="27">
        <v>15</v>
      </c>
      <c r="C15" s="18" t="s">
        <v>7</v>
      </c>
      <c r="D15" s="47" t="s">
        <v>39</v>
      </c>
      <c r="E15" s="12">
        <v>5747</v>
      </c>
      <c r="F15" s="12">
        <f>SUMIFS('Week 8 Feb 17 - Feb 23 2020'!F:F,'Week 8 Feb 17 - Feb 23 2020'!D:D,'Week 9 Feb 24 - Mar 1 2020'!D:D,'Week 8 Feb 17 - Feb 23 2020'!C:C,'Week 9 Feb 24 - Mar 1 2020'!C:C)+Table361191013[[#This Row],[Week Sales]]</f>
        <v>1530839</v>
      </c>
      <c r="G15" s="18" t="str">
        <f>(VLOOKUP(D:D,'Week 8 Feb 17 - Feb 23 2020'!D:G,4,FALSE))</f>
        <v>Nintendo</v>
      </c>
      <c r="H15" s="67">
        <f>(VLOOKUP(D:D,'Week 8 Feb 17 - Feb 23 2020'!D:H,5,FALSE))</f>
        <v>42797</v>
      </c>
      <c r="I15" s="12">
        <f>_xlfn.IFNA(SUMIFS('Week 8 Feb 17 - Feb 23 2020'!E:E,'Week 8 Feb 17 - Feb 23 2020'!D:D,'Week 9 Feb 24 - Mar 1 2020'!D:D,'Week 8 Feb 17 - Feb 23 2020'!C:C,'Week 9 Feb 24 - Mar 1 2020'!C:C),"New")</f>
        <v>3992</v>
      </c>
      <c r="J15" s="28">
        <f t="shared" si="1"/>
        <v>0.43962925851703405</v>
      </c>
    </row>
    <row r="16" spans="1:10" x14ac:dyDescent="0.2">
      <c r="A16" s="25">
        <v>15</v>
      </c>
      <c r="B16" s="27">
        <v>18</v>
      </c>
      <c r="C16" s="18" t="s">
        <v>7</v>
      </c>
      <c r="D16" s="47" t="s">
        <v>19</v>
      </c>
      <c r="E16" s="12">
        <v>4971</v>
      </c>
      <c r="F16" s="12">
        <f>SUMIFS('Week 8 Feb 17 - Feb 23 2020'!F:F,'Week 8 Feb 17 - Feb 23 2020'!D:D,'Week 9 Feb 24 - Mar 1 2020'!D:D,'Week 8 Feb 17 - Feb 23 2020'!C:C,'Week 9 Feb 24 - Mar 1 2020'!C:C)+Table361191013[[#This Row],[Week Sales]]</f>
        <v>864345</v>
      </c>
      <c r="G16" s="18" t="str">
        <f>(VLOOKUP(D:D,'Week 8 Feb 17 - Feb 23 2020'!D:G,4,FALSE))</f>
        <v>Nintendo</v>
      </c>
      <c r="H16" s="67">
        <f>(VLOOKUP(D:D,'Week 8 Feb 17 - Feb 23 2020'!D:H,5,FALSE))</f>
        <v>43644</v>
      </c>
      <c r="I16" s="12">
        <f>_xlfn.IFNA(SUMIFS('Week 8 Feb 17 - Feb 23 2020'!E:E,'Week 8 Feb 17 - Feb 23 2020'!D:D,'Week 9 Feb 24 - Mar 1 2020'!D:D,'Week 8 Feb 17 - Feb 23 2020'!C:C,'Week 9 Feb 24 - Mar 1 2020'!C:C),"New")</f>
        <v>3387</v>
      </c>
      <c r="J16" s="28">
        <f t="shared" si="1"/>
        <v>0.46767050487156775</v>
      </c>
    </row>
    <row r="17" spans="1:12" x14ac:dyDescent="0.2">
      <c r="A17" s="25">
        <v>16</v>
      </c>
      <c r="B17" s="27">
        <v>17</v>
      </c>
      <c r="C17" s="18" t="s">
        <v>7</v>
      </c>
      <c r="D17" s="47" t="s">
        <v>79</v>
      </c>
      <c r="E17" s="12">
        <v>4774</v>
      </c>
      <c r="F17" s="12">
        <f>SUMIFS('Week 8 Feb 17 - Feb 23 2020'!F:F,'Week 8 Feb 17 - Feb 23 2020'!D:D,'Week 9 Feb 24 - Mar 1 2020'!D:D,'Week 8 Feb 17 - Feb 23 2020'!C:C,'Week 9 Feb 24 - Mar 1 2020'!C:C)+Table361191013[[#This Row],[Week Sales]]</f>
        <v>607503</v>
      </c>
      <c r="G17" s="18" t="str">
        <f>(VLOOKUP(D:D,'Week 8 Feb 17 - Feb 23 2020'!D:G,4,FALSE))</f>
        <v>Nintendo</v>
      </c>
      <c r="H17" s="67">
        <f>(VLOOKUP(D:D,'Week 8 Feb 17 - Feb 23 2020'!D:H,5,FALSE))</f>
        <v>43769</v>
      </c>
      <c r="I17" s="12">
        <f>_xlfn.IFNA(SUMIFS('Week 8 Feb 17 - Feb 23 2020'!E:E,'Week 8 Feb 17 - Feb 23 2020'!D:D,'Week 9 Feb 24 - Mar 1 2020'!D:D,'Week 8 Feb 17 - Feb 23 2020'!C:C,'Week 9 Feb 24 - Mar 1 2020'!C:C),"New")</f>
        <v>3472</v>
      </c>
      <c r="J17" s="28">
        <f t="shared" si="1"/>
        <v>0.375</v>
      </c>
    </row>
    <row r="18" spans="1:12" x14ac:dyDescent="0.2">
      <c r="A18" s="25">
        <v>17</v>
      </c>
      <c r="B18" s="27">
        <v>21</v>
      </c>
      <c r="C18" s="18" t="s">
        <v>7</v>
      </c>
      <c r="D18" s="47" t="s">
        <v>17</v>
      </c>
      <c r="E18" s="12">
        <v>4571</v>
      </c>
      <c r="F18" s="12">
        <f>SUMIFS('Week 8 Feb 17 - Feb 23 2020'!F:F,'Week 8 Feb 17 - Feb 23 2020'!D:D,'Week 9 Feb 24 - Mar 1 2020'!D:D,'Week 8 Feb 17 - Feb 23 2020'!C:C,'Week 9 Feb 24 - Mar 1 2020'!C:C)+Table361191013[[#This Row],[Week Sales]]</f>
        <v>788253</v>
      </c>
      <c r="G18" s="18" t="str">
        <f>(VLOOKUP(D:D,'Week 8 Feb 17 - Feb 23 2020'!D:G,4,FALSE))</f>
        <v>Nintendo</v>
      </c>
      <c r="H18" s="67">
        <f>(VLOOKUP(D:D,'Week 8 Feb 17 - Feb 23 2020'!D:H,5,FALSE))</f>
        <v>43476</v>
      </c>
      <c r="I18" s="12">
        <f>_xlfn.IFNA(SUMIFS('Week 8 Feb 17 - Feb 23 2020'!E:E,'Week 8 Feb 17 - Feb 23 2020'!D:D,'Week 9 Feb 24 - Mar 1 2020'!D:D,'Week 8 Feb 17 - Feb 23 2020'!C:C,'Week 9 Feb 24 - Mar 1 2020'!C:C),"New")</f>
        <v>2668</v>
      </c>
      <c r="J18" s="28">
        <f t="shared" si="1"/>
        <v>0.71326836581709141</v>
      </c>
    </row>
    <row r="19" spans="1:12" x14ac:dyDescent="0.2">
      <c r="A19" s="13">
        <v>18</v>
      </c>
      <c r="B19" s="13" t="s">
        <v>36</v>
      </c>
      <c r="C19" s="9" t="s">
        <v>8</v>
      </c>
      <c r="D19" s="9" t="s">
        <v>204</v>
      </c>
      <c r="E19" s="10">
        <v>4566</v>
      </c>
      <c r="F19" s="10">
        <f>SUMIFS('Week 8 Feb 17 - Feb 23 2020'!F:F,'Week 8 Feb 17 - Feb 23 2020'!D:D,'Week 9 Feb 24 - Mar 1 2020'!D:D,'Week 8 Feb 17 - Feb 23 2020'!C:C,'Week 9 Feb 24 - Mar 1 2020'!C:C)+Table361191013[[#This Row],[Week Sales]]</f>
        <v>4566</v>
      </c>
      <c r="G19" s="9" t="s">
        <v>34</v>
      </c>
      <c r="H19" s="102">
        <v>43888</v>
      </c>
      <c r="I19" s="10" t="s">
        <v>36</v>
      </c>
      <c r="J19" s="92" t="str">
        <f t="shared" si="1"/>
        <v>New</v>
      </c>
      <c r="K19" s="5"/>
      <c r="L19" s="5"/>
    </row>
    <row r="20" spans="1:12" x14ac:dyDescent="0.2">
      <c r="A20" s="25">
        <v>19</v>
      </c>
      <c r="B20" s="27">
        <v>23</v>
      </c>
      <c r="C20" s="18" t="s">
        <v>7</v>
      </c>
      <c r="D20" s="47" t="s">
        <v>80</v>
      </c>
      <c r="E20" s="12">
        <v>4488</v>
      </c>
      <c r="F20" s="12">
        <f>SUMIFS('Week 8 Feb 17 - Feb 23 2020'!F:F,'Week 8 Feb 17 - Feb 23 2020'!D:D,'Week 9 Feb 24 - Mar 1 2020'!D:D,'Week 8 Feb 17 - Feb 23 2020'!C:C,'Week 9 Feb 24 - Mar 1 2020'!C:C)+Table361191013[[#This Row],[Week Sales]]</f>
        <v>278925</v>
      </c>
      <c r="G20" s="18" t="str">
        <f>(VLOOKUP(D:D,'Week 8 Feb 17 - Feb 23 2020'!D:G,4,FALSE))</f>
        <v>Sega</v>
      </c>
      <c r="H20" s="67">
        <f>(VLOOKUP(D:D,'Week 8 Feb 17 - Feb 23 2020'!D:H,5,FALSE))</f>
        <v>43770</v>
      </c>
      <c r="I20" s="12">
        <f>_xlfn.IFNA(SUMIFS('Week 8 Feb 17 - Feb 23 2020'!E:E,'Week 8 Feb 17 - Feb 23 2020'!D:D,'Week 9 Feb 24 - Mar 1 2020'!D:D,'Week 8 Feb 17 - Feb 23 2020'!C:C,'Week 9 Feb 24 - Mar 1 2020'!C:C),"New")</f>
        <v>2526</v>
      </c>
      <c r="J20" s="28">
        <f t="shared" si="1"/>
        <v>0.77672209026128269</v>
      </c>
    </row>
    <row r="21" spans="1:12" x14ac:dyDescent="0.2">
      <c r="A21" s="25">
        <v>20</v>
      </c>
      <c r="B21" s="27">
        <v>7</v>
      </c>
      <c r="C21" s="18" t="s">
        <v>7</v>
      </c>
      <c r="D21" s="47" t="s">
        <v>192</v>
      </c>
      <c r="E21" s="12">
        <v>4467</v>
      </c>
      <c r="F21" s="12">
        <f>SUMIFS('Week 8 Feb 17 - Feb 23 2020'!F:F,'Week 8 Feb 17 - Feb 23 2020'!D:D,'Week 9 Feb 24 - Mar 1 2020'!D:D,'Week 8 Feb 17 - Feb 23 2020'!C:C,'Week 9 Feb 24 - Mar 1 2020'!C:C)+Table361191013[[#This Row],[Week Sales]]</f>
        <v>66541</v>
      </c>
      <c r="G21" s="18" t="str">
        <f>(VLOOKUP(D:D,'Week 8 Feb 17 - Feb 23 2020'!D:G,4,FALSE))</f>
        <v>Sega</v>
      </c>
      <c r="H21" s="67">
        <f>(VLOOKUP(D:D,'Week 8 Feb 17 - Feb 23 2020'!D:H,5,FALSE))</f>
        <v>43874</v>
      </c>
      <c r="I21" s="12">
        <f>_xlfn.IFNA(SUMIFS('Week 8 Feb 17 - Feb 23 2020'!E:E,'Week 8 Feb 17 - Feb 23 2020'!D:D,'Week 9 Feb 24 - Mar 1 2020'!D:D,'Week 8 Feb 17 - Feb 23 2020'!C:C,'Week 9 Feb 24 - Mar 1 2020'!C:C),"New")</f>
        <v>8468</v>
      </c>
      <c r="J21" s="28">
        <f t="shared" si="1"/>
        <v>-0.47248464808691543</v>
      </c>
    </row>
    <row r="22" spans="1:12" x14ac:dyDescent="0.2">
      <c r="A22" s="25">
        <v>21</v>
      </c>
      <c r="B22" s="27">
        <v>21</v>
      </c>
      <c r="C22" s="18" t="s">
        <v>7</v>
      </c>
      <c r="D22" s="47" t="s">
        <v>20</v>
      </c>
      <c r="E22" s="12">
        <v>3929</v>
      </c>
      <c r="F22" s="12">
        <f>SUMIFS('Week 8 Feb 17 - Feb 23 2020'!F:F,'Week 8 Feb 17 - Feb 23 2020'!D:D,'Week 9 Feb 24 - Mar 1 2020'!D:D,'Week 8 Feb 17 - Feb 23 2020'!C:C,'Week 9 Feb 24 - Mar 1 2020'!C:C)+Table361191013[[#This Row],[Week Sales]]</f>
        <v>399562</v>
      </c>
      <c r="G22" s="18" t="str">
        <f>(VLOOKUP(D:D,'Week 8 Feb 17 - Feb 23 2020'!D:G,4,FALSE))</f>
        <v>Bandai Namco</v>
      </c>
      <c r="H22" s="67">
        <f>(VLOOKUP(D:D,'Week 8 Feb 17 - Feb 23 2020'!D:H,5,FALSE))</f>
        <v>43671</v>
      </c>
      <c r="I22" s="12">
        <f>_xlfn.IFNA(SUMIFS('Week 8 Feb 17 - Feb 23 2020'!E:E,'Week 8 Feb 17 - Feb 23 2020'!D:D,'Week 9 Feb 24 - Mar 1 2020'!D:D,'Week 8 Feb 17 - Feb 23 2020'!C:C,'Week 9 Feb 24 - Mar 1 2020'!C:C),"New")</f>
        <v>2579</v>
      </c>
      <c r="J22" s="28">
        <f t="shared" si="1"/>
        <v>0.52345870492438928</v>
      </c>
    </row>
    <row r="23" spans="1:12" x14ac:dyDescent="0.2">
      <c r="A23" s="25">
        <v>22</v>
      </c>
      <c r="B23" s="27">
        <v>4</v>
      </c>
      <c r="C23" s="18" t="s">
        <v>8</v>
      </c>
      <c r="D23" s="47" t="s">
        <v>196</v>
      </c>
      <c r="E23" s="12">
        <v>3795</v>
      </c>
      <c r="F23" s="12">
        <f>SUMIFS('Week 8 Feb 17 - Feb 23 2020'!F:F,'Week 8 Feb 17 - Feb 23 2020'!D:D,'Week 9 Feb 24 - Mar 1 2020'!D:D,'Week 8 Feb 17 - Feb 23 2020'!C:C,'Week 9 Feb 24 - Mar 1 2020'!C:C)+Table361191013[[#This Row],[Week Sales]]</f>
        <v>14449</v>
      </c>
      <c r="G23" s="18" t="str">
        <f>(VLOOKUP(D:D,'Week 8 Feb 17 - Feb 23 2020'!D:G,4,FALSE))</f>
        <v>Spike Chunsoft</v>
      </c>
      <c r="H23" s="67">
        <f>(VLOOKUP(D:D,'Week 8 Feb 17 - Feb 23 2020'!D:H,5,FALSE))</f>
        <v>43881</v>
      </c>
      <c r="I23" s="12">
        <f>_xlfn.IFNA(SUMIFS('Week 8 Feb 17 - Feb 23 2020'!E:E,'Week 8 Feb 17 - Feb 23 2020'!D:D,'Week 9 Feb 24 - Mar 1 2020'!D:D,'Week 8 Feb 17 - Feb 23 2020'!C:C,'Week 9 Feb 24 - Mar 1 2020'!C:C),"New")</f>
        <v>10654</v>
      </c>
      <c r="J23" s="28">
        <f>IFERROR((E23-I23)/I23,"New")</f>
        <v>-0.64379575746198614</v>
      </c>
    </row>
    <row r="24" spans="1:12" x14ac:dyDescent="0.2">
      <c r="A24" s="13">
        <v>23</v>
      </c>
      <c r="B24" s="13" t="s">
        <v>36</v>
      </c>
      <c r="C24" s="9" t="s">
        <v>7</v>
      </c>
      <c r="D24" s="9" t="s">
        <v>205</v>
      </c>
      <c r="E24" s="10">
        <v>3428</v>
      </c>
      <c r="F24" s="10">
        <f>SUMIFS('Week 8 Feb 17 - Feb 23 2020'!F:F,'Week 8 Feb 17 - Feb 23 2020'!D:D,'Week 9 Feb 24 - Mar 1 2020'!D:D,'Week 8 Feb 17 - Feb 23 2020'!C:C,'Week 9 Feb 24 - Mar 1 2020'!C:C)+Table361191013[[#This Row],[Week Sales]]</f>
        <v>3428</v>
      </c>
      <c r="G24" s="9" t="s">
        <v>207</v>
      </c>
      <c r="H24" s="102">
        <v>43888</v>
      </c>
      <c r="I24" s="10" t="s">
        <v>36</v>
      </c>
      <c r="J24" s="92" t="str">
        <f>IFERROR((E24-I24)/I24,"New")</f>
        <v>New</v>
      </c>
    </row>
    <row r="25" spans="1:12" x14ac:dyDescent="0.2">
      <c r="A25" s="25">
        <v>24</v>
      </c>
      <c r="B25" s="27">
        <v>16</v>
      </c>
      <c r="C25" s="18" t="s">
        <v>8</v>
      </c>
      <c r="D25" s="47" t="s">
        <v>191</v>
      </c>
      <c r="E25" s="12">
        <v>3138</v>
      </c>
      <c r="F25" s="12">
        <f>SUMIFS('Week 8 Feb 17 - Feb 23 2020'!F:F,'Week 8 Feb 17 - Feb 23 2020'!D:D,'Week 9 Feb 24 - Mar 1 2020'!D:D,'Week 8 Feb 17 - Feb 23 2020'!C:C,'Week 9 Feb 24 - Mar 1 2020'!C:C)+Table361191013[[#This Row],[Week Sales]]</f>
        <v>105452</v>
      </c>
      <c r="G25" s="18" t="str">
        <f>(VLOOKUP(D:D,'Week 8 Feb 17 - Feb 23 2020'!D:G,4,FALSE))</f>
        <v>Cygames</v>
      </c>
      <c r="H25" s="67">
        <f>(VLOOKUP(D:D,'Week 8 Feb 17 - Feb 23 2020'!D:H,5,FALSE))</f>
        <v>43867</v>
      </c>
      <c r="I25" s="12">
        <f>_xlfn.IFNA(SUMIFS('Week 8 Feb 17 - Feb 23 2020'!E:E,'Week 8 Feb 17 - Feb 23 2020'!D:D,'Week 9 Feb 24 - Mar 1 2020'!D:D,'Week 8 Feb 17 - Feb 23 2020'!C:C,'Week 9 Feb 24 - Mar 1 2020'!C:C),"New")</f>
        <v>3901</v>
      </c>
      <c r="J25" s="28">
        <f t="shared" ref="J25:J30" si="2">IFERROR((E25-I25)/I25,"New")</f>
        <v>-0.19559087413483722</v>
      </c>
    </row>
    <row r="26" spans="1:12" x14ac:dyDescent="0.2">
      <c r="A26" s="25">
        <v>25</v>
      </c>
      <c r="B26" s="27">
        <v>19</v>
      </c>
      <c r="C26" s="18" t="s">
        <v>8</v>
      </c>
      <c r="D26" s="47" t="s">
        <v>181</v>
      </c>
      <c r="E26" s="12">
        <v>3059</v>
      </c>
      <c r="F26" s="12">
        <f>SUMIFS('Week 8 Feb 17 - Feb 23 2020'!F:F,'Week 8 Feb 17 - Feb 23 2020'!D:D,'Week 9 Feb 24 - Mar 1 2020'!D:D,'Week 8 Feb 17 - Feb 23 2020'!C:C,'Week 9 Feb 24 - Mar 1 2020'!C:C)+Table361191013[[#This Row],[Week Sales]]</f>
        <v>241689</v>
      </c>
      <c r="G26" s="18" t="str">
        <f>(VLOOKUP(D:D,'Week 8 Feb 17 - Feb 23 2020'!D:G,4,FALSE))</f>
        <v>Sega</v>
      </c>
      <c r="H26" s="67">
        <f>(VLOOKUP(D:D,'Week 8 Feb 17 - Feb 23 2020'!D:H,5,FALSE))</f>
        <v>43847</v>
      </c>
      <c r="I26" s="12">
        <f>_xlfn.IFNA(SUMIFS('Week 8 Feb 17 - Feb 23 2020'!E:E,'Week 8 Feb 17 - Feb 23 2020'!D:D,'Week 9 Feb 24 - Mar 1 2020'!D:D,'Week 8 Feb 17 - Feb 23 2020'!C:C,'Week 9 Feb 24 - Mar 1 2020'!C:C),"New")</f>
        <v>3327</v>
      </c>
      <c r="J26" s="28">
        <f t="shared" si="2"/>
        <v>-8.055305079651337E-2</v>
      </c>
    </row>
    <row r="27" spans="1:12" x14ac:dyDescent="0.2">
      <c r="A27" s="25">
        <v>26</v>
      </c>
      <c r="B27" s="27">
        <v>25</v>
      </c>
      <c r="C27" s="18" t="s">
        <v>7</v>
      </c>
      <c r="D27" s="47" t="s">
        <v>83</v>
      </c>
      <c r="E27" s="12">
        <v>2945</v>
      </c>
      <c r="F27" s="12">
        <f>SUMIFS('Week 8 Feb 17 - Feb 23 2020'!F:F,'Week 8 Feb 17 - Feb 23 2020'!D:D,'Week 9 Feb 24 - Mar 1 2020'!D:D,'Week 8 Feb 17 - Feb 23 2020'!C:C,'Week 9 Feb 24 - Mar 1 2020'!C:C)+Table361191013[[#This Row],[Week Sales]]</f>
        <v>492970</v>
      </c>
      <c r="G27" s="18" t="str">
        <f>(VLOOKUP(D:D,'Week 8 Feb 17 - Feb 23 2020'!D:G,4,FALSE))</f>
        <v>Square Enix</v>
      </c>
      <c r="H27" s="67">
        <f>(VLOOKUP(D:D,'Week 8 Feb 17 - Feb 23 2020'!D:H,5,FALSE))</f>
        <v>43735</v>
      </c>
      <c r="I27" s="12">
        <f>_xlfn.IFNA(SUMIFS('Week 8 Feb 17 - Feb 23 2020'!E:E,'Week 8 Feb 17 - Feb 23 2020'!D:D,'Week 9 Feb 24 - Mar 1 2020'!D:D,'Week 8 Feb 17 - Feb 23 2020'!C:C,'Week 9 Feb 24 - Mar 1 2020'!C:C),"New")</f>
        <v>2044</v>
      </c>
      <c r="J27" s="28">
        <f>IFERROR((E27-I27)/I27,"New")</f>
        <v>0.44080234833659493</v>
      </c>
    </row>
    <row r="28" spans="1:12" x14ac:dyDescent="0.2">
      <c r="A28" s="25">
        <v>27</v>
      </c>
      <c r="B28" s="27">
        <v>27</v>
      </c>
      <c r="C28" s="18" t="s">
        <v>7</v>
      </c>
      <c r="D28" s="47" t="s">
        <v>25</v>
      </c>
      <c r="E28" s="12">
        <v>2859</v>
      </c>
      <c r="F28" s="12">
        <f>SUMIFS('Week 8 Feb 17 - Feb 23 2020'!F:F,'Week 8 Feb 17 - Feb 23 2020'!D:D,'Week 9 Feb 24 - Mar 1 2020'!D:D,'Week 8 Feb 17 - Feb 23 2020'!C:C,'Week 9 Feb 24 - Mar 1 2020'!C:C)+Table361191013[[#This Row],[Week Sales]]</f>
        <v>450067</v>
      </c>
      <c r="G28" s="18" t="str">
        <f>(VLOOKUP(D:D,'Week 8 Feb 17 - Feb 23 2020'!D:G,4,FALSE))</f>
        <v>Bandai Namco</v>
      </c>
      <c r="H28" s="67">
        <f>(VLOOKUP(D:D,'Week 8 Feb 17 - Feb 23 2020'!D:H,5,FALSE))</f>
        <v>43300</v>
      </c>
      <c r="I28" s="12">
        <f>_xlfn.IFNA(SUMIFS('Week 8 Feb 17 - Feb 23 2020'!E:E,'Week 8 Feb 17 - Feb 23 2020'!D:D,'Week 9 Feb 24 - Mar 1 2020'!D:D,'Week 8 Feb 17 - Feb 23 2020'!C:C,'Week 9 Feb 24 - Mar 1 2020'!C:C),"New")</f>
        <v>1882</v>
      </c>
      <c r="J28" s="28">
        <f t="shared" si="2"/>
        <v>0.5191285866099894</v>
      </c>
    </row>
    <row r="29" spans="1:12" x14ac:dyDescent="0.2">
      <c r="A29" s="13">
        <v>28</v>
      </c>
      <c r="B29" s="13" t="s">
        <v>36</v>
      </c>
      <c r="C29" s="9" t="s">
        <v>7</v>
      </c>
      <c r="D29" s="9" t="s">
        <v>206</v>
      </c>
      <c r="E29" s="10">
        <v>2736</v>
      </c>
      <c r="F29" s="10">
        <f>SUMIFS('Week 8 Feb 17 - Feb 23 2020'!F:F,'Week 8 Feb 17 - Feb 23 2020'!D:D,'Week 9 Feb 24 - Mar 1 2020'!D:D,'Week 8 Feb 17 - Feb 23 2020'!C:C,'Week 9 Feb 24 - Mar 1 2020'!C:C)+Table361191013[[#This Row],[Week Sales]]</f>
        <v>2736</v>
      </c>
      <c r="G29" s="9" t="s">
        <v>208</v>
      </c>
      <c r="H29" s="102">
        <v>43888</v>
      </c>
      <c r="I29" s="10" t="s">
        <v>36</v>
      </c>
      <c r="J29" s="92" t="str">
        <f>IFERROR((E29-I29)/I29,"New")</f>
        <v>New</v>
      </c>
    </row>
    <row r="30" spans="1:12" x14ac:dyDescent="0.2">
      <c r="A30" s="25">
        <v>29</v>
      </c>
      <c r="B30" s="27">
        <v>20</v>
      </c>
      <c r="C30" s="18" t="s">
        <v>8</v>
      </c>
      <c r="D30" s="47" t="s">
        <v>182</v>
      </c>
      <c r="E30" s="12">
        <v>2623</v>
      </c>
      <c r="F30" s="12">
        <f>SUMIFS('Week 8 Feb 17 - Feb 23 2020'!F:F,'Week 8 Feb 17 - Feb 23 2020'!D:D,'Week 9 Feb 24 - Mar 1 2020'!D:D,'Week 8 Feb 17 - Feb 23 2020'!C:C,'Week 9 Feb 24 - Mar 1 2020'!C:C)+Table361191013[[#This Row],[Week Sales]]</f>
        <v>147705</v>
      </c>
      <c r="G30" s="18" t="str">
        <f>(VLOOKUP(D:D,'Week 8 Feb 17 - Feb 23 2020'!D:G,4,FALSE))</f>
        <v>Bandai Namco</v>
      </c>
      <c r="H30" s="67">
        <f>(VLOOKUP(D:D,'Week 8 Feb 17 - Feb 23 2020'!D:H,5,FALSE))</f>
        <v>43847</v>
      </c>
      <c r="I30" s="12">
        <f>_xlfn.IFNA(SUMIFS('Week 8 Feb 17 - Feb 23 2020'!E:E,'Week 8 Feb 17 - Feb 23 2020'!D:D,'Week 9 Feb 24 - Mar 1 2020'!D:D,'Week 8 Feb 17 - Feb 23 2020'!C:C,'Week 9 Feb 24 - Mar 1 2020'!C:C),"New")</f>
        <v>2909</v>
      </c>
      <c r="J30" s="28">
        <f t="shared" si="2"/>
        <v>-9.8315572361636294E-2</v>
      </c>
    </row>
    <row r="31" spans="1:12" x14ac:dyDescent="0.2">
      <c r="A31" s="25">
        <v>30</v>
      </c>
      <c r="B31" s="27">
        <v>29</v>
      </c>
      <c r="C31" s="18" t="s">
        <v>7</v>
      </c>
      <c r="D31" s="47" t="s">
        <v>26</v>
      </c>
      <c r="E31" s="12">
        <v>2529</v>
      </c>
      <c r="F31" s="12">
        <f>SUMIFS('Week 8 Feb 17 - Feb 23 2020'!F:F,'Week 8 Feb 17 - Feb 23 2020'!D:D,'Week 9 Feb 24 - Mar 1 2020'!D:D,'Week 8 Feb 17 - Feb 23 2020'!C:C,'Week 9 Feb 24 - Mar 1 2020'!C:C)+Table361191013[[#This Row],[Week Sales]]</f>
        <v>2074997</v>
      </c>
      <c r="G31" s="18" t="str">
        <f>(VLOOKUP(D:D,'Week 8 Feb 17 - Feb 23 2020'!D:G,4,FALSE))</f>
        <v>Nintendo</v>
      </c>
      <c r="H31" s="67">
        <f>(VLOOKUP(D:D,'Week 8 Feb 17 - Feb 23 2020'!D:H,5,FALSE))</f>
        <v>43035</v>
      </c>
      <c r="I31" s="12">
        <f>_xlfn.IFNA(SUMIFS('Week 8 Feb 17 - Feb 23 2020'!E:E,'Week 8 Feb 17 - Feb 23 2020'!D:D,'Week 9 Feb 24 - Mar 1 2020'!D:D,'Week 8 Feb 17 - Feb 23 2020'!C:C,'Week 9 Feb 24 - Mar 1 2020'!C:C),"New")</f>
        <v>1742</v>
      </c>
      <c r="J31" s="28">
        <f>IFERROR((E31-I31)/I31,"New")</f>
        <v>0.45177956371986222</v>
      </c>
    </row>
    <row r="32" spans="1:12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209740</v>
      </c>
      <c r="F33" s="2"/>
      <c r="I33" s="2"/>
      <c r="J33" s="19"/>
    </row>
    <row r="34" spans="1:10" x14ac:dyDescent="0.2">
      <c r="A34" s="3"/>
      <c r="B34" s="3"/>
      <c r="D34" s="100" t="s">
        <v>178</v>
      </c>
      <c r="E34" s="101">
        <f>SUM('Week 8 Feb 17 - Feb 23 2020'!E34,'Week 9 Feb 24 - Mar 1 2020'!E33)</f>
        <v>2992291</v>
      </c>
      <c r="F34" s="2"/>
      <c r="I34" s="2"/>
      <c r="J34" s="19"/>
    </row>
    <row r="35" spans="1:10" x14ac:dyDescent="0.2">
      <c r="A35" s="3"/>
      <c r="B35" s="3"/>
      <c r="D35" s="98" t="s">
        <v>201</v>
      </c>
      <c r="E35" s="99">
        <f>SUM('Week 6 Feb 3 - Feb 9 2020'!E33,'Week 7 Feb 10 - Feb 16 2020'!E33,'Week 8 Feb 17 - Feb 23 2020'!E33,'Week 9 Feb 24 - Mar 1 2020'!E33)</f>
        <v>979104</v>
      </c>
      <c r="F35" s="2"/>
      <c r="I35" s="2"/>
      <c r="J35" s="19"/>
    </row>
    <row r="36" spans="1:10" x14ac:dyDescent="0.2">
      <c r="A36" s="3"/>
      <c r="B36" s="3"/>
      <c r="D36" s="2" t="s">
        <v>60</v>
      </c>
      <c r="E36" s="2">
        <f>AVERAGE(E2:E31)</f>
        <v>6991.333333333333</v>
      </c>
      <c r="F36" s="2"/>
      <c r="I36" s="2"/>
      <c r="J36" s="19"/>
    </row>
    <row r="37" spans="1:10" x14ac:dyDescent="0.2">
      <c r="A37" s="3"/>
      <c r="B37" s="3"/>
      <c r="D37" s="9" t="s">
        <v>78</v>
      </c>
      <c r="E37" s="10">
        <f>COUNTIF(B:B,"New")</f>
        <v>6</v>
      </c>
      <c r="F37" s="2"/>
      <c r="I37" s="2"/>
      <c r="J37" s="19"/>
    </row>
    <row r="38" spans="1:10" x14ac:dyDescent="0.2">
      <c r="A38" s="3"/>
      <c r="B38" s="3"/>
      <c r="E38" s="2"/>
      <c r="F38" s="2"/>
      <c r="I38" s="2"/>
      <c r="J38" s="19"/>
    </row>
    <row r="39" spans="1:10" x14ac:dyDescent="0.2">
      <c r="A39" s="3"/>
      <c r="B39" s="3"/>
      <c r="D39" t="s">
        <v>66</v>
      </c>
      <c r="E39" s="2"/>
      <c r="F39" s="2"/>
      <c r="I39" s="2"/>
      <c r="J39" s="19"/>
    </row>
    <row r="40" spans="1:10" x14ac:dyDescent="0.2">
      <c r="A40" s="3"/>
      <c r="B40" s="3"/>
      <c r="D40" s="8" t="s">
        <v>67</v>
      </c>
      <c r="E40" s="2"/>
      <c r="F40" s="2"/>
      <c r="I40" s="2"/>
      <c r="J40" s="19"/>
    </row>
    <row r="41" spans="1:10" x14ac:dyDescent="0.2">
      <c r="A41" s="3"/>
      <c r="B41" s="3"/>
      <c r="D41" s="8" t="s">
        <v>65</v>
      </c>
      <c r="E41" s="2"/>
      <c r="F41" s="2"/>
      <c r="I41" s="2"/>
      <c r="J41" s="19"/>
    </row>
    <row r="42" spans="1:10" x14ac:dyDescent="0.2">
      <c r="D42" s="8" t="s">
        <v>71</v>
      </c>
      <c r="E42" s="2"/>
    </row>
  </sheetData>
  <hyperlinks>
    <hyperlink ref="D41" r:id="rId1" xr:uid="{CF558F9E-011C-394F-8571-5264D99F574C}"/>
    <hyperlink ref="D42" r:id="rId2" xr:uid="{F0BB327C-94F4-5149-BAE8-E368C5688208}"/>
    <hyperlink ref="D40" r:id="rId3" xr:uid="{A54963C6-5732-6145-8906-F27C9F1B0067}"/>
  </hyperlinks>
  <pageMargins left="0.7" right="0.7" top="0.75" bottom="0.75" header="0.3" footer="0.3"/>
  <pageSetup paperSize="9" orientation="portrait" horizontalDpi="0" verticalDpi="0"/>
  <ignoredErrors>
    <ignoredError sqref="G1:G31 I7:I31" calculatedColumn="1"/>
  </ignoredErrors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Week 1 Dec 30 - Jan 5 2020</vt:lpstr>
      <vt:lpstr>Week 2 Jan 6 - Jan 12 2020</vt:lpstr>
      <vt:lpstr>Week 3 Jan 13 - Jan 19 2020</vt:lpstr>
      <vt:lpstr>Week 4 Jan 20 - Jan 26 2020</vt:lpstr>
      <vt:lpstr>Week 5 Jan 27 - Feb 2 2020</vt:lpstr>
      <vt:lpstr>Week 6 Feb 3 - Feb 9 2020</vt:lpstr>
      <vt:lpstr>Week 7 Feb 10 - Feb 16 2020</vt:lpstr>
      <vt:lpstr>Week 8 Feb 17 - Feb 23 2020</vt:lpstr>
      <vt:lpstr>Week 9 Feb 24 - Mar 1 2020</vt:lpstr>
      <vt:lpstr>Week 10 Mar 2 - Mar 8 2020</vt:lpstr>
      <vt:lpstr>Week 11 Mar 9 - Mar 15 2020</vt:lpstr>
      <vt:lpstr>Week 12 Mar 16 - Mar 22 2020</vt:lpstr>
      <vt:lpstr>Week 13 Mar 23 - Mar 29 2020</vt:lpstr>
      <vt:lpstr>Week 14 Mar 30 - Apr 5 2020</vt:lpstr>
      <vt:lpstr>Week 15 Apr 6 - Apr 12 2020</vt:lpstr>
      <vt:lpstr>Week 16 Apr 13 - Apr 19 2020</vt:lpstr>
      <vt:lpstr>Week 17 Apr 20 - Apr 26 2020</vt:lpstr>
      <vt:lpstr>Week 18 Apr 27 - May 3 2020</vt:lpstr>
      <vt:lpstr>Week 19 May 4 - May 10 2020</vt:lpstr>
      <vt:lpstr>Week 20 May 11 - May 17 2020</vt:lpstr>
      <vt:lpstr>Week 21 May 18 - May 24 2020</vt:lpstr>
      <vt:lpstr>Week 22 May 25 - May 31 2020</vt:lpstr>
      <vt:lpstr>Week 23 June 1 - June 7 2020</vt:lpstr>
      <vt:lpstr>Week 24 June 8 - June 14 2020</vt:lpstr>
      <vt:lpstr>Week 25 June 15 - June 21 2020</vt:lpstr>
      <vt:lpstr>Week 26 June 22 - June 28 2020</vt:lpstr>
      <vt:lpstr>Week 27 June 29 - July 5 2020</vt:lpstr>
      <vt:lpstr>Week 28 July 6 - July 12 2020</vt:lpstr>
      <vt:lpstr>Week 29 July 13 - July 19 2020</vt:lpstr>
      <vt:lpstr>Week 30 July 20 - July 26 2020</vt:lpstr>
      <vt:lpstr>Week 31 July 27 - Aug 2 2020</vt:lpstr>
      <vt:lpstr>Week 32 Aug 3 - Aug 9 2020</vt:lpstr>
      <vt:lpstr>Week 33 Aug 10 - Aug 16 2020</vt:lpstr>
      <vt:lpstr>Week 34 Aug 17 - Aug 23 2020</vt:lpstr>
      <vt:lpstr>Week 35 Aug 24 - Aug 30 2020</vt:lpstr>
      <vt:lpstr>Week 36 Aug 31 - Sept 6 2020</vt:lpstr>
      <vt:lpstr>Week 37 Sept 7 - Sept 13 2020</vt:lpstr>
      <vt:lpstr>Week 38 Sept 14 - Sept 20 2020</vt:lpstr>
      <vt:lpstr>Week 39 Sept 21 - Sept 27 2020</vt:lpstr>
      <vt:lpstr>Week 40 Sept 28 - Oct 4 2020</vt:lpstr>
      <vt:lpstr>Week 41 Oct 5 - Oct 11 2020</vt:lpstr>
      <vt:lpstr>Week 42 Oct 12 - Oct 18 2020</vt:lpstr>
      <vt:lpstr>Week 43 Oct 19 - Oct 25 2020</vt:lpstr>
      <vt:lpstr>Week 44 Oct 26 - Nov 1 2020</vt:lpstr>
      <vt:lpstr>Week 45 Nov 2 - Nov 8 2020</vt:lpstr>
      <vt:lpstr>Week 46 Nov 9 - Nov 15 2020</vt:lpstr>
      <vt:lpstr>Week 47 Nov 16 - Nov 22 2020</vt:lpstr>
      <vt:lpstr>Week 48 Nov 23 - Nov 29 2020</vt:lpstr>
      <vt:lpstr>Week 49 Nov 30 - Dec 6 2020</vt:lpstr>
      <vt:lpstr>Week 50 Dec 7 - Dec 13 2020</vt:lpstr>
      <vt:lpstr>Week 51 Dec 14 - Dec 20 2020</vt:lpstr>
      <vt:lpstr>Week 52 Dec 21 - Dec 27 2020</vt:lpstr>
      <vt:lpstr>Week 53 Dec 28 - Jan 3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2020-09-18T16:43:36Z</dcterms:created>
  <dcterms:modified xsi:type="dcterms:W3CDTF">2020-12-30T17:15:55Z</dcterms:modified>
</cp:coreProperties>
</file>