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ieskobar/Documents/Divers/Data Projects/Videogames/Japan/2020/"/>
    </mc:Choice>
  </mc:AlternateContent>
  <xr:revisionPtr revIDLastSave="0" documentId="13_ncr:1_{B6FEC9D5-315C-0B45-9BC9-EA32C38C88E7}" xr6:coauthVersionLast="46" xr6:coauthVersionMax="46" xr10:uidLastSave="{00000000-0000-0000-0000-000000000000}"/>
  <bookViews>
    <workbookView xWindow="0" yWindow="0" windowWidth="28780" windowHeight="17080" firstSheet="46" activeTab="51" xr2:uid="{C29713EA-CFA8-9C40-A064-31623AEBCD1B}"/>
  </bookViews>
  <sheets>
    <sheet name="Week 1 Dec 30 - Jan 5 2020" sheetId="40" r:id="rId1"/>
    <sheet name="Week 2 Jan 6 - Jan 12 2020" sheetId="39" r:id="rId2"/>
    <sheet name="Week 3 Jan 13 - Jan 19 2020" sheetId="38" r:id="rId3"/>
    <sheet name="Week 4 Jan 20 - Jan 26 2020" sheetId="37" r:id="rId4"/>
    <sheet name="Week 5 Jan 27 - Feb 2 2020" sheetId="36" r:id="rId5"/>
    <sheet name="Week 6 Feb 3 - Feb 9 2020" sheetId="35" r:id="rId6"/>
    <sheet name="Week 7 Feb 10 - Feb 16 2020" sheetId="34" r:id="rId7"/>
    <sheet name="Week 8 Feb 17 - Feb 23 2020" sheetId="33" r:id="rId8"/>
    <sheet name="Week 9 Feb 24 - Mar 1 2020" sheetId="32" r:id="rId9"/>
    <sheet name="Week 10 Mar 2 - Mar 8 2020" sheetId="31" r:id="rId10"/>
    <sheet name="Week 11 Mar 9 - Mar 15 2020" sheetId="30" r:id="rId11"/>
    <sheet name="Week 12 Mar 16 - Mar 22 2020" sheetId="29" r:id="rId12"/>
    <sheet name="Week 13 Mar 23 - Mar 29 2020" sheetId="26" r:id="rId13"/>
    <sheet name="Week 14 Mar 30 - Apr 5 2020" sheetId="28" r:id="rId14"/>
    <sheet name="Week 15 Apr 6 - Apr 12 2020" sheetId="27" r:id="rId15"/>
    <sheet name="Week 16 Apr 13 - Apr 19 2020" sheetId="25" r:id="rId16"/>
    <sheet name="Week 17 Apr 20 - Apr 26 2020" sheetId="24" r:id="rId17"/>
    <sheet name="Week 18 Apr 27 - May 3 2020" sheetId="23" r:id="rId18"/>
    <sheet name="Week 19 May 4 - May 10 2020" sheetId="22" r:id="rId19"/>
    <sheet name="Week 20 May 11 - May 17 2020" sheetId="21" r:id="rId20"/>
    <sheet name="Week 21 May 18 - May 24 2020" sheetId="20" r:id="rId21"/>
    <sheet name="Week 22 May 25 - May 31 2020" sheetId="19" r:id="rId22"/>
    <sheet name="Week 23 June 1 - June 7 2020" sheetId="18" r:id="rId23"/>
    <sheet name="Week 24 June 8 - June 14 2020" sheetId="17" r:id="rId24"/>
    <sheet name="Week 25 June 15 - June 21 2020" sheetId="16" r:id="rId25"/>
    <sheet name="Week 26 June 22 - June 28 2020" sheetId="15" r:id="rId26"/>
    <sheet name="Week 27 June 29 - July 5 2020" sheetId="14" r:id="rId27"/>
    <sheet name="Week 28 July 6 - July 12 2020" sheetId="13" r:id="rId28"/>
    <sheet name="Week 29 July 13 - July 19 2020" sheetId="12" r:id="rId29"/>
    <sheet name="Week 30 July 20 - July 26 2020" sheetId="11" r:id="rId30"/>
    <sheet name="Week 31 July 27 - Aug 2 2020" sheetId="10" r:id="rId31"/>
    <sheet name="Week 32 Aug 3 - Aug 9 2020" sheetId="9" r:id="rId32"/>
    <sheet name="Week 33 Aug 10 - Aug 16 2020" sheetId="8" r:id="rId33"/>
    <sheet name="Week 34 Aug 17 - Aug 23 2020" sheetId="7" r:id="rId34"/>
    <sheet name="Week 35 Aug 24 - Aug 30 2020" sheetId="6" r:id="rId35"/>
    <sheet name="Week 36 Aug 31 - Sept 6 2020" sheetId="5" r:id="rId36"/>
    <sheet name="Week 37 Sept 7 - Sept 13 2020" sheetId="1" r:id="rId37"/>
    <sheet name="Week 38 Sept 14 - Sept 20 2020" sheetId="2" r:id="rId38"/>
    <sheet name="Week 39 Sept 21 - Sept 27 2020" sheetId="41" r:id="rId39"/>
    <sheet name="Week 40 Sept 28 - Oct 4 2020" sheetId="54" r:id="rId40"/>
    <sheet name="Week 41 Oct 5 - Oct 11 2020" sheetId="53" r:id="rId41"/>
    <sheet name="Week 42 Oct 12 - Oct 18 2020" sheetId="52" r:id="rId42"/>
    <sheet name="Week 43 Oct 19 - Oct 25 2020" sheetId="51" r:id="rId43"/>
    <sheet name="Week 44 Oct 26 - Nov 1 2020" sheetId="50" r:id="rId44"/>
    <sheet name="Week 45 Nov 2 - Nov 8 2020" sheetId="49" r:id="rId45"/>
    <sheet name="Week 46 Nov 9 - Nov 15 2020" sheetId="48" r:id="rId46"/>
    <sheet name="Week 47 Nov 16 - Nov 22 2020" sheetId="47" r:id="rId47"/>
    <sheet name="Week 48 Nov 23 - Nov 29 2020" sheetId="46" r:id="rId48"/>
    <sheet name="Week 49 Nov 30 - Dec 6 2020" sheetId="45" r:id="rId49"/>
    <sheet name="Week 50 Dec 7 - Dec 13 2020" sheetId="44" r:id="rId50"/>
    <sheet name="Week 51 Dec 14 - Dec 20 2020" sheetId="43" r:id="rId51"/>
    <sheet name="Week 52 Dec 21 - Dec 27 2020" sheetId="42" r:id="rId52"/>
    <sheet name="Week 53 Dec 28 - Jan 3 2021" sheetId="55" r:id="rId5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55" l="1"/>
  <c r="G8" i="55"/>
  <c r="F8" i="55"/>
  <c r="E8" i="55"/>
  <c r="C8" i="55"/>
  <c r="B8" i="55"/>
  <c r="H8" i="42"/>
  <c r="G8" i="42"/>
  <c r="F8" i="42"/>
  <c r="E8" i="42"/>
  <c r="C8" i="42"/>
  <c r="B8" i="42"/>
  <c r="G8" i="43"/>
  <c r="E8" i="43"/>
  <c r="H5" i="43"/>
  <c r="H4" i="43"/>
  <c r="H3" i="43"/>
  <c r="H2" i="43"/>
  <c r="F8" i="43"/>
  <c r="C8" i="43"/>
  <c r="B8" i="43"/>
  <c r="G8" i="44"/>
  <c r="E8" i="44"/>
  <c r="G8" i="45"/>
  <c r="E8" i="45"/>
  <c r="H5" i="45"/>
  <c r="H4" i="45"/>
  <c r="H3" i="45"/>
  <c r="H2" i="45"/>
  <c r="H5" i="46"/>
  <c r="H4" i="46"/>
  <c r="H3" i="46"/>
  <c r="H2" i="46"/>
  <c r="H8" i="46" s="1"/>
  <c r="G8" i="46"/>
  <c r="E8" i="46"/>
  <c r="H5" i="44"/>
  <c r="H4" i="44"/>
  <c r="H3" i="44"/>
  <c r="H2" i="44"/>
  <c r="F8" i="44"/>
  <c r="C8" i="44"/>
  <c r="B8" i="44"/>
  <c r="F8" i="45"/>
  <c r="C8" i="45"/>
  <c r="B8" i="45"/>
  <c r="F8" i="46"/>
  <c r="C8" i="46"/>
  <c r="B8" i="46"/>
  <c r="H5" i="47"/>
  <c r="H4" i="47"/>
  <c r="H3" i="47"/>
  <c r="H2" i="47"/>
  <c r="H8" i="47" s="1"/>
  <c r="G8" i="47"/>
  <c r="E8" i="47"/>
  <c r="F8" i="47"/>
  <c r="C8" i="47"/>
  <c r="B8" i="47"/>
  <c r="G8" i="48"/>
  <c r="E8" i="48"/>
  <c r="F8" i="48"/>
  <c r="C8" i="48"/>
  <c r="B8" i="48"/>
  <c r="H5" i="48"/>
  <c r="H4" i="48"/>
  <c r="H8" i="48" s="1"/>
  <c r="H3" i="48"/>
  <c r="H2" i="48"/>
  <c r="H3" i="49"/>
  <c r="H2" i="49"/>
  <c r="G6" i="49"/>
  <c r="E6" i="49"/>
  <c r="H3" i="50"/>
  <c r="G6" i="50"/>
  <c r="E6" i="50"/>
  <c r="G6" i="51"/>
  <c r="E6" i="51"/>
  <c r="H3" i="51"/>
  <c r="H2" i="51"/>
  <c r="H3" i="52"/>
  <c r="H2" i="52"/>
  <c r="G6" i="52"/>
  <c r="E6" i="52"/>
  <c r="G6" i="53"/>
  <c r="E6" i="53"/>
  <c r="H3" i="53"/>
  <c r="H2" i="53"/>
  <c r="F6" i="53"/>
  <c r="C6" i="53"/>
  <c r="B6" i="53"/>
  <c r="G6" i="54"/>
  <c r="E6" i="54"/>
  <c r="H3" i="54"/>
  <c r="H2" i="54"/>
  <c r="F6" i="54"/>
  <c r="C6" i="54"/>
  <c r="B6" i="54"/>
  <c r="H3" i="41"/>
  <c r="H2" i="41"/>
  <c r="G6" i="41"/>
  <c r="E6" i="41"/>
  <c r="F6" i="41"/>
  <c r="C6" i="41"/>
  <c r="B6" i="41"/>
  <c r="G6" i="2"/>
  <c r="E6" i="2"/>
  <c r="H3" i="2"/>
  <c r="H2" i="2"/>
  <c r="F6" i="2"/>
  <c r="C6" i="2"/>
  <c r="B6" i="2"/>
  <c r="G6" i="1"/>
  <c r="E6" i="1"/>
  <c r="F6" i="1"/>
  <c r="C6" i="1"/>
  <c r="B6" i="1"/>
  <c r="H3" i="1"/>
  <c r="H2" i="1"/>
  <c r="G6" i="5"/>
  <c r="E6" i="5"/>
  <c r="H3" i="5"/>
  <c r="H2" i="5"/>
  <c r="F6" i="5"/>
  <c r="C6" i="5"/>
  <c r="B6" i="5"/>
  <c r="G6" i="6"/>
  <c r="E6" i="6"/>
  <c r="H3" i="6"/>
  <c r="H2" i="6"/>
  <c r="F6" i="6"/>
  <c r="C6" i="6"/>
  <c r="B6" i="6"/>
  <c r="G6" i="7"/>
  <c r="E6" i="7"/>
  <c r="F6" i="7"/>
  <c r="C6" i="7"/>
  <c r="B6" i="7"/>
  <c r="H3" i="7"/>
  <c r="H2" i="7"/>
  <c r="G6" i="8"/>
  <c r="E6" i="8"/>
  <c r="F6" i="8"/>
  <c r="C6" i="8"/>
  <c r="B6" i="8"/>
  <c r="H3" i="8"/>
  <c r="H2" i="8"/>
  <c r="H3" i="9"/>
  <c r="H2" i="9"/>
  <c r="G6" i="9"/>
  <c r="E6" i="9"/>
  <c r="H8" i="43" l="1"/>
  <c r="H8" i="45"/>
  <c r="H8" i="44"/>
  <c r="F6" i="9"/>
  <c r="C6" i="9"/>
  <c r="D6" i="9" s="1"/>
  <c r="B6" i="9"/>
  <c r="H3" i="10"/>
  <c r="H2" i="10"/>
  <c r="G6" i="10"/>
  <c r="E6" i="10"/>
  <c r="F6" i="10"/>
  <c r="C6" i="10"/>
  <c r="B6" i="10"/>
  <c r="H3" i="11"/>
  <c r="H2" i="11"/>
  <c r="G6" i="11"/>
  <c r="E6" i="11"/>
  <c r="F6" i="11"/>
  <c r="C6" i="11"/>
  <c r="B6" i="11"/>
  <c r="H3" i="12"/>
  <c r="H6" i="12" s="1"/>
  <c r="H2" i="12"/>
  <c r="G6" i="12"/>
  <c r="E6" i="12"/>
  <c r="F6" i="12"/>
  <c r="D6" i="12"/>
  <c r="C6" i="12"/>
  <c r="B6" i="12"/>
  <c r="H3" i="13"/>
  <c r="H6" i="13" s="1"/>
  <c r="H2" i="13"/>
  <c r="G6" i="13"/>
  <c r="E6" i="13"/>
  <c r="F6" i="13"/>
  <c r="C6" i="13"/>
  <c r="B6" i="13"/>
  <c r="H3" i="14"/>
  <c r="H2" i="14"/>
  <c r="G6" i="14"/>
  <c r="E6" i="14"/>
  <c r="F6" i="14"/>
  <c r="C6" i="14"/>
  <c r="B6" i="14"/>
  <c r="G6" i="15"/>
  <c r="E6" i="15"/>
  <c r="F6" i="15"/>
  <c r="C6" i="15"/>
  <c r="B6" i="15"/>
  <c r="H3" i="15"/>
  <c r="H2" i="15"/>
  <c r="H6" i="15" s="1"/>
  <c r="G6" i="16"/>
  <c r="E6" i="16"/>
  <c r="H3" i="16"/>
  <c r="H2" i="16"/>
  <c r="H6" i="16" s="1"/>
  <c r="F6" i="16"/>
  <c r="C6" i="16"/>
  <c r="B6" i="16"/>
  <c r="G6" i="17"/>
  <c r="E6" i="17"/>
  <c r="H3" i="17"/>
  <c r="H2" i="17"/>
  <c r="H6" i="17" s="1"/>
  <c r="F6" i="17"/>
  <c r="C6" i="17"/>
  <c r="B6" i="17"/>
  <c r="D6" i="17" s="1"/>
  <c r="G6" i="18"/>
  <c r="E6" i="18"/>
  <c r="H3" i="18"/>
  <c r="H2" i="18"/>
  <c r="F6" i="18"/>
  <c r="C6" i="18"/>
  <c r="B6" i="18"/>
  <c r="G6" i="19"/>
  <c r="E6" i="19"/>
  <c r="F6" i="19"/>
  <c r="C6" i="19"/>
  <c r="B6" i="19"/>
  <c r="H3" i="19"/>
  <c r="H2" i="19"/>
  <c r="D22" i="55"/>
  <c r="D21" i="55"/>
  <c r="D20" i="55"/>
  <c r="D19" i="55"/>
  <c r="D18" i="55"/>
  <c r="D17" i="55"/>
  <c r="D16" i="55"/>
  <c r="D15" i="55"/>
  <c r="D14" i="55"/>
  <c r="D13" i="55"/>
  <c r="D12" i="55"/>
  <c r="D11" i="55"/>
  <c r="D8" i="55"/>
  <c r="D7" i="55"/>
  <c r="D6" i="55"/>
  <c r="D5" i="55"/>
  <c r="D4" i="55"/>
  <c r="D3" i="55"/>
  <c r="D2" i="55"/>
  <c r="D22" i="42"/>
  <c r="D21" i="42"/>
  <c r="D20" i="42"/>
  <c r="D19" i="42"/>
  <c r="D18" i="42"/>
  <c r="D17" i="42"/>
  <c r="D16" i="42"/>
  <c r="D15" i="42"/>
  <c r="D14" i="42"/>
  <c r="D13" i="42"/>
  <c r="D12" i="42"/>
  <c r="D11" i="42"/>
  <c r="D8" i="42"/>
  <c r="D7" i="42"/>
  <c r="D6" i="42"/>
  <c r="D5" i="42"/>
  <c r="D4" i="42"/>
  <c r="D3" i="42"/>
  <c r="D2" i="42"/>
  <c r="D20" i="43"/>
  <c r="D16" i="43"/>
  <c r="D14" i="43"/>
  <c r="D19" i="43"/>
  <c r="D22" i="43"/>
  <c r="D21" i="43"/>
  <c r="D11" i="43"/>
  <c r="D12" i="43"/>
  <c r="D18" i="43"/>
  <c r="D17" i="43"/>
  <c r="D15" i="43"/>
  <c r="D13" i="43"/>
  <c r="D8" i="43"/>
  <c r="D7" i="43"/>
  <c r="D6" i="43"/>
  <c r="D5" i="43"/>
  <c r="D4" i="43"/>
  <c r="D3" i="43"/>
  <c r="D2" i="43"/>
  <c r="D20" i="44"/>
  <c r="D17" i="44"/>
  <c r="D13" i="44"/>
  <c r="D19" i="44"/>
  <c r="D22" i="44"/>
  <c r="D21" i="44"/>
  <c r="D11" i="44"/>
  <c r="D12" i="44"/>
  <c r="D18" i="44"/>
  <c r="D16" i="44"/>
  <c r="D15" i="44"/>
  <c r="D14" i="44"/>
  <c r="D8" i="44"/>
  <c r="D7" i="44"/>
  <c r="D6" i="44"/>
  <c r="D5" i="44"/>
  <c r="D4" i="44"/>
  <c r="D3" i="44"/>
  <c r="D2" i="44"/>
  <c r="D20" i="45"/>
  <c r="D17" i="45"/>
  <c r="D15" i="45"/>
  <c r="D19" i="45"/>
  <c r="D22" i="45"/>
  <c r="D21" i="45"/>
  <c r="D11" i="45"/>
  <c r="D12" i="45"/>
  <c r="D18" i="45"/>
  <c r="D16" i="45"/>
  <c r="D14" i="45"/>
  <c r="D13" i="45"/>
  <c r="D8" i="45"/>
  <c r="D7" i="45"/>
  <c r="D6" i="45"/>
  <c r="D5" i="45"/>
  <c r="D4" i="45"/>
  <c r="D3" i="45"/>
  <c r="D2" i="45"/>
  <c r="D20" i="46"/>
  <c r="D18" i="46"/>
  <c r="D15" i="46"/>
  <c r="D19" i="46"/>
  <c r="D22" i="46"/>
  <c r="D21" i="46"/>
  <c r="D11" i="46"/>
  <c r="D13" i="46"/>
  <c r="D17" i="46"/>
  <c r="D16" i="46"/>
  <c r="D14" i="46"/>
  <c r="D12" i="46"/>
  <c r="D8" i="46"/>
  <c r="D7" i="46"/>
  <c r="D6" i="46"/>
  <c r="D5" i="46"/>
  <c r="D4" i="46"/>
  <c r="D3" i="46"/>
  <c r="D2" i="46"/>
  <c r="D20" i="47"/>
  <c r="D18" i="47"/>
  <c r="D16" i="47"/>
  <c r="D19" i="47"/>
  <c r="D22" i="47"/>
  <c r="D21" i="47"/>
  <c r="D11" i="47"/>
  <c r="D13" i="47"/>
  <c r="D17" i="47"/>
  <c r="D15" i="47"/>
  <c r="D14" i="47"/>
  <c r="D12" i="47"/>
  <c r="D8" i="47"/>
  <c r="D7" i="47"/>
  <c r="D6" i="47"/>
  <c r="D5" i="47"/>
  <c r="D4" i="47"/>
  <c r="D3" i="47"/>
  <c r="D2" i="47"/>
  <c r="G6" i="20"/>
  <c r="E6" i="20"/>
  <c r="H3" i="20"/>
  <c r="H2" i="20"/>
  <c r="H6" i="20" s="1"/>
  <c r="F6" i="20"/>
  <c r="C6" i="20"/>
  <c r="B6" i="20"/>
  <c r="H3" i="21"/>
  <c r="H6" i="21" s="1"/>
  <c r="H2" i="21"/>
  <c r="G6" i="21"/>
  <c r="E6" i="21"/>
  <c r="F6" i="21"/>
  <c r="C6" i="21"/>
  <c r="B6" i="21"/>
  <c r="G6" i="22"/>
  <c r="E6" i="22"/>
  <c r="F6" i="22"/>
  <c r="C6" i="22"/>
  <c r="B6" i="22"/>
  <c r="H3" i="22"/>
  <c r="H2" i="22"/>
  <c r="G6" i="23"/>
  <c r="E6" i="23"/>
  <c r="H3" i="23"/>
  <c r="H2" i="23"/>
  <c r="H6" i="23" s="1"/>
  <c r="F6" i="23"/>
  <c r="C6" i="23"/>
  <c r="B6" i="23"/>
  <c r="G6" i="24"/>
  <c r="E6" i="24"/>
  <c r="D20" i="48"/>
  <c r="D18" i="48"/>
  <c r="D17" i="48"/>
  <c r="D19" i="48"/>
  <c r="D22" i="48"/>
  <c r="D21" i="48"/>
  <c r="D12" i="48"/>
  <c r="D13" i="48"/>
  <c r="D7" i="48"/>
  <c r="D6" i="48"/>
  <c r="D5" i="48"/>
  <c r="D3" i="48"/>
  <c r="D14" i="49"/>
  <c r="D12" i="49"/>
  <c r="D11" i="49"/>
  <c r="D13" i="49"/>
  <c r="D16" i="49"/>
  <c r="D15" i="49"/>
  <c r="D9" i="49"/>
  <c r="D10" i="49"/>
  <c r="H6" i="49"/>
  <c r="F6" i="49"/>
  <c r="C6" i="49"/>
  <c r="D6" i="49" s="1"/>
  <c r="B6" i="49"/>
  <c r="D5" i="49"/>
  <c r="D4" i="49"/>
  <c r="D3" i="49"/>
  <c r="D2" i="49"/>
  <c r="D14" i="50"/>
  <c r="D12" i="50"/>
  <c r="D11" i="50"/>
  <c r="D13" i="50"/>
  <c r="D16" i="50"/>
  <c r="D15" i="50"/>
  <c r="D9" i="50"/>
  <c r="D10" i="50"/>
  <c r="F6" i="50"/>
  <c r="C6" i="50"/>
  <c r="D6" i="50" s="1"/>
  <c r="B6" i="50"/>
  <c r="D5" i="50"/>
  <c r="D4" i="50"/>
  <c r="D3" i="50"/>
  <c r="H2" i="50"/>
  <c r="D2" i="50"/>
  <c r="D15" i="51"/>
  <c r="D12" i="51"/>
  <c r="D11" i="51"/>
  <c r="D13" i="51"/>
  <c r="D16" i="51"/>
  <c r="D14" i="51"/>
  <c r="D9" i="51"/>
  <c r="D10" i="51"/>
  <c r="F6" i="51"/>
  <c r="C6" i="51"/>
  <c r="B6" i="51"/>
  <c r="D5" i="51"/>
  <c r="D4" i="51"/>
  <c r="D3" i="51"/>
  <c r="H6" i="51"/>
  <c r="D2" i="51"/>
  <c r="D16" i="52"/>
  <c r="D12" i="52"/>
  <c r="D11" i="52"/>
  <c r="D13" i="52"/>
  <c r="D15" i="52"/>
  <c r="D14" i="52"/>
  <c r="D9" i="52"/>
  <c r="D10" i="52"/>
  <c r="F6" i="52"/>
  <c r="C6" i="52"/>
  <c r="B6" i="52"/>
  <c r="D5" i="52"/>
  <c r="D4" i="52"/>
  <c r="D3" i="52"/>
  <c r="H6" i="52"/>
  <c r="D2" i="52"/>
  <c r="D14" i="53"/>
  <c r="D12" i="53"/>
  <c r="D11" i="53"/>
  <c r="D13" i="53"/>
  <c r="D16" i="53"/>
  <c r="D15" i="53"/>
  <c r="D9" i="53"/>
  <c r="D10" i="53"/>
  <c r="D6" i="53"/>
  <c r="D5" i="53"/>
  <c r="D4" i="53"/>
  <c r="D3" i="53"/>
  <c r="H6" i="53"/>
  <c r="D2" i="53"/>
  <c r="D14" i="54"/>
  <c r="D12" i="54"/>
  <c r="D11" i="54"/>
  <c r="D13" i="54"/>
  <c r="D16" i="54"/>
  <c r="D15" i="54"/>
  <c r="D9" i="54"/>
  <c r="D10" i="54"/>
  <c r="D5" i="54"/>
  <c r="D4" i="54"/>
  <c r="D3" i="54"/>
  <c r="H6" i="54"/>
  <c r="D2" i="54"/>
  <c r="D14" i="41"/>
  <c r="D11" i="41"/>
  <c r="D12" i="41"/>
  <c r="D13" i="41"/>
  <c r="D16" i="41"/>
  <c r="D15" i="41"/>
  <c r="D9" i="41"/>
  <c r="D10" i="41"/>
  <c r="D6" i="41"/>
  <c r="D5" i="41"/>
  <c r="D4" i="41"/>
  <c r="D3" i="41"/>
  <c r="H6" i="41"/>
  <c r="D2" i="41"/>
  <c r="D14" i="2"/>
  <c r="D11" i="2"/>
  <c r="D12" i="2"/>
  <c r="D13" i="2"/>
  <c r="D16" i="2"/>
  <c r="D15" i="2"/>
  <c r="D9" i="2"/>
  <c r="D10" i="2"/>
  <c r="D6" i="2"/>
  <c r="D5" i="2"/>
  <c r="D4" i="2"/>
  <c r="D3" i="2"/>
  <c r="H6" i="2"/>
  <c r="D2" i="2"/>
  <c r="D14" i="1"/>
  <c r="D12" i="1"/>
  <c r="D13" i="1"/>
  <c r="D11" i="1"/>
  <c r="D16" i="1"/>
  <c r="D15" i="1"/>
  <c r="D9" i="1"/>
  <c r="D10" i="1"/>
  <c r="D5" i="1"/>
  <c r="D4" i="1"/>
  <c r="D3" i="1"/>
  <c r="H6" i="1"/>
  <c r="D2" i="1"/>
  <c r="D14" i="5"/>
  <c r="D12" i="5"/>
  <c r="D11" i="5"/>
  <c r="D13" i="5"/>
  <c r="D16" i="5"/>
  <c r="D15" i="5"/>
  <c r="D9" i="5"/>
  <c r="D10" i="5"/>
  <c r="D5" i="5"/>
  <c r="D4" i="5"/>
  <c r="D3" i="5"/>
  <c r="H6" i="5"/>
  <c r="D2" i="5"/>
  <c r="D14" i="6"/>
  <c r="D12" i="6"/>
  <c r="D11" i="6"/>
  <c r="D13" i="6"/>
  <c r="D16" i="6"/>
  <c r="D15" i="6"/>
  <c r="D9" i="6"/>
  <c r="D10" i="6"/>
  <c r="D5" i="6"/>
  <c r="D4" i="6"/>
  <c r="D3" i="6"/>
  <c r="D2" i="6"/>
  <c r="D14" i="7"/>
  <c r="D11" i="7"/>
  <c r="D12" i="7"/>
  <c r="D13" i="7"/>
  <c r="D16" i="7"/>
  <c r="D15" i="7"/>
  <c r="D9" i="7"/>
  <c r="D10" i="7"/>
  <c r="D6" i="7"/>
  <c r="D5" i="7"/>
  <c r="D4" i="7"/>
  <c r="D3" i="7"/>
  <c r="H6" i="7"/>
  <c r="D2" i="7"/>
  <c r="D14" i="8"/>
  <c r="D12" i="8"/>
  <c r="D11" i="8"/>
  <c r="D13" i="8"/>
  <c r="D16" i="8"/>
  <c r="D15" i="8"/>
  <c r="D9" i="8"/>
  <c r="D10" i="8"/>
  <c r="D6" i="8"/>
  <c r="D5" i="8"/>
  <c r="D4" i="8"/>
  <c r="D3" i="8"/>
  <c r="H6" i="8"/>
  <c r="D2" i="8"/>
  <c r="D14" i="9"/>
  <c r="D13" i="9"/>
  <c r="D11" i="9"/>
  <c r="D12" i="9"/>
  <c r="D16" i="9"/>
  <c r="D15" i="9"/>
  <c r="D9" i="9"/>
  <c r="D10" i="9"/>
  <c r="D5" i="9"/>
  <c r="D4" i="9"/>
  <c r="D3" i="9"/>
  <c r="H6" i="9"/>
  <c r="D2" i="9"/>
  <c r="D14" i="10"/>
  <c r="D13" i="10"/>
  <c r="D11" i="10"/>
  <c r="D12" i="10"/>
  <c r="D16" i="10"/>
  <c r="D15" i="10"/>
  <c r="D9" i="10"/>
  <c r="D10" i="10"/>
  <c r="D5" i="10"/>
  <c r="D4" i="10"/>
  <c r="D3" i="10"/>
  <c r="H6" i="10"/>
  <c r="D2" i="10"/>
  <c r="D14" i="11"/>
  <c r="D11" i="11"/>
  <c r="D12" i="11"/>
  <c r="D13" i="11"/>
  <c r="D16" i="11"/>
  <c r="D15" i="11"/>
  <c r="D9" i="11"/>
  <c r="D10" i="11"/>
  <c r="D6" i="11"/>
  <c r="D5" i="11"/>
  <c r="D4" i="11"/>
  <c r="D3" i="11"/>
  <c r="H6" i="11"/>
  <c r="D2" i="11"/>
  <c r="D14" i="12"/>
  <c r="D13" i="12"/>
  <c r="D11" i="12"/>
  <c r="D12" i="12"/>
  <c r="D16" i="12"/>
  <c r="D15" i="12"/>
  <c r="D9" i="12"/>
  <c r="D10" i="12"/>
  <c r="D5" i="12"/>
  <c r="D4" i="12"/>
  <c r="D3" i="12"/>
  <c r="D2" i="12"/>
  <c r="D14" i="13"/>
  <c r="D13" i="13"/>
  <c r="D12" i="13"/>
  <c r="D11" i="13"/>
  <c r="D15" i="13"/>
  <c r="D16" i="13"/>
  <c r="D9" i="13"/>
  <c r="D10" i="13"/>
  <c r="D6" i="13"/>
  <c r="D5" i="13"/>
  <c r="D4" i="13"/>
  <c r="D3" i="13"/>
  <c r="D2" i="13"/>
  <c r="D14" i="14"/>
  <c r="D13" i="14"/>
  <c r="D11" i="14"/>
  <c r="D12" i="14"/>
  <c r="D16" i="14"/>
  <c r="D15" i="14"/>
  <c r="D9" i="14"/>
  <c r="D10" i="14"/>
  <c r="D5" i="14"/>
  <c r="D4" i="14"/>
  <c r="D3" i="14"/>
  <c r="D2" i="14"/>
  <c r="D14" i="15"/>
  <c r="D13" i="15"/>
  <c r="D11" i="15"/>
  <c r="D12" i="15"/>
  <c r="D16" i="15"/>
  <c r="D15" i="15"/>
  <c r="D9" i="15"/>
  <c r="D10" i="15"/>
  <c r="D5" i="15"/>
  <c r="D4" i="15"/>
  <c r="D3" i="15"/>
  <c r="D2" i="15"/>
  <c r="D14" i="16"/>
  <c r="D13" i="16"/>
  <c r="D12" i="16"/>
  <c r="D11" i="16"/>
  <c r="D16" i="16"/>
  <c r="D15" i="16"/>
  <c r="D9" i="16"/>
  <c r="D10" i="16"/>
  <c r="D5" i="16"/>
  <c r="D4" i="16"/>
  <c r="D3" i="16"/>
  <c r="D2" i="16"/>
  <c r="D15" i="17"/>
  <c r="D13" i="17"/>
  <c r="D12" i="17"/>
  <c r="D11" i="17"/>
  <c r="D16" i="17"/>
  <c r="D14" i="17"/>
  <c r="D9" i="17"/>
  <c r="D10" i="17"/>
  <c r="D5" i="17"/>
  <c r="D4" i="17"/>
  <c r="D3" i="17"/>
  <c r="D2" i="17"/>
  <c r="D14" i="18"/>
  <c r="D13" i="18"/>
  <c r="D11" i="18"/>
  <c r="D12" i="18"/>
  <c r="D16" i="18"/>
  <c r="D15" i="18"/>
  <c r="D9" i="18"/>
  <c r="D10" i="18"/>
  <c r="H6" i="18"/>
  <c r="D6" i="18"/>
  <c r="D5" i="18"/>
  <c r="D4" i="18"/>
  <c r="D3" i="18"/>
  <c r="D2" i="18"/>
  <c r="D15" i="19"/>
  <c r="D13" i="19"/>
  <c r="D11" i="19"/>
  <c r="D12" i="19"/>
  <c r="D16" i="19"/>
  <c r="D14" i="19"/>
  <c r="D9" i="19"/>
  <c r="D10" i="19"/>
  <c r="D5" i="19"/>
  <c r="D4" i="19"/>
  <c r="D3" i="19"/>
  <c r="H6" i="19"/>
  <c r="D2" i="19"/>
  <c r="D15" i="20"/>
  <c r="D12" i="20"/>
  <c r="D13" i="20"/>
  <c r="D11" i="20"/>
  <c r="D16" i="20"/>
  <c r="D14" i="20"/>
  <c r="D9" i="20"/>
  <c r="D10" i="20"/>
  <c r="D5" i="20"/>
  <c r="D4" i="20"/>
  <c r="D3" i="20"/>
  <c r="D2" i="20"/>
  <c r="D14" i="21"/>
  <c r="D13" i="21"/>
  <c r="D12" i="21"/>
  <c r="D11" i="21"/>
  <c r="D16" i="21"/>
  <c r="D15" i="21"/>
  <c r="D9" i="21"/>
  <c r="D10" i="21"/>
  <c r="D5" i="21"/>
  <c r="D4" i="21"/>
  <c r="D3" i="21"/>
  <c r="D2" i="21"/>
  <c r="D14" i="22"/>
  <c r="D13" i="22"/>
  <c r="D12" i="22"/>
  <c r="D11" i="22"/>
  <c r="D16" i="22"/>
  <c r="D15" i="22"/>
  <c r="D9" i="22"/>
  <c r="D10" i="22"/>
  <c r="D5" i="22"/>
  <c r="D4" i="22"/>
  <c r="D3" i="22"/>
  <c r="D2" i="22"/>
  <c r="D15" i="23"/>
  <c r="D13" i="23"/>
  <c r="D11" i="23"/>
  <c r="D12" i="23"/>
  <c r="D16" i="23"/>
  <c r="D14" i="23"/>
  <c r="D9" i="23"/>
  <c r="D10" i="23"/>
  <c r="D5" i="23"/>
  <c r="D4" i="23"/>
  <c r="D3" i="23"/>
  <c r="D2" i="23"/>
  <c r="F6" i="24"/>
  <c r="C6" i="24"/>
  <c r="B6" i="24"/>
  <c r="H3" i="24"/>
  <c r="H2" i="24"/>
  <c r="D15" i="24"/>
  <c r="D13" i="24"/>
  <c r="D11" i="24"/>
  <c r="D12" i="24"/>
  <c r="D16" i="24"/>
  <c r="D14" i="24"/>
  <c r="D9" i="24"/>
  <c r="D10" i="24"/>
  <c r="D5" i="24"/>
  <c r="D4" i="24"/>
  <c r="D3" i="24"/>
  <c r="D2" i="24"/>
  <c r="G6" i="25"/>
  <c r="E6" i="25"/>
  <c r="F6" i="25"/>
  <c r="C6" i="25"/>
  <c r="B6" i="25"/>
  <c r="H3" i="25"/>
  <c r="H2" i="25"/>
  <c r="H6" i="25" s="1"/>
  <c r="D14" i="25"/>
  <c r="D15" i="25"/>
  <c r="D16" i="25"/>
  <c r="D13" i="25"/>
  <c r="D11" i="25"/>
  <c r="D9" i="25"/>
  <c r="D10" i="25"/>
  <c r="D12" i="25"/>
  <c r="D5" i="25"/>
  <c r="D4" i="25"/>
  <c r="D3" i="25"/>
  <c r="D2" i="25"/>
  <c r="G6" i="26"/>
  <c r="E6" i="26"/>
  <c r="H3" i="26"/>
  <c r="H6" i="26" s="1"/>
  <c r="H2" i="26"/>
  <c r="F6" i="26"/>
  <c r="C6" i="26"/>
  <c r="D6" i="26" s="1"/>
  <c r="B6" i="26"/>
  <c r="G6" i="27"/>
  <c r="E6" i="27"/>
  <c r="F6" i="27"/>
  <c r="C6" i="27"/>
  <c r="B6" i="27"/>
  <c r="H3" i="27"/>
  <c r="H2" i="27"/>
  <c r="H6" i="27" s="1"/>
  <c r="G6" i="28"/>
  <c r="E6" i="28"/>
  <c r="H3" i="28"/>
  <c r="H2" i="28"/>
  <c r="H6" i="28" s="1"/>
  <c r="F6" i="28"/>
  <c r="C6" i="28"/>
  <c r="B6" i="28"/>
  <c r="G6" i="29"/>
  <c r="E6" i="29"/>
  <c r="F6" i="29"/>
  <c r="C6" i="29"/>
  <c r="B6" i="29"/>
  <c r="H3" i="29"/>
  <c r="H2" i="29"/>
  <c r="D16" i="26"/>
  <c r="D13" i="26"/>
  <c r="D11" i="26"/>
  <c r="D12" i="26"/>
  <c r="D15" i="26"/>
  <c r="D14" i="26"/>
  <c r="D10" i="26"/>
  <c r="D9" i="26"/>
  <c r="D5" i="26"/>
  <c r="D4" i="26"/>
  <c r="D3" i="26"/>
  <c r="D2" i="26"/>
  <c r="D14" i="27"/>
  <c r="D13" i="27"/>
  <c r="D9" i="27"/>
  <c r="D11" i="27"/>
  <c r="D16" i="27"/>
  <c r="D15" i="27"/>
  <c r="D10" i="27"/>
  <c r="D12" i="27"/>
  <c r="D5" i="27"/>
  <c r="D4" i="27"/>
  <c r="D2" i="27"/>
  <c r="D3" i="27"/>
  <c r="D14" i="28"/>
  <c r="D13" i="28"/>
  <c r="D11" i="28"/>
  <c r="D12" i="28"/>
  <c r="D15" i="28"/>
  <c r="D16" i="28"/>
  <c r="D10" i="28"/>
  <c r="D9" i="28"/>
  <c r="D5" i="28"/>
  <c r="D4" i="28"/>
  <c r="D3" i="28"/>
  <c r="D2" i="28"/>
  <c r="D15" i="29"/>
  <c r="D13" i="29"/>
  <c r="D11" i="29"/>
  <c r="D12" i="29"/>
  <c r="D16" i="29"/>
  <c r="D14" i="29"/>
  <c r="D10" i="29"/>
  <c r="D9" i="29"/>
  <c r="D5" i="29"/>
  <c r="D4" i="29"/>
  <c r="D3" i="29"/>
  <c r="H6" i="29"/>
  <c r="D2" i="29"/>
  <c r="G6" i="30"/>
  <c r="E6" i="30"/>
  <c r="H3" i="30"/>
  <c r="H2" i="30"/>
  <c r="H6" i="30"/>
  <c r="F6" i="30"/>
  <c r="C6" i="30"/>
  <c r="B6" i="30"/>
  <c r="H6" i="24" l="1"/>
  <c r="D6" i="25"/>
  <c r="H6" i="50"/>
  <c r="D6" i="51"/>
  <c r="D6" i="52"/>
  <c r="D6" i="54"/>
  <c r="D6" i="1"/>
  <c r="D6" i="5"/>
  <c r="H6" i="6"/>
  <c r="D6" i="6"/>
  <c r="D6" i="10"/>
  <c r="D6" i="15"/>
  <c r="D6" i="16"/>
  <c r="D6" i="19"/>
  <c r="D8" i="48"/>
  <c r="H6" i="14"/>
  <c r="D6" i="14"/>
  <c r="D6" i="20"/>
  <c r="D6" i="21"/>
  <c r="D6" i="23"/>
  <c r="H6" i="22"/>
  <c r="D6" i="22"/>
  <c r="D6" i="24"/>
  <c r="D6" i="27"/>
  <c r="D6" i="28"/>
  <c r="D6" i="29"/>
  <c r="D15" i="30"/>
  <c r="D16" i="30"/>
  <c r="D14" i="30"/>
  <c r="D13" i="30"/>
  <c r="D12" i="30"/>
  <c r="D10" i="30"/>
  <c r="D11" i="30"/>
  <c r="D9" i="30"/>
  <c r="D5" i="30"/>
  <c r="D4" i="30"/>
  <c r="D3" i="30"/>
  <c r="D2" i="30"/>
  <c r="G6" i="31"/>
  <c r="E6" i="31"/>
  <c r="F6" i="31"/>
  <c r="C6" i="31"/>
  <c r="D6" i="31" s="1"/>
  <c r="B6" i="31"/>
  <c r="H3" i="31"/>
  <c r="H2" i="31"/>
  <c r="D15" i="31"/>
  <c r="D16" i="31"/>
  <c r="D14" i="31"/>
  <c r="D13" i="31"/>
  <c r="D12" i="31"/>
  <c r="D10" i="31"/>
  <c r="D11" i="31"/>
  <c r="D9" i="31"/>
  <c r="D5" i="31"/>
  <c r="D4" i="31"/>
  <c r="D3" i="31"/>
  <c r="D2" i="31"/>
  <c r="H3" i="32"/>
  <c r="H2" i="32"/>
  <c r="H3" i="33"/>
  <c r="H6" i="33" s="1"/>
  <c r="H2" i="33"/>
  <c r="H3" i="34"/>
  <c r="H2" i="34"/>
  <c r="H3" i="35"/>
  <c r="H2" i="35"/>
  <c r="H6" i="35" s="1"/>
  <c r="H3" i="36"/>
  <c r="H2" i="36"/>
  <c r="H3" i="37"/>
  <c r="H2" i="37"/>
  <c r="H3" i="38"/>
  <c r="H2" i="38"/>
  <c r="H6" i="38" s="1"/>
  <c r="H3" i="39"/>
  <c r="H2" i="39"/>
  <c r="H3" i="40"/>
  <c r="H2" i="40"/>
  <c r="G6" i="32"/>
  <c r="E6" i="32"/>
  <c r="H6" i="32"/>
  <c r="F6" i="32"/>
  <c r="F18" i="32" s="1"/>
  <c r="C6" i="32"/>
  <c r="B6" i="32"/>
  <c r="D14" i="32"/>
  <c r="D13" i="32"/>
  <c r="D11" i="32"/>
  <c r="D12" i="32"/>
  <c r="D16" i="32"/>
  <c r="D15" i="32"/>
  <c r="D10" i="32"/>
  <c r="D9" i="32"/>
  <c r="D6" i="32"/>
  <c r="D5" i="32"/>
  <c r="D4" i="32"/>
  <c r="D3" i="32"/>
  <c r="D2" i="32"/>
  <c r="G6" i="33"/>
  <c r="E6" i="33"/>
  <c r="F6" i="33"/>
  <c r="C6" i="33"/>
  <c r="B6" i="33"/>
  <c r="D3" i="33"/>
  <c r="D4" i="33"/>
  <c r="D5" i="33"/>
  <c r="D2" i="33"/>
  <c r="D10" i="33"/>
  <c r="G6" i="34"/>
  <c r="E6" i="34"/>
  <c r="D5" i="34"/>
  <c r="D4" i="34"/>
  <c r="D3" i="34"/>
  <c r="D2" i="34"/>
  <c r="H6" i="34"/>
  <c r="F6" i="34"/>
  <c r="C6" i="34"/>
  <c r="B6" i="34"/>
  <c r="G6" i="35"/>
  <c r="E6" i="35"/>
  <c r="D2" i="35"/>
  <c r="D3" i="35"/>
  <c r="D4" i="35"/>
  <c r="D5" i="35"/>
  <c r="F6" i="35"/>
  <c r="C6" i="35"/>
  <c r="D6" i="35" s="1"/>
  <c r="B6" i="35"/>
  <c r="G6" i="36"/>
  <c r="E6" i="36"/>
  <c r="G6" i="37"/>
  <c r="E6" i="38"/>
  <c r="G6" i="38"/>
  <c r="G6" i="39"/>
  <c r="E6" i="39"/>
  <c r="G6" i="40"/>
  <c r="E6" i="40"/>
  <c r="E6" i="37"/>
  <c r="D5" i="36"/>
  <c r="D4" i="36"/>
  <c r="D3" i="36"/>
  <c r="D2" i="36"/>
  <c r="H6" i="36"/>
  <c r="F6" i="36"/>
  <c r="C6" i="36"/>
  <c r="D6" i="36" s="1"/>
  <c r="B6" i="36"/>
  <c r="H6" i="37"/>
  <c r="F6" i="37"/>
  <c r="D5" i="37"/>
  <c r="D4" i="37"/>
  <c r="D3" i="37"/>
  <c r="C6" i="37"/>
  <c r="D6" i="37" s="1"/>
  <c r="B6" i="37"/>
  <c r="D2" i="37"/>
  <c r="D14" i="33"/>
  <c r="D13" i="33"/>
  <c r="D11" i="33"/>
  <c r="D12" i="33"/>
  <c r="D16" i="33"/>
  <c r="D15" i="33"/>
  <c r="D9" i="33"/>
  <c r="D16" i="34"/>
  <c r="D15" i="34"/>
  <c r="D14" i="34"/>
  <c r="D13" i="34"/>
  <c r="D11" i="34"/>
  <c r="D12" i="34"/>
  <c r="D9" i="34"/>
  <c r="D10" i="34"/>
  <c r="D15" i="35"/>
  <c r="D16" i="35"/>
  <c r="D14" i="35"/>
  <c r="D13" i="35"/>
  <c r="D11" i="35"/>
  <c r="D12" i="35"/>
  <c r="D10" i="35"/>
  <c r="D9" i="35"/>
  <c r="D16" i="36"/>
  <c r="D15" i="36"/>
  <c r="D14" i="36"/>
  <c r="D13" i="36"/>
  <c r="D11" i="36"/>
  <c r="D12" i="36"/>
  <c r="D10" i="36"/>
  <c r="D9" i="36"/>
  <c r="D15" i="37"/>
  <c r="D16" i="37"/>
  <c r="D14" i="37"/>
  <c r="D13" i="37"/>
  <c r="D11" i="37"/>
  <c r="D12" i="37"/>
  <c r="D10" i="37"/>
  <c r="D9" i="37"/>
  <c r="F6" i="38"/>
  <c r="D5" i="38"/>
  <c r="D4" i="38"/>
  <c r="D3" i="38"/>
  <c r="D2" i="38"/>
  <c r="D6" i="38"/>
  <c r="C6" i="38"/>
  <c r="B6" i="38"/>
  <c r="D6" i="33" l="1"/>
  <c r="D6" i="30"/>
  <c r="H6" i="31"/>
  <c r="D6" i="34"/>
  <c r="D16" i="38"/>
  <c r="D14" i="38"/>
  <c r="D15" i="38"/>
  <c r="D13" i="38"/>
  <c r="D11" i="38"/>
  <c r="D12" i="38"/>
  <c r="D10" i="38"/>
  <c r="D9" i="38"/>
  <c r="D10" i="39"/>
  <c r="D12" i="39"/>
  <c r="D11" i="39"/>
  <c r="D13" i="39"/>
  <c r="D15" i="39"/>
  <c r="D14" i="39"/>
  <c r="D16" i="39"/>
  <c r="D9" i="39"/>
  <c r="H6" i="39"/>
  <c r="F6" i="39"/>
  <c r="C6" i="39"/>
  <c r="B6" i="39"/>
  <c r="D3" i="39"/>
  <c r="D4" i="39"/>
  <c r="D5" i="39"/>
  <c r="D2" i="39"/>
  <c r="D9" i="40"/>
  <c r="D10" i="40"/>
  <c r="D11" i="40"/>
  <c r="D12" i="40"/>
  <c r="D13" i="40"/>
  <c r="D14" i="40"/>
  <c r="D15" i="40"/>
  <c r="D16" i="40"/>
  <c r="D3" i="40"/>
  <c r="D4" i="40"/>
  <c r="D5" i="40"/>
  <c r="D2" i="40"/>
  <c r="H6" i="40"/>
  <c r="F6" i="40"/>
  <c r="C6" i="40"/>
  <c r="B6" i="40"/>
  <c r="D6" i="40" s="1"/>
  <c r="D6" i="39" l="1"/>
</calcChain>
</file>

<file path=xl/sharedStrings.xml><?xml version="1.0" encoding="utf-8"?>
<sst xmlns="http://schemas.openxmlformats.org/spreadsheetml/2006/main" count="1947" uniqueCount="34">
  <si>
    <t>System</t>
  </si>
  <si>
    <t>Last Week</t>
  </si>
  <si>
    <t>Percentage change</t>
  </si>
  <si>
    <t>Gematsu</t>
  </si>
  <si>
    <t>Sources:</t>
  </si>
  <si>
    <t>Famitsu</t>
  </si>
  <si>
    <t>Perfectly Nintendo</t>
  </si>
  <si>
    <t>Total January</t>
  </si>
  <si>
    <t>This Week</t>
  </si>
  <si>
    <t>Lifetime</t>
  </si>
  <si>
    <t>Year to date</t>
  </si>
  <si>
    <t>Year to date 2019</t>
  </si>
  <si>
    <t>Nintendo Switch</t>
  </si>
  <si>
    <t>PlayStation 4</t>
  </si>
  <si>
    <t>Nintendo 3DS</t>
  </si>
  <si>
    <t>Xbox One</t>
  </si>
  <si>
    <t>All systems</t>
  </si>
  <si>
    <t xml:space="preserve">            </t>
  </si>
  <si>
    <t>Nintendo Switch Lite</t>
  </si>
  <si>
    <t>Xbox One X</t>
  </si>
  <si>
    <t>Xbox One S</t>
  </si>
  <si>
    <t>PlayStation 4 Pro</t>
  </si>
  <si>
    <t>New Nintendo 2DSLL</t>
  </si>
  <si>
    <t xml:space="preserve">New Nintendo 3DS </t>
  </si>
  <si>
    <t>Last Year</t>
  </si>
  <si>
    <t>Total February</t>
  </si>
  <si>
    <t>ResetEra</t>
  </si>
  <si>
    <t>PlayStation 5</t>
  </si>
  <si>
    <t>Xbox Series</t>
  </si>
  <si>
    <t>PlayStation 5 Digital</t>
  </si>
  <si>
    <t>Xbox Series X</t>
  </si>
  <si>
    <t>Xbox Series S</t>
  </si>
  <si>
    <t>New</t>
  </si>
  <si>
    <t>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</si>
</sst>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75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0" borderId="0" xfId="0" applyFont="1"/>
    <xf numFmtId="0" fontId="2" fillId="0" borderId="0" xfId="1"/>
    <xf numFmtId="3" fontId="1" fillId="0" borderId="0" xfId="0" applyNumberFormat="1" applyFont="1" applyFill="1"/>
    <xf numFmtId="3" fontId="0" fillId="0" borderId="0" xfId="0" applyNumberFormat="1" applyFont="1" applyFill="1"/>
    <xf numFmtId="3" fontId="0" fillId="0" borderId="0" xfId="0" applyNumberFormat="1" applyFill="1"/>
    <xf numFmtId="0" fontId="0" fillId="0" borderId="0" xfId="0" applyFont="1" applyFill="1"/>
    <xf numFmtId="3" fontId="2" fillId="0" borderId="0" xfId="1" applyNumberFormat="1"/>
    <xf numFmtId="1" fontId="0" fillId="0" borderId="0" xfId="0" applyNumberFormat="1" applyFont="1" applyFill="1"/>
    <xf numFmtId="9" fontId="0" fillId="0" borderId="0" xfId="0" applyNumberFormat="1" applyFont="1" applyFill="1"/>
    <xf numFmtId="3" fontId="0" fillId="0" borderId="0" xfId="0" applyNumberFormat="1" applyFont="1"/>
    <xf numFmtId="0" fontId="3" fillId="0" borderId="0" xfId="0" applyFont="1" applyFill="1" applyBorder="1"/>
    <xf numFmtId="0" fontId="1" fillId="2" borderId="0" xfId="0" applyFont="1" applyFill="1"/>
    <xf numFmtId="3" fontId="1" fillId="2" borderId="0" xfId="0" applyNumberFormat="1" applyFont="1" applyFill="1"/>
    <xf numFmtId="9" fontId="0" fillId="0" borderId="0" xfId="0" applyNumberFormat="1" applyFont="1"/>
    <xf numFmtId="1" fontId="0" fillId="0" borderId="0" xfId="0" applyNumberFormat="1" applyFont="1" applyFill="1" applyBorder="1"/>
    <xf numFmtId="3" fontId="0" fillId="5" borderId="1" xfId="0" applyNumberFormat="1" applyFont="1" applyFill="1" applyBorder="1"/>
    <xf numFmtId="3" fontId="0" fillId="5" borderId="2" xfId="0" applyNumberFormat="1" applyFont="1" applyFill="1" applyBorder="1"/>
    <xf numFmtId="9" fontId="0" fillId="5" borderId="2" xfId="0" applyNumberFormat="1" applyFont="1" applyFill="1" applyBorder="1"/>
    <xf numFmtId="3" fontId="0" fillId="5" borderId="5" xfId="0" applyNumberFormat="1" applyFont="1" applyFill="1" applyBorder="1"/>
    <xf numFmtId="0" fontId="0" fillId="4" borderId="1" xfId="0" applyFont="1" applyFill="1" applyBorder="1"/>
    <xf numFmtId="3" fontId="0" fillId="4" borderId="2" xfId="0" applyNumberFormat="1" applyFont="1" applyFill="1" applyBorder="1"/>
    <xf numFmtId="9" fontId="0" fillId="4" borderId="2" xfId="0" applyNumberFormat="1" applyFont="1" applyFill="1" applyBorder="1"/>
    <xf numFmtId="3" fontId="0" fillId="4" borderId="5" xfId="0" applyNumberFormat="1" applyFont="1" applyFill="1" applyBorder="1"/>
    <xf numFmtId="3" fontId="0" fillId="4" borderId="1" xfId="0" applyNumberFormat="1" applyFont="1" applyFill="1" applyBorder="1"/>
    <xf numFmtId="3" fontId="0" fillId="4" borderId="3" xfId="0" applyNumberFormat="1" applyFont="1" applyFill="1" applyBorder="1"/>
    <xf numFmtId="3" fontId="0" fillId="4" borderId="4" xfId="0" applyNumberFormat="1" applyFont="1" applyFill="1" applyBorder="1"/>
    <xf numFmtId="9" fontId="0" fillId="4" borderId="4" xfId="0" applyNumberFormat="1" applyFont="1" applyFill="1" applyBorder="1"/>
    <xf numFmtId="3" fontId="0" fillId="4" borderId="6" xfId="0" applyNumberFormat="1" applyFont="1" applyFill="1" applyBorder="1"/>
    <xf numFmtId="1" fontId="4" fillId="3" borderId="0" xfId="2" applyNumberFormat="1"/>
    <xf numFmtId="3" fontId="4" fillId="3" borderId="0" xfId="2" applyNumberFormat="1"/>
    <xf numFmtId="9" fontId="4" fillId="3" borderId="0" xfId="2" applyNumberFormat="1"/>
    <xf numFmtId="1" fontId="0" fillId="0" borderId="0" xfId="0" applyNumberFormat="1" applyFill="1" applyBorder="1"/>
    <xf numFmtId="0" fontId="0" fillId="0" borderId="0" xfId="0" applyFill="1" applyBorder="1"/>
    <xf numFmtId="3" fontId="0" fillId="0" borderId="0" xfId="0" applyNumberFormat="1" applyFill="1" applyBorder="1"/>
    <xf numFmtId="0" fontId="0" fillId="0" borderId="0" xfId="0" applyFont="1" applyFill="1" applyBorder="1"/>
    <xf numFmtId="3" fontId="0" fillId="0" borderId="0" xfId="0" applyNumberFormat="1" applyFont="1" applyFill="1" applyBorder="1"/>
    <xf numFmtId="14" fontId="0" fillId="0" borderId="0" xfId="0" applyNumberFormat="1" applyFont="1" applyFill="1" applyBorder="1"/>
    <xf numFmtId="0" fontId="1" fillId="0" borderId="0" xfId="0" applyFont="1" applyFill="1" applyBorder="1"/>
    <xf numFmtId="3" fontId="1" fillId="0" borderId="0" xfId="0" applyNumberFormat="1" applyFont="1" applyFill="1" applyBorder="1"/>
    <xf numFmtId="3" fontId="0" fillId="0" borderId="1" xfId="0" applyNumberFormat="1" applyFont="1" applyFill="1" applyBorder="1"/>
    <xf numFmtId="9" fontId="0" fillId="0" borderId="2" xfId="0" applyNumberFormat="1" applyFont="1" applyFill="1" applyBorder="1"/>
    <xf numFmtId="0" fontId="0" fillId="0" borderId="1" xfId="0" applyFont="1" applyFill="1" applyBorder="1"/>
    <xf numFmtId="3" fontId="0" fillId="0" borderId="3" xfId="0" applyNumberFormat="1" applyFont="1" applyFill="1" applyBorder="1"/>
    <xf numFmtId="9" fontId="4" fillId="3" borderId="2" xfId="2" applyNumberFormat="1" applyBorder="1"/>
    <xf numFmtId="3" fontId="0" fillId="0" borderId="0" xfId="0" applyNumberFormat="1" applyFont="1" applyAlignment="1"/>
    <xf numFmtId="1" fontId="4" fillId="3" borderId="0" xfId="2" applyNumberFormat="1" applyFont="1"/>
    <xf numFmtId="3" fontId="4" fillId="3" borderId="0" xfId="2" applyNumberFormat="1" applyFont="1"/>
    <xf numFmtId="9" fontId="4" fillId="3" borderId="0" xfId="2" applyNumberFormat="1" applyFont="1"/>
    <xf numFmtId="0" fontId="2" fillId="0" borderId="0" xfId="1" applyFont="1"/>
    <xf numFmtId="0" fontId="2" fillId="0" borderId="0" xfId="1" applyFont="1" applyFill="1" applyBorder="1"/>
    <xf numFmtId="0" fontId="0" fillId="0" borderId="1" xfId="0" applyBorder="1"/>
    <xf numFmtId="0" fontId="0" fillId="5" borderId="1" xfId="0" applyFont="1" applyFill="1" applyBorder="1"/>
    <xf numFmtId="3" fontId="0" fillId="5" borderId="0" xfId="0" applyNumberFormat="1" applyFont="1" applyFill="1" applyBorder="1"/>
    <xf numFmtId="3" fontId="0" fillId="0" borderId="5" xfId="0" applyNumberFormat="1" applyFont="1" applyFill="1" applyBorder="1"/>
    <xf numFmtId="1" fontId="0" fillId="0" borderId="1" xfId="0" applyNumberFormat="1" applyFont="1" applyFill="1" applyBorder="1"/>
    <xf numFmtId="3" fontId="0" fillId="0" borderId="2" xfId="0" applyNumberFormat="1" applyFont="1" applyFill="1" applyBorder="1"/>
    <xf numFmtId="0" fontId="0" fillId="0" borderId="1" xfId="0" applyFill="1" applyBorder="1"/>
    <xf numFmtId="1" fontId="6" fillId="0" borderId="7" xfId="0" applyNumberFormat="1" applyFont="1" applyFill="1" applyBorder="1"/>
    <xf numFmtId="0" fontId="0" fillId="0" borderId="0" xfId="0" applyBorder="1"/>
    <xf numFmtId="3" fontId="0" fillId="0" borderId="2" xfId="0" applyNumberFormat="1" applyFill="1" applyBorder="1"/>
    <xf numFmtId="3" fontId="0" fillId="0" borderId="2" xfId="0" applyNumberFormat="1" applyBorder="1"/>
    <xf numFmtId="3" fontId="0" fillId="0" borderId="5" xfId="0" applyNumberFormat="1" applyBorder="1"/>
    <xf numFmtId="1" fontId="6" fillId="0" borderId="1" xfId="0" applyNumberFormat="1" applyFont="1" applyFill="1" applyBorder="1"/>
    <xf numFmtId="3" fontId="1" fillId="0" borderId="1" xfId="0" applyNumberFormat="1" applyFont="1" applyFill="1" applyBorder="1"/>
    <xf numFmtId="3" fontId="1" fillId="0" borderId="0" xfId="0" applyNumberFormat="1" applyFont="1"/>
    <xf numFmtId="9" fontId="1" fillId="0" borderId="2" xfId="0" applyNumberFormat="1" applyFont="1" applyFill="1" applyBorder="1"/>
    <xf numFmtId="1" fontId="1" fillId="0" borderId="7" xfId="0" applyNumberFormat="1" applyFont="1" applyFill="1" applyBorder="1"/>
    <xf numFmtId="1" fontId="7" fillId="0" borderId="1" xfId="0" applyNumberFormat="1" applyFont="1" applyFill="1" applyBorder="1"/>
    <xf numFmtId="1" fontId="1" fillId="0" borderId="0" xfId="0" applyNumberFormat="1" applyFont="1" applyFill="1"/>
    <xf numFmtId="9" fontId="1" fillId="0" borderId="0" xfId="0" applyNumberFormat="1" applyFont="1" applyFill="1"/>
    <xf numFmtId="3" fontId="0" fillId="0" borderId="7" xfId="0" applyNumberFormat="1" applyFont="1" applyFill="1" applyBorder="1"/>
    <xf numFmtId="0" fontId="0" fillId="0" borderId="7" xfId="0" applyFont="1" applyFill="1" applyBorder="1"/>
  </cellXfs>
  <cellStyles count="3">
    <cellStyle name="Accent6" xfId="2" builtinId="49"/>
    <cellStyle name="Hyperlink" xfId="1" builtinId="8"/>
    <cellStyle name="Normal" xfId="0" builtinId="0"/>
  </cellStyles>
  <dxfs count="10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\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\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945E86-92A0-CD4F-9D5D-B3F93F480173}" name="Table5" displayName="Table5" ref="A1:H6" totalsRowShown="0" headerRowDxfId="1059" dataDxfId="1058">
  <tableColumns count="8">
    <tableColumn id="1" xr3:uid="{50E0658D-9435-E446-93E4-D1C7E8D2F76E}" name="System" dataDxfId="1057"/>
    <tableColumn id="2" xr3:uid="{98FD7A51-2AC8-684B-9956-77FC18C9F8AE}" name="This Week" dataDxfId="1056"/>
    <tableColumn id="3" xr3:uid="{E119FED7-FE26-214B-BDD9-4999AB675203}" name="Last Week" dataDxfId="1055"/>
    <tableColumn id="4" xr3:uid="{BB8C6774-07A0-1441-B712-F4D2C24C8194}" name="Percentage change" dataDxfId="1054"/>
    <tableColumn id="5" xr3:uid="{1460B111-0B5C-064F-97DE-6C3EB234EAC1}" name="Last Year" dataDxfId="1053"/>
    <tableColumn id="6" xr3:uid="{60F5489B-77C6-474B-92FE-4FBDCA362ABD}" name="Year to date" dataDxfId="1052"/>
    <tableColumn id="7" xr3:uid="{FE29880C-850D-7B47-BA59-3B5AA80AC080}" name="Year to date 2019" dataDxfId="1051"/>
    <tableColumn id="8" xr3:uid="{516FF6A1-4706-204D-93BC-CADF41E29E43}" name="Lifetime" dataDxfId="105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AFF0654-5C75-0748-9057-8151AFBE17D1}" name="Table515557810" displayName="Table515557810" ref="A8:H16" totalsRowShown="0" headerRowDxfId="969" dataDxfId="968">
  <sortState xmlns:xlrd2="http://schemas.microsoft.com/office/spreadsheetml/2017/richdata2" ref="A9:H16">
    <sortCondition descending="1" ref="B8:B16"/>
  </sortState>
  <tableColumns count="8">
    <tableColumn id="1" xr3:uid="{F784F766-272A-DF4A-8B42-1358ACACD4D7}" name="System" dataDxfId="967"/>
    <tableColumn id="2" xr3:uid="{16FC8096-D091-1D48-9C93-4F36F7499C79}" name="This Week" dataDxfId="966"/>
    <tableColumn id="3" xr3:uid="{91F08BE8-CABF-EC4F-8C12-0B230DBCAABF}" name="Last Week" dataDxfId="965"/>
    <tableColumn id="4" xr3:uid="{27B547FB-3E48-BB44-880D-BE8F388EA950}" name="Percentage change" dataDxfId="964">
      <calculatedColumnFormula>(Table515557810[[#This Row],[This Week]]-Table515557810[[#This Row],[Last Week]])/Table515557810[[#This Row],[Last Week]]</calculatedColumnFormula>
    </tableColumn>
    <tableColumn id="5" xr3:uid="{092F6372-841A-D741-9E54-97148DF6A506}" name="Last Year" dataDxfId="963"/>
    <tableColumn id="6" xr3:uid="{E9082BAD-F984-2B49-89EC-8212747700CA}" name="Year to date" dataDxfId="962"/>
    <tableColumn id="7" xr3:uid="{A2B243FB-EC19-9643-BB80-1EAD6C4F87BA}" name="Year to date 2019" dataDxfId="961"/>
    <tableColumn id="8" xr3:uid="{73B09840-5B8D-1B41-912B-8B2946A72D78}" name="Lifetime" dataDxfId="960"/>
  </tableColumns>
  <tableStyleInfo name="TableStyleMedium9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2B75DC0B-0B9E-6F41-AA7F-455800D4B4A6}" name="Table5155578101665718558768288120188196200232244246248" displayName="Table5155578101665718558768288120188196200232244246248" ref="A10:H22" totalsRowShown="0" headerRowDxfId="69" dataDxfId="68">
  <sortState xmlns:xlrd2="http://schemas.microsoft.com/office/spreadsheetml/2017/richdata2" ref="A11:H22">
    <sortCondition descending="1" ref="B10:B22"/>
  </sortState>
  <tableColumns count="8">
    <tableColumn id="1" xr3:uid="{A263844B-D727-1B45-9AAB-6BCCB9C0F8B6}" name="System" dataDxfId="67"/>
    <tableColumn id="2" xr3:uid="{697B612C-4860-D64B-B964-7E20ABF01D17}" name="This Week" dataDxfId="66"/>
    <tableColumn id="3" xr3:uid="{8DBDCD19-F9C1-8145-AF75-5CC1B84F7723}" name="Last Week" dataDxfId="65"/>
    <tableColumn id="4" xr3:uid="{38B53346-AC08-534C-B80D-00C1B1705BAC}" name="Percentage change" dataDxfId="64">
      <calculatedColumnFormula>(Table5155578101665718558768288120188196200232244246248[[#This Row],[This Week]]-Table5155578101665718558768288120188196200232244246248[[#This Row],[Last Week]])/Table5155578101665718558768288120188196200232244246248[[#This Row],[Last Week]]</calculatedColumnFormula>
    </tableColumn>
    <tableColumn id="5" xr3:uid="{A6D36734-CDCA-5F42-A4B0-8DECA8C0A97A}" name="Last Year" dataDxfId="63"/>
    <tableColumn id="6" xr3:uid="{EFE74072-BD50-0A44-92C0-1C4A36928529}" name="Year to date" dataDxfId="62"/>
    <tableColumn id="7" xr3:uid="{64295ECC-11D0-6541-AEC7-8E0B56B54B07}" name="Year to date 2019" dataDxfId="61"/>
    <tableColumn id="8" xr3:uid="{E1BC3D5C-CC6A-5248-8601-06C4864F1C08}" name="Lifetime" dataDxfId="60"/>
  </tableColumns>
  <tableStyleInfo name="TableStyleMedium9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0EAC18ED-5806-584F-A5E2-97970FA8D5BF}" name="Table55456791564708453758187119187195199231243245249" displayName="Table55456791564708453758187119187195199231243245249" ref="A1:H8" totalsRowShown="0" headerRowDxfId="59" dataDxfId="58">
  <tableColumns count="8">
    <tableColumn id="1" xr3:uid="{E5453A4B-719F-2D40-96B2-0EC01C567CD0}" name="System" dataDxfId="57"/>
    <tableColumn id="2" xr3:uid="{12DA74C6-717A-484B-B317-442A12DC1343}" name="This Week" dataDxfId="56"/>
    <tableColumn id="3" xr3:uid="{B26A4861-80EB-4D4B-9472-62D0E3C69772}" name="Last Week" dataDxfId="55"/>
    <tableColumn id="4" xr3:uid="{1DA995D2-AB9E-514C-B4ED-DD1595A31E40}" name="Percentage change" dataDxfId="54">
      <calculatedColumnFormula>(Table55456791564708453758187119187195199231243245249[[#This Row],[This Week]]-Table55456791564708453758187119187195199231243245249[[#This Row],[Last Week]])/Table55456791564708453758187119187195199231243245249[[#This Row],[Last Week]]</calculatedColumnFormula>
    </tableColumn>
    <tableColumn id="5" xr3:uid="{8D5C801F-F57A-F34A-90F0-ECDEF20E9562}" name="Last Year" dataDxfId="53"/>
    <tableColumn id="6" xr3:uid="{B908093D-CBF1-E043-B1B5-2B6922083F05}" name="Year to date" dataDxfId="52"/>
    <tableColumn id="7" xr3:uid="{E3BFC58A-09DC-8541-9A82-DD0CCC745D43}" name="Year to date 2019" dataDxfId="51"/>
    <tableColumn id="8" xr3:uid="{42E76896-C99C-244F-A3C3-3F2CFCFB73F1}" name="Lifetime" dataDxfId="50"/>
  </tableColumns>
  <tableStyleInfo name="TableStyleMedium9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CCC57087-C81D-1147-82E5-DF4D462D5754}" name="Table5155578101665718558768288120188196200232244246250" displayName="Table5155578101665718558768288120188196200232244246250" ref="A10:H22" totalsRowShown="0" headerRowDxfId="49" dataDxfId="48">
  <sortState xmlns:xlrd2="http://schemas.microsoft.com/office/spreadsheetml/2017/richdata2" ref="A11:H22">
    <sortCondition descending="1" ref="B10:B22"/>
  </sortState>
  <tableColumns count="8">
    <tableColumn id="1" xr3:uid="{FEF3841D-F2B6-9143-9A82-C4D1A805CEFA}" name="System" dataDxfId="47"/>
    <tableColumn id="2" xr3:uid="{0B9482D0-83C1-FD4C-9509-E6312F48C478}" name="This Week" dataDxfId="46"/>
    <tableColumn id="3" xr3:uid="{03470F77-8A25-3147-99C5-39122125CA4E}" name="Last Week" dataDxfId="45"/>
    <tableColumn id="4" xr3:uid="{ED73DD36-9C28-2446-AF85-F135DF64DEA9}" name="Percentage change" dataDxfId="44">
      <calculatedColumnFormula>(Table5155578101665718558768288120188196200232244246250[[#This Row],[This Week]]-Table5155578101665718558768288120188196200232244246250[[#This Row],[Last Week]])/Table5155578101665718558768288120188196200232244246250[[#This Row],[Last Week]]</calculatedColumnFormula>
    </tableColumn>
    <tableColumn id="5" xr3:uid="{406557F7-D6AD-7343-8F73-81950565B479}" name="Last Year" dataDxfId="43"/>
    <tableColumn id="6" xr3:uid="{D4449D13-F738-9347-A0D3-126688C18E97}" name="Year to date" dataDxfId="42"/>
    <tableColumn id="7" xr3:uid="{099D1097-E136-0E4D-8766-CFC889E60775}" name="Year to date 2019" dataDxfId="41"/>
    <tableColumn id="8" xr3:uid="{57D7415C-95AF-B846-AAD1-1E453CFFEB61}" name="Lifetime" dataDxfId="40"/>
  </tableColumns>
  <tableStyleInfo name="TableStyleMedium9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2A49924F-78AF-6643-B169-BB9B06EAEFB5}" name="Table55456791564708453758187119187195199231243245251" displayName="Table55456791564708453758187119187195199231243245251" ref="A1:H8" totalsRowShown="0" headerRowDxfId="39" dataDxfId="38">
  <tableColumns count="8">
    <tableColumn id="1" xr3:uid="{BE961CFC-3CBC-3A43-B094-02F915CC9B65}" name="System" dataDxfId="37"/>
    <tableColumn id="2" xr3:uid="{D60C3D76-CA62-A940-8928-D08E2BA037B4}" name="This Week" dataDxfId="36"/>
    <tableColumn id="3" xr3:uid="{5ABDD53F-4333-9842-BBFC-4BC37FF71AEA}" name="Last Week" dataDxfId="35"/>
    <tableColumn id="4" xr3:uid="{1CB351DB-9350-3345-BD71-42B7B742AFCC}" name="Percentage change" dataDxfId="34">
      <calculatedColumnFormula>(Table55456791564708453758187119187195199231243245251[[#This Row],[This Week]]-Table55456791564708453758187119187195199231243245251[[#This Row],[Last Week]])/Table55456791564708453758187119187195199231243245251[[#This Row],[Last Week]]</calculatedColumnFormula>
    </tableColumn>
    <tableColumn id="5" xr3:uid="{24230484-E37C-304A-BD7B-6A94F6D23E3B}" name="Last Year" dataDxfId="33"/>
    <tableColumn id="6" xr3:uid="{9A01E337-0D2F-584E-8ECB-E02DD237BAAC}" name="Year to date" dataDxfId="32"/>
    <tableColumn id="7" xr3:uid="{8D202C12-F7FF-D84B-9043-79C0387E9EC4}" name="Year to date 2019" dataDxfId="31"/>
    <tableColumn id="8" xr3:uid="{DDFBC350-2FD7-3943-A284-F40CE9CB2926}" name="Lifetime" dataDxfId="30"/>
  </tableColumns>
  <tableStyleInfo name="TableStyleMedium9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2EEF5900-BE61-5E47-88D6-003741BCCEAB}" name="Table5155578101665718558768288120188196200232244246252" displayName="Table5155578101665718558768288120188196200232244246252" ref="A10:H22" totalsRowShown="0" headerRowDxfId="29" dataDxfId="28">
  <sortState xmlns:xlrd2="http://schemas.microsoft.com/office/spreadsheetml/2017/richdata2" ref="A11:H22">
    <sortCondition descending="1" ref="B15:B22"/>
  </sortState>
  <tableColumns count="8">
    <tableColumn id="1" xr3:uid="{2D5D06FA-332C-B945-93F9-BEF05A6B2B44}" name="System" dataDxfId="27"/>
    <tableColumn id="2" xr3:uid="{504771AE-0B0E-CB44-9258-20429C3A6750}" name="This Week" dataDxfId="26"/>
    <tableColumn id="3" xr3:uid="{0F0C74ED-E979-F248-9F73-4CF821D409CF}" name="Last Week" dataDxfId="25"/>
    <tableColumn id="4" xr3:uid="{B0772C6A-2891-7343-87CF-1D5DCD735895}" name="Percentage change" dataDxfId="24">
      <calculatedColumnFormula>(Table5155578101665718558768288120188196200232244246252[[#This Row],[This Week]]-Table5155578101665718558768288120188196200232244246252[[#This Row],[Last Week]])/Table5155578101665718558768288120188196200232244246252[[#This Row],[Last Week]]</calculatedColumnFormula>
    </tableColumn>
    <tableColumn id="5" xr3:uid="{D06D490D-6033-C145-9EA7-0EF62FB1745F}" name="Last Year" dataDxfId="23"/>
    <tableColumn id="6" xr3:uid="{10607A3B-315E-4345-BDFA-9A2348ACF418}" name="Year to date" dataDxfId="22"/>
    <tableColumn id="7" xr3:uid="{3F02CE3A-DBA0-2A42-9F88-01C733A22B8B}" name="Year to date 2019" dataDxfId="21"/>
    <tableColumn id="8" xr3:uid="{17A166DB-6209-1D44-BFEF-F7F83B3228F5}" name="Lifetime" dataDxfId="20"/>
  </tableColumns>
  <tableStyleInfo name="TableStyleMedium9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A3F3BDCF-3D76-6241-A6A1-52A1D8A59F60}" name="Table55456791564708453758187119187195199231243245251253" displayName="Table55456791564708453758187119187195199231243245251253" ref="A1:H8" totalsRowShown="0" headerRowDxfId="19" dataDxfId="18">
  <tableColumns count="8">
    <tableColumn id="1" xr3:uid="{CA253BF9-4BBE-0B4D-8AEC-C96FCBCF2C36}" name="System" dataDxfId="17"/>
    <tableColumn id="2" xr3:uid="{5D81D593-FD1A-D24F-8055-3243800A902D}" name="This Week" dataDxfId="16"/>
    <tableColumn id="3" xr3:uid="{2DBD6DE5-8B8F-2044-8F8B-2842BC656573}" name="Last Week" dataDxfId="15"/>
    <tableColumn id="4" xr3:uid="{87C31F67-81EC-C740-AEF4-CBC63F030B1C}" name="Percentage change" dataDxfId="14">
      <calculatedColumnFormula>(Table55456791564708453758187119187195199231243245251253[[#This Row],[This Week]]-Table55456791564708453758187119187195199231243245251253[[#This Row],[Last Week]])/Table55456791564708453758187119187195199231243245251253[[#This Row],[Last Week]]</calculatedColumnFormula>
    </tableColumn>
    <tableColumn id="5" xr3:uid="{824FF1AF-3094-0D4C-8521-8CE4524D7792}" name="Last Year" dataDxfId="13"/>
    <tableColumn id="6" xr3:uid="{3C3B0AF0-2165-D746-92DA-2DE3802376E0}" name="Year to date" dataDxfId="12"/>
    <tableColumn id="7" xr3:uid="{BA5796BF-39EB-8847-BD76-40490674E792}" name="Year to date 2019" dataDxfId="11"/>
    <tableColumn id="8" xr3:uid="{1B8A4BE3-6E23-9244-87C4-FDE5FEF5E9BB}" name="Lifetime" dataDxfId="10"/>
  </tableColumns>
  <tableStyleInfo name="TableStyleMedium9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06F5C916-7331-DB41-8A31-54F63E1F321A}" name="Table5155578101665718558768288120188196200232244246252254" displayName="Table5155578101665718558768288120188196200232244246252254" ref="A10:H22" totalsRowShown="0" headerRowDxfId="9" dataDxfId="8">
  <sortState xmlns:xlrd2="http://schemas.microsoft.com/office/spreadsheetml/2017/richdata2" ref="A11:H22">
    <sortCondition descending="1" ref="B15:B22"/>
  </sortState>
  <tableColumns count="8">
    <tableColumn id="1" xr3:uid="{7893300F-EAEF-C947-B6ED-5627B07D9592}" name="System" dataDxfId="7"/>
    <tableColumn id="2" xr3:uid="{3517AB45-EC53-0E4E-89D2-BE77D2D665E2}" name="This Week" dataDxfId="6"/>
    <tableColumn id="3" xr3:uid="{CBAF0D28-A67B-A242-A7CB-EF2468CBBE9F}" name="Last Week" dataDxfId="5"/>
    <tableColumn id="4" xr3:uid="{A3062E90-71B2-4542-96B4-F07924A2A344}" name="Percentage change" dataDxfId="4">
      <calculatedColumnFormula>(Table5155578101665718558768288120188196200232244246252254[[#This Row],[This Week]]-Table5155578101665718558768288120188196200232244246252254[[#This Row],[Last Week]])/Table5155578101665718558768288120188196200232244246252254[[#This Row],[Last Week]]</calculatedColumnFormula>
    </tableColumn>
    <tableColumn id="5" xr3:uid="{7E290FB4-6A48-DE4C-AD19-5CC70C333FBB}" name="Last Year" dataDxfId="3"/>
    <tableColumn id="6" xr3:uid="{F8B5A0A6-E129-FB4F-ABD6-7E447B7C598D}" name="Year to date" dataDxfId="2"/>
    <tableColumn id="7" xr3:uid="{31994A5C-90F0-3744-BC25-917F2DBA7087}" name="Year to date 2019" dataDxfId="1"/>
    <tableColumn id="8" xr3:uid="{FD77BCB3-ADDC-8942-AB49-77D4181A9A93}" name="Lifetime" dataDxfId="0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DDE85C0-CBAB-924D-BE3D-4B252D4C4C27}" name="Table554567911" displayName="Table554567911" ref="A1:H6" totalsRowShown="0" headerRowDxfId="959" dataDxfId="958">
  <tableColumns count="8">
    <tableColumn id="1" xr3:uid="{7AA4AFA3-D123-C647-BE4C-71DCF0FA3A5B}" name="System" dataDxfId="957"/>
    <tableColumn id="2" xr3:uid="{4D5D2DFF-87CF-4B4B-B19E-97EEBD551809}" name="This Week" dataDxfId="956"/>
    <tableColumn id="3" xr3:uid="{35FC11E1-DCF6-4C4D-B61C-33AD69B16C01}" name="Last Week" dataDxfId="955"/>
    <tableColumn id="4" xr3:uid="{15B14D19-06A1-1E49-98B2-E62D5D62BB84}" name="Percentage change" dataDxfId="954">
      <calculatedColumnFormula>(B2-C2)/C2</calculatedColumnFormula>
    </tableColumn>
    <tableColumn id="5" xr3:uid="{AE2C1E6A-0BF4-4B4E-BBCB-520E274A0BCA}" name="Last Year" dataDxfId="953"/>
    <tableColumn id="6" xr3:uid="{E4E3B0EE-0C91-6E49-9B44-AD3C421FE7F3}" name="Year to date" dataDxfId="952"/>
    <tableColumn id="7" xr3:uid="{AA5C2F3D-ED32-5C46-8260-1200A5D9FCA4}" name="Year to date 2019" dataDxfId="951"/>
    <tableColumn id="8" xr3:uid="{842A4FE7-8B32-0F4A-893A-8542BC350608}" name="Lifetime" dataDxfId="950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AF7FA67-92BB-F24D-9856-6E2BB3BB1F62}" name="Table51555781012" displayName="Table51555781012" ref="A8:H16" totalsRowShown="0" headerRowDxfId="949" dataDxfId="948">
  <sortState xmlns:xlrd2="http://schemas.microsoft.com/office/spreadsheetml/2017/richdata2" ref="A9:H16">
    <sortCondition descending="1" ref="B8:B16"/>
  </sortState>
  <tableColumns count="8">
    <tableColumn id="1" xr3:uid="{B58DEA23-EB99-744D-8659-F63F5B6AEB5B}" name="System" dataDxfId="947"/>
    <tableColumn id="2" xr3:uid="{CEE2429E-29B9-1641-ADF3-2F60CFA88217}" name="This Week" dataDxfId="946"/>
    <tableColumn id="3" xr3:uid="{9234052A-5DD8-3F4D-8B0D-FE5AD005583E}" name="Last Week" dataDxfId="945"/>
    <tableColumn id="4" xr3:uid="{4977D118-F234-E648-BD68-746D1BA02723}" name="Percentage change" dataDxfId="944">
      <calculatedColumnFormula>(Table51555781012[[#This Row],[This Week]]-Table51555781012[[#This Row],[Last Week]])/Table51555781012[[#This Row],[Last Week]]</calculatedColumnFormula>
    </tableColumn>
    <tableColumn id="5" xr3:uid="{8E6AE9D5-F090-E04A-9666-540F1862F87A}" name="Last Year" dataDxfId="943"/>
    <tableColumn id="6" xr3:uid="{CD2C2443-3A8E-B042-88C8-F1E441430C24}" name="Year to date" dataDxfId="942"/>
    <tableColumn id="7" xr3:uid="{E5A1CBCE-B9B8-6A49-AD99-E323963C3331}" name="Year to date 2019" dataDxfId="941"/>
    <tableColumn id="8" xr3:uid="{95AB6517-07BE-9D4D-B362-AAA3EDBA0495}" name="Lifetime" dataDxfId="94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535D366-59CC-8A41-ADC2-4F2FCBB9A9A8}" name="Table554567913" displayName="Table554567913" ref="A1:H6" totalsRowShown="0" headerRowDxfId="939" dataDxfId="938">
  <tableColumns count="8">
    <tableColumn id="1" xr3:uid="{279E3D53-2AD9-C049-9454-7131DD21ECF2}" name="System" dataDxfId="937"/>
    <tableColumn id="2" xr3:uid="{C7B74C5E-AB1D-1542-B577-9EDBC6470A15}" name="This Week" dataDxfId="936"/>
    <tableColumn id="3" xr3:uid="{7C188446-ACC4-214D-982E-060E624BCD85}" name="Last Week" dataDxfId="935"/>
    <tableColumn id="4" xr3:uid="{8CA9D698-1F3C-474A-A287-1003B46B272C}" name="Percentage change" dataDxfId="934">
      <calculatedColumnFormula>(#REF!-#REF!)/#REF!</calculatedColumnFormula>
    </tableColumn>
    <tableColumn id="5" xr3:uid="{6BDA0A98-D606-A748-AD6A-E8A719303C81}" name="Last Year" dataDxfId="933"/>
    <tableColumn id="6" xr3:uid="{A78318AF-9173-674A-876B-895E5C64EE4F}" name="Year to date" dataDxfId="932"/>
    <tableColumn id="7" xr3:uid="{6D97E933-DF37-9147-BD10-3DB77784F506}" name="Year to date 2019" dataDxfId="931"/>
    <tableColumn id="8" xr3:uid="{79DD5503-F040-C746-8C8E-F2804806E42E}" name="Lifetime" dataDxfId="930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92D4333-A8DB-A842-84E3-5F77C41B59FC}" name="Table51555781014" displayName="Table51555781014" ref="A8:H16" totalsRowShown="0" headerRowDxfId="929" dataDxfId="928">
  <sortState xmlns:xlrd2="http://schemas.microsoft.com/office/spreadsheetml/2017/richdata2" ref="A9:H16">
    <sortCondition descending="1" ref="B8:B16"/>
  </sortState>
  <tableColumns count="8">
    <tableColumn id="1" xr3:uid="{B355939E-7704-2D49-9301-B42E5539132E}" name="System" dataDxfId="927"/>
    <tableColumn id="2" xr3:uid="{4779D7A2-055C-8641-A68E-D4745D169857}" name="This Week" dataDxfId="926"/>
    <tableColumn id="3" xr3:uid="{8681F4F0-1C2F-9046-A2AE-3944B3090762}" name="Last Week" dataDxfId="925"/>
    <tableColumn id="4" xr3:uid="{CA585FE7-03ED-8C4E-BECA-C66F8D44C225}" name="Percentage change" dataDxfId="924">
      <calculatedColumnFormula>(Table51555781014[[#This Row],[This Week]]-Table51555781014[[#This Row],[Last Week]])/Table51555781014[[#This Row],[Last Week]]</calculatedColumnFormula>
    </tableColumn>
    <tableColumn id="5" xr3:uid="{5EB39374-60FC-E640-B50B-17CA1E1819FD}" name="Last Year" dataDxfId="923"/>
    <tableColumn id="6" xr3:uid="{0754A31B-6562-3742-AF5D-A611F7879B49}" name="Year to date" dataDxfId="922"/>
    <tableColumn id="7" xr3:uid="{AC55230F-1AD9-824E-B90B-E6A9DDA8A51A}" name="Year to date 2019" dataDxfId="921"/>
    <tableColumn id="8" xr3:uid="{26A6FFFE-7BDE-0845-A62A-743A1160462C}" name="Lifetime" dataDxfId="920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CA0B638-F08B-7346-BF33-31CCC4F366D6}" name="Table554567915" displayName="Table554567915" ref="A1:H6" totalsRowShown="0" headerRowDxfId="919" dataDxfId="918">
  <tableColumns count="8">
    <tableColumn id="1" xr3:uid="{BA1D56AC-A02E-6F4E-B58C-947FFEF5E531}" name="System" dataDxfId="917"/>
    <tableColumn id="2" xr3:uid="{24610E98-29DA-8942-9ED9-FD22F1206196}" name="This Week" dataDxfId="916"/>
    <tableColumn id="3" xr3:uid="{210C3843-2734-0A4D-A491-57EAA5E49482}" name="Last Week" dataDxfId="915"/>
    <tableColumn id="4" xr3:uid="{C8B2549B-2A84-3045-8BF8-75ADEFC114B2}" name="Percentage change" dataDxfId="914">
      <calculatedColumnFormula>(Table554567915[[#This Row],[This Week]]-Table554567915[[#This Row],[Last Week]])/Table554567915[[#This Row],[Last Week]]</calculatedColumnFormula>
    </tableColumn>
    <tableColumn id="5" xr3:uid="{A19BBD85-46DB-4646-B042-78F84E9F994D}" name="Last Year" dataDxfId="913"/>
    <tableColumn id="6" xr3:uid="{FCF61A0C-F243-3E46-B755-7071CF7984D2}" name="Year to date" dataDxfId="912"/>
    <tableColumn id="7" xr3:uid="{470864CE-82B6-334D-9A4D-8518DED64639}" name="Year to date 2019" dataDxfId="911"/>
    <tableColumn id="8" xr3:uid="{C60494C5-5AB1-2C48-A627-81205338D271}" name="Lifetime" dataDxfId="910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95C8B6-89F2-334C-BEE8-924B3B6D32B3}" name="Table51555781016" displayName="Table51555781016" ref="A8:H16" totalsRowShown="0" headerRowDxfId="909" dataDxfId="908">
  <sortState xmlns:xlrd2="http://schemas.microsoft.com/office/spreadsheetml/2017/richdata2" ref="A9:H16">
    <sortCondition descending="1" ref="B8:B16"/>
  </sortState>
  <tableColumns count="8">
    <tableColumn id="1" xr3:uid="{DB0CC8C5-126A-0742-B01A-3CF1CF2D2D72}" name="System" dataDxfId="907"/>
    <tableColumn id="2" xr3:uid="{4FA624E5-3607-CF44-A936-6BDDD02688F7}" name="This Week" dataDxfId="906"/>
    <tableColumn id="3" xr3:uid="{110C0812-E99E-2848-9D61-EFC2EEF639CA}" name="Last Week" dataDxfId="905"/>
    <tableColumn id="4" xr3:uid="{5434D83D-CAAE-EB4A-A34B-2A2832693CA3}" name="Percentage change" dataDxfId="904">
      <calculatedColumnFormula>(Table51555781016[[#This Row],[This Week]]-Table51555781016[[#This Row],[Last Week]])/Table51555781016[[#This Row],[Last Week]]</calculatedColumnFormula>
    </tableColumn>
    <tableColumn id="5" xr3:uid="{E9BEEE07-5CDB-B34E-B25C-21D4B0B30788}" name="Last Year" dataDxfId="903"/>
    <tableColumn id="6" xr3:uid="{3EBA0297-6F1B-5B4F-88C2-400A22109AD6}" name="Year to date" dataDxfId="902"/>
    <tableColumn id="7" xr3:uid="{07AAFB9E-1CE4-5F4A-917E-17CEDFC4B7D9}" name="Year to date 2019" dataDxfId="901"/>
    <tableColumn id="8" xr3:uid="{85A2F972-B346-6045-B041-9B98E8B1A2B8}" name="Lifetime" dataDxfId="900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4CC52FC4-E44E-494D-B715-FAB3BDACCA99}" name="Table55456791564" displayName="Table55456791564" ref="A1:H6" totalsRowShown="0" headerRowDxfId="899" dataDxfId="898">
  <tableColumns count="8">
    <tableColumn id="1" xr3:uid="{BC2D28DE-7E7A-9241-AE96-7C198965FB50}" name="System" dataDxfId="897"/>
    <tableColumn id="2" xr3:uid="{FD5C9264-E594-E145-8E99-62CED7F0D21C}" name="This Week" dataDxfId="896"/>
    <tableColumn id="3" xr3:uid="{F9C66D68-F9CF-2A44-B721-69D665E18D06}" name="Last Week" dataDxfId="895"/>
    <tableColumn id="4" xr3:uid="{9EBE2139-84F4-1545-A0AE-073F37A1ADBB}" name="Percentage change" dataDxfId="894">
      <calculatedColumnFormula>(Table55456791564[[#This Row],[This Week]]-Table55456791564[[#This Row],[Last Week]])/Table55456791564[[#This Row],[Last Week]]</calculatedColumnFormula>
    </tableColumn>
    <tableColumn id="5" xr3:uid="{42678D8D-8D93-6A4A-8A83-1FA24C06AEFF}" name="Last Year" dataDxfId="893"/>
    <tableColumn id="6" xr3:uid="{A8F68AA6-9AFE-C844-B001-367A74F58451}" name="Year to date" dataDxfId="892"/>
    <tableColumn id="7" xr3:uid="{4A46CDEF-53B8-8C47-A698-FF0EB27D5613}" name="Year to date 2019" dataDxfId="891"/>
    <tableColumn id="8" xr3:uid="{3B9FC5D7-12D6-5D48-8703-DB73ED76EB05}" name="Lifetime" dataDxfId="890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25AA01C7-2D72-6D4A-8D3F-84E2339D4DB4}" name="Table5155578101665" displayName="Table5155578101665" ref="A8:H16" totalsRowShown="0" headerRowDxfId="889" dataDxfId="888">
  <sortState xmlns:xlrd2="http://schemas.microsoft.com/office/spreadsheetml/2017/richdata2" ref="A9:H16">
    <sortCondition descending="1" ref="B8:B16"/>
  </sortState>
  <tableColumns count="8">
    <tableColumn id="1" xr3:uid="{1FFEB9F4-B332-D44E-9115-6D41C8B82F86}" name="System" dataDxfId="887"/>
    <tableColumn id="2" xr3:uid="{ED5177BB-1190-C94B-920B-2A0A1689EDB4}" name="This Week" dataDxfId="886"/>
    <tableColumn id="3" xr3:uid="{49F3A962-C907-694E-A555-4435E30EA196}" name="Last Week" dataDxfId="885"/>
    <tableColumn id="4" xr3:uid="{1EB66770-73C5-674D-8BA0-F7B034DA93F4}" name="Percentage change" dataDxfId="884">
      <calculatedColumnFormula>(Table5155578101665[[#This Row],[This Week]]-Table5155578101665[[#This Row],[Last Week]])/Table5155578101665[[#This Row],[Last Week]]</calculatedColumnFormula>
    </tableColumn>
    <tableColumn id="5" xr3:uid="{1E42BA96-432D-B944-9BC7-1FA7EE7DA678}" name="Last Year" dataDxfId="883"/>
    <tableColumn id="6" xr3:uid="{1DD564DF-D9E8-3A48-A9CB-FDFE1038613A}" name="Year to date" dataDxfId="882"/>
    <tableColumn id="7" xr3:uid="{1164633D-268D-F140-9682-415CEEB26386}" name="Year to date 2019" dataDxfId="881"/>
    <tableColumn id="8" xr3:uid="{32DDB730-FE72-9144-A2F5-986769BD6173}" name="Lifetime" dataDxfId="880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FB8A68CF-C89E-CC42-B6C7-39FFED945E03}" name="Table5545679156470" displayName="Table5545679156470" ref="A1:H6" totalsRowShown="0" headerRowDxfId="879" dataDxfId="878">
  <tableColumns count="8">
    <tableColumn id="1" xr3:uid="{44A3DCCB-222B-2F48-9AB1-D37D72528F4C}" name="System" dataDxfId="877"/>
    <tableColumn id="2" xr3:uid="{D021E3D1-1E7C-2540-9252-E1D510DEEA2A}" name="This Week" dataDxfId="876"/>
    <tableColumn id="3" xr3:uid="{8C5AA752-3744-EE40-8680-CB02B26D89F7}" name="Last Week" dataDxfId="875"/>
    <tableColumn id="4" xr3:uid="{B6B2A96F-C432-BC43-B6A4-139FB20858B3}" name="Percentage change" dataDxfId="874">
      <calculatedColumnFormula>(Table5545679156470[[#This Row],[This Week]]-Table5545679156470[[#This Row],[Last Week]])/Table5545679156470[[#This Row],[Last Week]]</calculatedColumnFormula>
    </tableColumn>
    <tableColumn id="5" xr3:uid="{491271FE-7A25-FB4D-9EDD-0BDB6D9E51B9}" name="Last Year" dataDxfId="873"/>
    <tableColumn id="6" xr3:uid="{3BCEC410-48F5-A544-9EBF-2E5F404F5731}" name="Year to date" dataDxfId="872"/>
    <tableColumn id="7" xr3:uid="{E34E316E-A6D2-724A-806A-8632B47FFDFA}" name="Year to date 2019" dataDxfId="871"/>
    <tableColumn id="8" xr3:uid="{5ED4478E-6D63-B344-8335-FA4A12044795}" name="Lifetime" dataDxfId="87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0D25137-CF37-7441-A33C-3AE37FE9DB01}" name="Table51" displayName="Table51" ref="A8:H16" totalsRowShown="0" headerRowDxfId="1049" dataDxfId="1048">
  <sortState xmlns:xlrd2="http://schemas.microsoft.com/office/spreadsheetml/2017/richdata2" ref="A9:H16">
    <sortCondition descending="1" ref="B8:B16"/>
  </sortState>
  <tableColumns count="8">
    <tableColumn id="1" xr3:uid="{C16CA097-1ADE-B749-9746-68697DBDAEE1}" name="System" dataDxfId="1047"/>
    <tableColumn id="2" xr3:uid="{9B6A4FEF-E1FB-1E40-AD22-67CB50E68D7B}" name="This Week" dataDxfId="1046"/>
    <tableColumn id="3" xr3:uid="{3BFCFFE6-FB59-8A4D-9D62-CE4BE1B0C53C}" name="Last Week" dataDxfId="1045"/>
    <tableColumn id="4" xr3:uid="{9F2FDCC1-78E4-6F44-A4DB-3820E6FFB355}" name="Percentage change" dataDxfId="1044">
      <calculatedColumnFormula>(B9-C9)/C9</calculatedColumnFormula>
    </tableColumn>
    <tableColumn id="5" xr3:uid="{A852E1E8-91EA-FF47-8048-240D29D23F27}" name="Last Year" dataDxfId="1043"/>
    <tableColumn id="6" xr3:uid="{B8A37B30-22A3-9A48-B1A6-464401769672}" name="Year to date" dataDxfId="1042"/>
    <tableColumn id="7" xr3:uid="{87426034-5241-2446-893F-E85A3FE574B5}" name="Year to date 2019" dataDxfId="1041"/>
    <tableColumn id="8" xr3:uid="{B36B4DBE-EC76-4C4F-8688-431EBB332649}" name="Lifetime" dataDxfId="1040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5E8CFDB2-B430-9B45-AA98-CFD607B712BD}" name="Table515557810166571" displayName="Table515557810166571" ref="A8:H16" totalsRowShown="0" headerRowDxfId="869" dataDxfId="868">
  <sortState xmlns:xlrd2="http://schemas.microsoft.com/office/spreadsheetml/2017/richdata2" ref="A9:H16">
    <sortCondition descending="1" ref="B8:B16"/>
  </sortState>
  <tableColumns count="8">
    <tableColumn id="1" xr3:uid="{A30DFCF3-F707-C149-A668-E6E70C160954}" name="System" dataDxfId="867"/>
    <tableColumn id="2" xr3:uid="{E6498295-0F08-9948-BF2C-08CFD934793E}" name="This Week" dataDxfId="866"/>
    <tableColumn id="3" xr3:uid="{3A32720D-190B-3F4C-9101-AF2935D4C026}" name="Last Week" dataDxfId="865"/>
    <tableColumn id="4" xr3:uid="{198E988B-086B-314F-BF6E-E62EBA7881A8}" name="Percentage change" dataDxfId="864">
      <calculatedColumnFormula>(Table515557810166571[[#This Row],[This Week]]-Table515557810166571[[#This Row],[Last Week]])/Table515557810166571[[#This Row],[Last Week]]</calculatedColumnFormula>
    </tableColumn>
    <tableColumn id="5" xr3:uid="{46EC6F1A-943D-0842-9BBF-D8DC2F8ED7B6}" name="Last Year" dataDxfId="863"/>
    <tableColumn id="6" xr3:uid="{25C05925-B79E-F648-B770-62E319620CF8}" name="Year to date" dataDxfId="862"/>
    <tableColumn id="7" xr3:uid="{6591F5F3-2DE7-3C48-8F97-B20218BDEDCF}" name="Year to date 2019" dataDxfId="861"/>
    <tableColumn id="8" xr3:uid="{A9DDEF8C-2500-2442-B1A3-41A398ACCC3B}" name="Lifetime" dataDxfId="860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94A907A7-A60B-A44C-AB4A-8BF21A26C366}" name="Table554567915647084" displayName="Table554567915647084" ref="A1:H6" totalsRowShown="0" headerRowDxfId="859" dataDxfId="858">
  <tableColumns count="8">
    <tableColumn id="1" xr3:uid="{FCDD817B-2F34-2B49-82AA-28DD3D2305A8}" name="System" dataDxfId="857"/>
    <tableColumn id="2" xr3:uid="{B62790A0-8544-2241-8F27-32B7411F846D}" name="This Week" dataDxfId="856"/>
    <tableColumn id="3" xr3:uid="{31594659-8FE3-5840-B5FC-7F61FDD99F41}" name="Last Week" dataDxfId="855"/>
    <tableColumn id="4" xr3:uid="{CE09555D-3AE5-7345-AD08-7825761E925E}" name="Percentage change" dataDxfId="854">
      <calculatedColumnFormula>(Table554567915647084[[#This Row],[This Week]]-Table554567915647084[[#This Row],[Last Week]])/Table554567915647084[[#This Row],[Last Week]]</calculatedColumnFormula>
    </tableColumn>
    <tableColumn id="5" xr3:uid="{0564EAA6-6249-1847-9595-6EE411B1D4A2}" name="Last Year" dataDxfId="853"/>
    <tableColumn id="6" xr3:uid="{E12BE050-7F1E-E041-8EBF-465CC50C847F}" name="Year to date" dataDxfId="852"/>
    <tableColumn id="7" xr3:uid="{22CD9D71-FE5E-4949-BB64-165EFB102984}" name="Year to date 2019" dataDxfId="851"/>
    <tableColumn id="8" xr3:uid="{F77E11B2-3757-F948-893F-517EAFF79462}" name="Lifetime" dataDxfId="850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A522CD75-B06C-8C46-BC33-128A2D84041F}" name="Table51555781016657185" displayName="Table51555781016657185" ref="A8:H16" totalsRowShown="0" headerRowDxfId="849" dataDxfId="848">
  <sortState xmlns:xlrd2="http://schemas.microsoft.com/office/spreadsheetml/2017/richdata2" ref="A9:H16">
    <sortCondition descending="1" ref="B8:B16"/>
  </sortState>
  <tableColumns count="8">
    <tableColumn id="1" xr3:uid="{9E8CCBDC-756E-0145-BDDA-3B2A5648495A}" name="System" dataDxfId="847"/>
    <tableColumn id="2" xr3:uid="{C2C5E0D9-692E-C743-BEF1-4F8BA4EB16D2}" name="This Week" dataDxfId="846"/>
    <tableColumn id="3" xr3:uid="{F594E237-A06A-1D4C-A44A-7554D08C6253}" name="Last Week" dataDxfId="845"/>
    <tableColumn id="4" xr3:uid="{4D70D0AD-B1BF-184A-AC3A-B0616C0032B8}" name="Percentage change" dataDxfId="844">
      <calculatedColumnFormula>(Table51555781016657185[[#This Row],[This Week]]-Table51555781016657185[[#This Row],[Last Week]])/Table51555781016657185[[#This Row],[Last Week]]</calculatedColumnFormula>
    </tableColumn>
    <tableColumn id="5" xr3:uid="{ED0E088B-B356-4A49-9B9E-D8F67C88D009}" name="Last Year" dataDxfId="843"/>
    <tableColumn id="6" xr3:uid="{7CD93885-F355-8A4F-83D4-41F10C8F1316}" name="Year to date" dataDxfId="842"/>
    <tableColumn id="7" xr3:uid="{E95B078B-2B4A-E74D-9A06-EECD2092CA2E}" name="Year to date 2019" dataDxfId="841"/>
    <tableColumn id="8" xr3:uid="{F18851C7-CF9C-FD4D-AF15-8EE49EAC38F3}" name="Lifetime" dataDxfId="840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FD25DF5-FBB8-8B49-A6F6-CAC9B1335CBA}" name="Table55456791564708453" displayName="Table55456791564708453" ref="A1:H6" totalsRowShown="0" headerRowDxfId="839" dataDxfId="838">
  <tableColumns count="8">
    <tableColumn id="1" xr3:uid="{2812F8DE-DA2D-4F44-9419-51B4E1BBF3EB}" name="System" dataDxfId="837"/>
    <tableColumn id="2" xr3:uid="{D75ABE6F-E1AA-8F42-8EBC-1EE5927431DD}" name="This Week" dataDxfId="836"/>
    <tableColumn id="3" xr3:uid="{AF31ABBF-3184-1047-9AB6-16B9F8D8378B}" name="Last Week" dataDxfId="835"/>
    <tableColumn id="4" xr3:uid="{32818CF0-D5D4-CA4F-9BD0-455AFD6C8922}" name="Percentage change" dataDxfId="834">
      <calculatedColumnFormula>(Table55456791564708453[[#This Row],[This Week]]-Table55456791564708453[[#This Row],[Last Week]])/Table55456791564708453[[#This Row],[Last Week]]</calculatedColumnFormula>
    </tableColumn>
    <tableColumn id="5" xr3:uid="{2C42BC10-A5B9-A046-84CA-838C5D38546B}" name="Last Year" dataDxfId="833"/>
    <tableColumn id="6" xr3:uid="{52877692-EAF7-A84F-A576-5512BFA375A2}" name="Year to date" dataDxfId="832"/>
    <tableColumn id="7" xr3:uid="{A73CB0AE-DABE-894F-81B3-A19CF2CD9730}" name="Year to date 2019" dataDxfId="831"/>
    <tableColumn id="8" xr3:uid="{B1B659FB-3B21-9E42-9D0F-A79837A9B3E6}" name="Lifetime" dataDxfId="830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F9200E5C-CC1B-5B46-83C0-D1943847AD39}" name="Table5155578101665718558" displayName="Table5155578101665718558" ref="A8:H16" totalsRowShown="0" headerRowDxfId="829" dataDxfId="828">
  <sortState xmlns:xlrd2="http://schemas.microsoft.com/office/spreadsheetml/2017/richdata2" ref="A9:H16">
    <sortCondition descending="1" ref="B8:B16"/>
  </sortState>
  <tableColumns count="8">
    <tableColumn id="1" xr3:uid="{9AFB5D76-A1BB-114D-A055-8A130AC83D72}" name="System" dataDxfId="827"/>
    <tableColumn id="2" xr3:uid="{45754F5D-2661-974D-B63B-7FF541341C5C}" name="This Week" dataDxfId="826"/>
    <tableColumn id="3" xr3:uid="{A8ECF270-CAED-C749-82A5-4D4BCD01F575}" name="Last Week" dataDxfId="825"/>
    <tableColumn id="4" xr3:uid="{638E07FF-B622-3D44-927B-E20A024402E9}" name="Percentage change" dataDxfId="824">
      <calculatedColumnFormula>(Table5155578101665718558[[#This Row],[This Week]]-Table5155578101665718558[[#This Row],[Last Week]])/Table5155578101665718558[[#This Row],[Last Week]]</calculatedColumnFormula>
    </tableColumn>
    <tableColumn id="5" xr3:uid="{8316BCF2-DD3A-B54F-94A1-CBA25D27DC80}" name="Last Year" dataDxfId="823"/>
    <tableColumn id="6" xr3:uid="{E81FF6CD-7566-F644-95CD-7757A91C4E36}" name="Year to date" dataDxfId="822"/>
    <tableColumn id="7" xr3:uid="{55A73A08-3109-A94B-8F47-35C630B45164}" name="Year to date 2019" dataDxfId="821"/>
    <tableColumn id="8" xr3:uid="{C8198072-4AA8-CE4B-864C-8D2F02E0599F}" name="Lifetime" dataDxfId="820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18996CCC-9F54-AD41-95DA-E48B25DE6B63}" name="Table5545679156470845375" displayName="Table5545679156470845375" ref="A1:H6" totalsRowShown="0" headerRowDxfId="819" dataDxfId="818">
  <tableColumns count="8">
    <tableColumn id="1" xr3:uid="{3396A165-82BC-2644-9F41-30C31CEB3D51}" name="System" dataDxfId="817"/>
    <tableColumn id="2" xr3:uid="{EC051113-AF0C-1C40-8A12-CB030A46CB06}" name="This Week" dataDxfId="816"/>
    <tableColumn id="3" xr3:uid="{736AE267-43AC-544E-AF59-100CD3FD700B}" name="Last Week" dataDxfId="815"/>
    <tableColumn id="4" xr3:uid="{2CFE0749-E8B9-0447-AD45-BC8F80D1BBE3}" name="Percentage change" dataDxfId="814">
      <calculatedColumnFormula>(Table5545679156470845375[[#This Row],[This Week]]-Table5545679156470845375[[#This Row],[Last Week]])/Table5545679156470845375[[#This Row],[Last Week]]</calculatedColumnFormula>
    </tableColumn>
    <tableColumn id="5" xr3:uid="{97A3DA1C-1001-E94A-BB45-FB18B3F6A9D4}" name="Last Year" dataDxfId="813"/>
    <tableColumn id="6" xr3:uid="{42CE10EF-014A-6F4F-A45B-84F5E8A8CC71}" name="Year to date" dataDxfId="812"/>
    <tableColumn id="7" xr3:uid="{20170FE6-1F3A-5747-BC85-72AE45196F51}" name="Year to date 2019" dataDxfId="811"/>
    <tableColumn id="8" xr3:uid="{AD11FC43-251B-0048-AC60-33758CB1AD27}" name="Lifetime" dataDxfId="810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E2BC17E3-17F7-B241-8F75-8FA49BD5DAE9}" name="Table515557810166571855876" displayName="Table515557810166571855876" ref="A8:H16" totalsRowShown="0" headerRowDxfId="809" dataDxfId="808">
  <sortState xmlns:xlrd2="http://schemas.microsoft.com/office/spreadsheetml/2017/richdata2" ref="A9:H16">
    <sortCondition descending="1" ref="B9:B16"/>
  </sortState>
  <tableColumns count="8">
    <tableColumn id="1" xr3:uid="{D1647144-A44E-524C-86EA-6061850BC68E}" name="System" dataDxfId="807"/>
    <tableColumn id="2" xr3:uid="{A6A3C859-1719-C147-B084-F38FBD356B54}" name="This Week" dataDxfId="806"/>
    <tableColumn id="3" xr3:uid="{9C5FFCD1-38F5-2E46-8D52-56467D2AACB3}" name="Last Week" dataDxfId="805"/>
    <tableColumn id="4" xr3:uid="{BC3C6016-03C3-B241-8509-8542ACBDBB91}" name="Percentage change" dataDxfId="804">
      <calculatedColumnFormula>(Table515557810166571855876[[#This Row],[This Week]]-Table515557810166571855876[[#This Row],[Last Week]])/Table515557810166571855876[[#This Row],[Last Week]]</calculatedColumnFormula>
    </tableColumn>
    <tableColumn id="5" xr3:uid="{3B317F2E-BDF9-8541-8E9A-48440257F455}" name="Last Year" dataDxfId="803"/>
    <tableColumn id="6" xr3:uid="{15E75AD1-3EBC-3744-AF72-952A09153F02}" name="Year to date" dataDxfId="802"/>
    <tableColumn id="7" xr3:uid="{069E2B37-081E-3D44-83A3-E75846BE683A}" name="Year to date 2019" dataDxfId="801"/>
    <tableColumn id="8" xr3:uid="{0C4C29C9-9442-3E45-8ACE-6B0B9CF5D13A}" name="Lifetime" dataDxfId="800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483C4E77-960E-3E48-A1CC-442FBA875C48}" name="Table5545679156470845369" displayName="Table5545679156470845369" ref="A1:H6" totalsRowShown="0" headerRowDxfId="799" dataDxfId="798">
  <tableColumns count="8">
    <tableColumn id="1" xr3:uid="{B926FDAB-7A38-424F-8D2B-D490FDB5FF1B}" name="System" dataDxfId="797"/>
    <tableColumn id="2" xr3:uid="{71D21B67-E4C6-CE4C-ACC5-B0AE651CDAD5}" name="This Week" dataDxfId="796"/>
    <tableColumn id="3" xr3:uid="{C11BB726-B2B9-DF41-9A88-2BE374C49D43}" name="Last Week" dataDxfId="795"/>
    <tableColumn id="4" xr3:uid="{49DC8A1B-44D0-BB4B-AAAC-563A0F137EA2}" name="Percentage change" dataDxfId="794">
      <calculatedColumnFormula>(Table5545679156470845369[[#This Row],[This Week]]-Table5545679156470845369[[#This Row],[Last Week]])/Table5545679156470845369[[#This Row],[Last Week]]</calculatedColumnFormula>
    </tableColumn>
    <tableColumn id="5" xr3:uid="{106C75FE-3F87-CC40-93E1-265E7A941C52}" name="Last Year" dataDxfId="793"/>
    <tableColumn id="6" xr3:uid="{64959DE7-D0D3-8148-B1D1-48A393A84292}" name="Year to date" dataDxfId="792"/>
    <tableColumn id="7" xr3:uid="{BF308E63-1659-DD4C-BB63-E6E8D1EABB82}" name="Year to date 2019" dataDxfId="791"/>
    <tableColumn id="8" xr3:uid="{60F21F12-08F9-EA4F-9302-D302144361F0}" name="Lifetime" dataDxfId="790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4FDF463B-E5AB-7D4D-91FE-75ED6A412C0C}" name="Table515557810166571855872" displayName="Table515557810166571855872" ref="A8:H16" totalsRowShown="0" headerRowDxfId="789" dataDxfId="788">
  <sortState xmlns:xlrd2="http://schemas.microsoft.com/office/spreadsheetml/2017/richdata2" ref="A9:H16">
    <sortCondition descending="1" ref="B8:B16"/>
  </sortState>
  <tableColumns count="8">
    <tableColumn id="1" xr3:uid="{9EFF18FA-C630-3B41-A53C-03EEFEED2F51}" name="System" dataDxfId="787"/>
    <tableColumn id="2" xr3:uid="{41D6A512-A0A5-F943-8478-E66A393E81E7}" name="This Week" dataDxfId="786"/>
    <tableColumn id="3" xr3:uid="{53174C7E-93B8-FF4F-ABC7-ECE57BF4BEF5}" name="Last Week" dataDxfId="785"/>
    <tableColumn id="4" xr3:uid="{61FC3606-EA7D-C549-ACFD-4D30F125F9E3}" name="Percentage change" dataDxfId="784">
      <calculatedColumnFormula>(Table515557810166571855872[[#This Row],[This Week]]-Table515557810166571855872[[#This Row],[Last Week]])/Table515557810166571855872[[#This Row],[Last Week]]</calculatedColumnFormula>
    </tableColumn>
    <tableColumn id="5" xr3:uid="{68C27D26-9F2A-2645-8073-5CF0D4B8EACC}" name="Last Year" dataDxfId="783"/>
    <tableColumn id="6" xr3:uid="{60A350BA-9B53-F84C-8801-BA9A6CFFEC88}" name="Year to date" dataDxfId="782"/>
    <tableColumn id="7" xr3:uid="{66CED165-B8A4-A94B-AC0E-BE963331BE51}" name="Year to date 2019" dataDxfId="781"/>
    <tableColumn id="8" xr3:uid="{8F795556-33D8-EC4A-AE02-6DA11B9F3C8B}" name="Lifetime" dataDxfId="780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208ED697-5F71-CB4D-B918-E223898C8CEA}" name="Table5545679156470845373" displayName="Table5545679156470845373" ref="A1:H6" totalsRowShown="0" headerRowDxfId="779" dataDxfId="778">
  <tableColumns count="8">
    <tableColumn id="1" xr3:uid="{C975948C-5D1D-6645-982B-04A06ABD7EF6}" name="System" dataDxfId="777"/>
    <tableColumn id="2" xr3:uid="{0EBDF1C2-0DDE-9B47-9A01-14CBF0DAD244}" name="This Week" dataDxfId="776"/>
    <tableColumn id="3" xr3:uid="{32F458F5-F6BF-194B-8BD7-8891CEA849A8}" name="Last Week" dataDxfId="775"/>
    <tableColumn id="4" xr3:uid="{D9C906EC-3B2D-6946-87DF-F57C275F009D}" name="Percentage change" dataDxfId="774">
      <calculatedColumnFormula>(Table5545679156470845373[[#This Row],[This Week]]-Table5545679156470845373[[#This Row],[Last Week]])/Table5545679156470845373[[#This Row],[Last Week]]</calculatedColumnFormula>
    </tableColumn>
    <tableColumn id="5" xr3:uid="{72473EC2-5EA0-6D4B-8BCD-65056DA7EC9E}" name="Last Year" dataDxfId="773"/>
    <tableColumn id="6" xr3:uid="{949CBE4E-F4CA-2942-BAB7-54103365AF00}" name="Year to date" dataDxfId="772"/>
    <tableColumn id="7" xr3:uid="{EF962D11-9D5F-D441-A3F4-519DC9EC7188}" name="Year to date 2019" dataDxfId="771"/>
    <tableColumn id="8" xr3:uid="{701CF75E-470F-3A48-95C5-2B1E7B090B84}" name="Lifetime" dataDxfId="77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0BAB9A1-5DA9-394D-B885-D7A75A00C2D9}" name="Table554" displayName="Table554" ref="A1:H6" totalsRowShown="0" headerRowDxfId="1039" dataDxfId="1038">
  <tableColumns count="8">
    <tableColumn id="1" xr3:uid="{B2D7F84A-DF02-A341-B936-9652DCB79A8D}" name="System" dataDxfId="1037"/>
    <tableColumn id="2" xr3:uid="{C8036893-31ED-884C-A7C6-7169539A8932}" name="This Week" dataDxfId="1036"/>
    <tableColumn id="3" xr3:uid="{EF8067FE-FF7A-684D-8FDF-F0FF475DCFBB}" name="Last Week" dataDxfId="1035"/>
    <tableColumn id="4" xr3:uid="{D5009B8B-1FD2-F145-9797-CFCFF7407EE4}" name="Percentage change" dataDxfId="1034">
      <calculatedColumnFormula>(B2-C2)/C2</calculatedColumnFormula>
    </tableColumn>
    <tableColumn id="5" xr3:uid="{4D331D5E-858A-614A-A5BF-13D6D2A23CE8}" name="Last Year" dataDxfId="1033"/>
    <tableColumn id="6" xr3:uid="{BB9DB7A7-2EAD-B445-B942-A928ABAE146F}" name="Year to date" dataDxfId="1032"/>
    <tableColumn id="7" xr3:uid="{92077B39-89D7-FD4D-9C37-C3F40E1F0320}" name="Year to date 2019" dataDxfId="1031"/>
    <tableColumn id="8" xr3:uid="{E44E4192-30DD-4C4B-8FD6-0B986DD5F1F3}" name="Lifetime" dataDxfId="1030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961B86EA-06A1-644D-A9DE-99478B271C22}" name="Table515557810166571855874" displayName="Table515557810166571855874" ref="A8:H16" totalsRowShown="0" headerRowDxfId="769" dataDxfId="768">
  <sortState xmlns:xlrd2="http://schemas.microsoft.com/office/spreadsheetml/2017/richdata2" ref="A9:H16">
    <sortCondition descending="1" ref="B8:B16"/>
  </sortState>
  <tableColumns count="8">
    <tableColumn id="1" xr3:uid="{F6791D04-DF9E-014D-90C6-FA8B0773DFD0}" name="System" dataDxfId="767"/>
    <tableColumn id="2" xr3:uid="{5B67716D-B8A0-3545-B3DE-AB1AE373D17D}" name="This Week" dataDxfId="766"/>
    <tableColumn id="3" xr3:uid="{2076A639-91D5-4D40-8A6B-BC34BC5CB808}" name="Last Week" dataDxfId="765"/>
    <tableColumn id="4" xr3:uid="{6CDBE766-DB60-5847-BA49-AA49164C6831}" name="Percentage change" dataDxfId="764">
      <calculatedColumnFormula>(Table515557810166571855874[[#This Row],[This Week]]-Table515557810166571855874[[#This Row],[Last Week]])/Table515557810166571855874[[#This Row],[Last Week]]</calculatedColumnFormula>
    </tableColumn>
    <tableColumn id="5" xr3:uid="{33063F11-0C36-4640-8A2F-433AEEDE5FDE}" name="Last Year" dataDxfId="763"/>
    <tableColumn id="6" xr3:uid="{5FBEDF1F-B825-C744-8DC1-7891B7BEB0E6}" name="Year to date" dataDxfId="762"/>
    <tableColumn id="7" xr3:uid="{FA102F31-2BCF-184E-8B73-E767BC62BB56}" name="Year to date 2019" dataDxfId="761"/>
    <tableColumn id="8" xr3:uid="{A8F43125-18D6-8C48-8B07-C30A1991A1D8}" name="Lifetime" dataDxfId="760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4D2E002B-C5FE-B94C-BF24-1FA0AABB817F}" name="Table554567915647084537379" displayName="Table554567915647084537379" ref="A1:H6" totalsRowShown="0" headerRowDxfId="759" dataDxfId="758">
  <tableColumns count="8">
    <tableColumn id="1" xr3:uid="{66E56DFC-ABA0-7E42-8451-716944CCE488}" name="System" dataDxfId="757"/>
    <tableColumn id="2" xr3:uid="{F97DAD50-5503-7A41-AF9B-810AE8BEA61A}" name="This Week" dataDxfId="756"/>
    <tableColumn id="3" xr3:uid="{9EAC6966-7554-D748-ABD9-1307CF9C3349}" name="Last Week" dataDxfId="755"/>
    <tableColumn id="4" xr3:uid="{34201D8E-2938-F342-AA04-3298F1CDC50A}" name="Percentage change" dataDxfId="754">
      <calculatedColumnFormula>(Table554567915647084537379[[#This Row],[This Week]]-Table554567915647084537379[[#This Row],[Last Week]])/Table554567915647084537379[[#This Row],[Last Week]]</calculatedColumnFormula>
    </tableColumn>
    <tableColumn id="5" xr3:uid="{1CC23B92-2CA4-B74B-96E8-4934F9952FF5}" name="Last Year" dataDxfId="753"/>
    <tableColumn id="6" xr3:uid="{C0860B33-22C8-F344-851D-EFE91F264FDB}" name="Year to date" dataDxfId="752"/>
    <tableColumn id="7" xr3:uid="{6674412B-9C99-224A-86CF-85E9C724A8A8}" name="Year to date 2019" dataDxfId="751"/>
    <tableColumn id="8" xr3:uid="{43FB2BED-291A-F447-A415-F54D1F280878}" name="Lifetime" dataDxfId="750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FD694988-9C7C-2A47-801D-3E5EB6BA32CC}" name="Table51555781016657185587480" displayName="Table51555781016657185587480" ref="A8:H16" totalsRowShown="0" headerRowDxfId="749" dataDxfId="748">
  <sortState xmlns:xlrd2="http://schemas.microsoft.com/office/spreadsheetml/2017/richdata2" ref="A9:H16">
    <sortCondition descending="1" ref="B8:B16"/>
  </sortState>
  <tableColumns count="8">
    <tableColumn id="1" xr3:uid="{BA43D283-4185-BD47-988D-82DD0B598A19}" name="System" dataDxfId="747"/>
    <tableColumn id="2" xr3:uid="{2AB014F1-1D1E-0040-8D7A-749AC1B66A2B}" name="This Week" dataDxfId="746"/>
    <tableColumn id="3" xr3:uid="{F9845642-27F7-3C4C-92BF-3B24B4F2E3AD}" name="Last Week" dataDxfId="745"/>
    <tableColumn id="4" xr3:uid="{C10354DE-EBA5-9E4C-BF73-BB67689317FC}" name="Percentage change" dataDxfId="744">
      <calculatedColumnFormula>(Table51555781016657185587480[[#This Row],[This Week]]-Table51555781016657185587480[[#This Row],[Last Week]])/Table51555781016657185587480[[#This Row],[Last Week]]</calculatedColumnFormula>
    </tableColumn>
    <tableColumn id="5" xr3:uid="{B9D2FFEC-72C5-DE4D-96ED-5DB93F75F771}" name="Last Year" dataDxfId="743"/>
    <tableColumn id="6" xr3:uid="{142531AA-4239-7544-93C8-C01ACF3453B5}" name="Year to date" dataDxfId="742"/>
    <tableColumn id="7" xr3:uid="{FF46578F-F76A-FC46-9D54-4DAD47E1F6B5}" name="Year to date 2019" dataDxfId="741"/>
    <tableColumn id="8" xr3:uid="{2EAB9303-E1F2-FB47-9D4C-2FB73212C46A}" name="Lifetime" dataDxfId="740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C9D0482D-D080-E84E-B9C0-E27440B675C1}" name="Table554567915647084537581" displayName="Table554567915647084537581" ref="A1:H6" totalsRowShown="0" headerRowDxfId="739" dataDxfId="738">
  <tableColumns count="8">
    <tableColumn id="1" xr3:uid="{BA36BAD9-8BC2-5445-AC09-A7AD290BD30A}" name="System" dataDxfId="737"/>
    <tableColumn id="2" xr3:uid="{0486214A-E415-0C4B-9B98-EC7EC775A4FB}" name="This Week" dataDxfId="736"/>
    <tableColumn id="3" xr3:uid="{5A885648-4454-224E-88CC-DAABA4198EBE}" name="Last Week" dataDxfId="735"/>
    <tableColumn id="4" xr3:uid="{D9DEC57A-BD0B-714E-94BB-1FCF815BD545}" name="Percentage change" dataDxfId="734">
      <calculatedColumnFormula>(Table554567915647084537581[[#This Row],[This Week]]-Table554567915647084537581[[#This Row],[Last Week]])/Table554567915647084537581[[#This Row],[Last Week]]</calculatedColumnFormula>
    </tableColumn>
    <tableColumn id="5" xr3:uid="{2DDE4D86-029B-BB4D-B746-284565F94FFA}" name="Last Year" dataDxfId="733"/>
    <tableColumn id="6" xr3:uid="{F9FBA5DB-A5E2-374F-8074-61A86F13071B}" name="Year to date" dataDxfId="732"/>
    <tableColumn id="7" xr3:uid="{82499C0B-6DF6-A247-ACB7-38CE250EF85F}" name="Year to date 2019" dataDxfId="731"/>
    <tableColumn id="8" xr3:uid="{E4EED0B8-A996-4F4D-9F1D-09FAEFD5BFE9}" name="Lifetime" dataDxfId="730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99247C36-0256-9D46-90A8-D3D18B8357BE}" name="Table51555781016657185587682" displayName="Table51555781016657185587682" ref="A8:H16" totalsRowShown="0" headerRowDxfId="729" dataDxfId="728">
  <sortState xmlns:xlrd2="http://schemas.microsoft.com/office/spreadsheetml/2017/richdata2" ref="A9:H16">
    <sortCondition descending="1" ref="B8:B16"/>
  </sortState>
  <tableColumns count="8">
    <tableColumn id="1" xr3:uid="{43E34761-A33F-504B-A720-FBCD3D9F7808}" name="System" dataDxfId="727"/>
    <tableColumn id="2" xr3:uid="{3DD2A02D-BA0D-3747-BD6E-1F0D644085C5}" name="This Week" dataDxfId="726"/>
    <tableColumn id="3" xr3:uid="{7665CF5E-157B-0948-B2E8-4850ADB17141}" name="Last Week" dataDxfId="725"/>
    <tableColumn id="4" xr3:uid="{1CB85884-16C6-414A-A163-9E5DB2A8E5FC}" name="Percentage change" dataDxfId="724">
      <calculatedColumnFormula>(Table51555781016657185587682[[#This Row],[This Week]]-Table51555781016657185587682[[#This Row],[Last Week]])/Table51555781016657185587682[[#This Row],[Last Week]]</calculatedColumnFormula>
    </tableColumn>
    <tableColumn id="5" xr3:uid="{7E842B7D-CDAE-154A-899C-27A3F3AEA5AE}" name="Last Year" dataDxfId="723"/>
    <tableColumn id="6" xr3:uid="{5AE30076-A65C-FE4E-B2C1-420AF0D56B9C}" name="Year to date" dataDxfId="722"/>
    <tableColumn id="7" xr3:uid="{2E62E02A-00C7-F244-AA6F-83FC0F79B0F2}" name="Year to date 2019" dataDxfId="721"/>
    <tableColumn id="8" xr3:uid="{83194683-BFFC-EA47-9381-395452423467}" name="Lifetime" dataDxfId="720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3335F1A3-0F42-5E45-8330-5AA71BEA0630}" name="Table55456791564708453758187" displayName="Table55456791564708453758187" ref="A1:H6" totalsRowShown="0" headerRowDxfId="719" dataDxfId="718">
  <tableColumns count="8">
    <tableColumn id="1" xr3:uid="{8F52E55C-FF27-2E43-ABB8-36FA26936341}" name="System" dataDxfId="717"/>
    <tableColumn id="2" xr3:uid="{5A97C111-AC42-AA42-9C43-F5B5239ED5C0}" name="This Week" dataDxfId="716"/>
    <tableColumn id="3" xr3:uid="{B23BC6FA-66DE-6A4F-AB4A-08AE305BA441}" name="Last Week" dataDxfId="715"/>
    <tableColumn id="4" xr3:uid="{A55EFDBC-5570-E241-8A10-1B319CE09072}" name="Percentage change" dataDxfId="714">
      <calculatedColumnFormula>(Table55456791564708453758187[[#This Row],[This Week]]-Table55456791564708453758187[[#This Row],[Last Week]])/Table55456791564708453758187[[#This Row],[Last Week]]</calculatedColumnFormula>
    </tableColumn>
    <tableColumn id="5" xr3:uid="{47F994DE-EC93-CA40-A1AB-CBBA6BB0F0CF}" name="Last Year" dataDxfId="713"/>
    <tableColumn id="6" xr3:uid="{54EBE7E7-4437-8944-A3F9-7D19C93B6EB7}" name="Year to date" dataDxfId="712"/>
    <tableColumn id="7" xr3:uid="{698F6A80-F48F-3445-B431-2C5D69E15FC5}" name="Year to date 2019" dataDxfId="711"/>
    <tableColumn id="8" xr3:uid="{FE0BE77A-9855-8A4F-97EF-3273A8F6BBF4}" name="Lifetime" dataDxfId="710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F6F42EE2-6536-5941-8354-867F248CA399}" name="Table5155578101665718558768288" displayName="Table5155578101665718558768288" ref="A8:H16" totalsRowShown="0" headerRowDxfId="709" dataDxfId="708">
  <sortState xmlns:xlrd2="http://schemas.microsoft.com/office/spreadsheetml/2017/richdata2" ref="A9:H16">
    <sortCondition descending="1" ref="B8:B16"/>
  </sortState>
  <tableColumns count="8">
    <tableColumn id="1" xr3:uid="{1F4F78A9-3946-7A4D-B110-AFE1731491F3}" name="System" dataDxfId="707"/>
    <tableColumn id="2" xr3:uid="{28332CC4-3BFA-9E4B-9C4B-60190FF77473}" name="This Week" dataDxfId="706"/>
    <tableColumn id="3" xr3:uid="{30FE9E80-46C3-A844-9F68-1315E7570F5F}" name="Last Week" dataDxfId="705"/>
    <tableColumn id="4" xr3:uid="{9DED92C9-D0FA-8544-AA24-3A8EBF0C4842}" name="Percentage change" dataDxfId="704">
      <calculatedColumnFormula>(Table5155578101665718558768288[[#This Row],[This Week]]-Table5155578101665718558768288[[#This Row],[Last Week]])/Table5155578101665718558768288[[#This Row],[Last Week]]</calculatedColumnFormula>
    </tableColumn>
    <tableColumn id="5" xr3:uid="{E2AE2501-CC0B-CB49-B239-6C1C4D95D5FB}" name="Last Year" dataDxfId="703"/>
    <tableColumn id="6" xr3:uid="{72D35027-7387-D149-AD3F-61B8268634F9}" name="Year to date" dataDxfId="702"/>
    <tableColumn id="7" xr3:uid="{16D3B195-A595-FE47-A747-7D657E6C857B}" name="Year to date 2019" dataDxfId="701"/>
    <tableColumn id="8" xr3:uid="{EBE0DAF6-4F9E-CB4B-8FAD-D1FBA5E0887C}" name="Lifetime" dataDxfId="700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CB65B44F-62BA-B74A-96FA-7FA852B99A94}" name="Table5545679156470845375818791" displayName="Table5545679156470845375818791" ref="A1:H6" totalsRowShown="0" headerRowDxfId="699" dataDxfId="698">
  <tableColumns count="8">
    <tableColumn id="1" xr3:uid="{57998F64-93E4-8E48-8120-C06B29DDAA02}" name="System" dataDxfId="697"/>
    <tableColumn id="2" xr3:uid="{2B40B5F9-EF0F-B84E-821F-784105C26EE7}" name="This Week" dataDxfId="696"/>
    <tableColumn id="3" xr3:uid="{CB8C8104-A75B-6A47-991D-65E4BE2ACD0A}" name="Last Week" dataDxfId="695"/>
    <tableColumn id="4" xr3:uid="{7D6D40E3-6494-354E-B954-1ABD49105742}" name="Percentage change" dataDxfId="694">
      <calculatedColumnFormula>(Table5545679156470845375818791[[#This Row],[This Week]]-Table5545679156470845375818791[[#This Row],[Last Week]])/Table5545679156470845375818791[[#This Row],[Last Week]]</calculatedColumnFormula>
    </tableColumn>
    <tableColumn id="5" xr3:uid="{E320C501-A24A-5B4B-B58A-A77290963254}" name="Last Year" dataDxfId="693"/>
    <tableColumn id="6" xr3:uid="{9884CA3A-3976-4541-A25B-D1D89773D0BA}" name="Year to date" dataDxfId="692"/>
    <tableColumn id="7" xr3:uid="{72C103EA-72B6-2341-ABCD-1FCD1501B7C8}" name="Year to date 2019" dataDxfId="691"/>
    <tableColumn id="8" xr3:uid="{C4F821DE-BE5A-8A48-87A4-805D8ECB327A}" name="Lifetime" dataDxfId="690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6F175048-67CD-F649-934C-654740D30FF2}" name="Table515557810166571855876828892" displayName="Table515557810166571855876828892" ref="A8:H16" totalsRowShown="0" headerRowDxfId="689" dataDxfId="688">
  <sortState xmlns:xlrd2="http://schemas.microsoft.com/office/spreadsheetml/2017/richdata2" ref="A9:H16">
    <sortCondition descending="1" ref="B8:B16"/>
  </sortState>
  <tableColumns count="8">
    <tableColumn id="1" xr3:uid="{63056081-4998-0649-9B54-A3343C629DDE}" name="System" dataDxfId="687"/>
    <tableColumn id="2" xr3:uid="{EA626A50-FF42-F844-8EBE-B5BC74F63C69}" name="This Week" dataDxfId="686"/>
    <tableColumn id="3" xr3:uid="{B2655B0B-B57D-5648-810C-C2C40960C4EA}" name="Last Week" dataDxfId="685"/>
    <tableColumn id="4" xr3:uid="{60CE8961-F509-6B4E-A8E0-B435EF93EF8F}" name="Percentage change" dataDxfId="684">
      <calculatedColumnFormula>(Table515557810166571855876828892[[#This Row],[This Week]]-Table515557810166571855876828892[[#This Row],[Last Week]])/Table515557810166571855876828892[[#This Row],[Last Week]]</calculatedColumnFormula>
    </tableColumn>
    <tableColumn id="5" xr3:uid="{0307C7B6-F481-FD41-B6E3-F03012D13E9C}" name="Last Year" dataDxfId="683"/>
    <tableColumn id="6" xr3:uid="{90A73AE4-08C3-F249-8F91-FD7CE2186EA1}" name="Year to date" dataDxfId="682"/>
    <tableColumn id="7" xr3:uid="{667E98FF-3348-5E43-ADED-86D0D887B93A}" name="Year to date 2019" dataDxfId="681"/>
    <tableColumn id="8" xr3:uid="{3C44A795-5336-1C47-A545-E8E480D676BD}" name="Lifetime" dataDxfId="680"/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6FFB44FA-23B7-6C44-8F97-310DB4A86003}" name="Table5545679156470845375818795" displayName="Table5545679156470845375818795" ref="A1:H6" totalsRowShown="0" headerRowDxfId="679" dataDxfId="678">
  <tableColumns count="8">
    <tableColumn id="1" xr3:uid="{157EBE59-EC2F-4048-856A-3B20598E7594}" name="System" dataDxfId="677"/>
    <tableColumn id="2" xr3:uid="{6366A229-564E-634B-95CC-1C968A64BC44}" name="This Week" dataDxfId="676"/>
    <tableColumn id="3" xr3:uid="{E7DE73D3-B470-A249-BCF7-2FE1A04B41A7}" name="Last Week" dataDxfId="675"/>
    <tableColumn id="4" xr3:uid="{8A557165-3888-FF4B-BF25-5464134B9B70}" name="Percentage change" dataDxfId="674">
      <calculatedColumnFormula>(Table5545679156470845375818795[[#This Row],[This Week]]-Table5545679156470845375818795[[#This Row],[Last Week]])/Table5545679156470845375818795[[#This Row],[Last Week]]</calculatedColumnFormula>
    </tableColumn>
    <tableColumn id="5" xr3:uid="{C1DB9209-973C-DE4E-ACD9-CE7B6E99D3F6}" name="Last Year" dataDxfId="673"/>
    <tableColumn id="6" xr3:uid="{F06385BE-6FA7-B748-95B1-0E07713BD887}" name="Year to date" dataDxfId="672"/>
    <tableColumn id="7" xr3:uid="{C7E166B0-E23A-2D4A-ABEF-4B21CD46E198}" name="Year to date 2019" dataDxfId="671"/>
    <tableColumn id="8" xr3:uid="{C4C4DC27-C92C-9243-AA7E-13954ACF1708}" name="Lifetime" dataDxfId="67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BCCBDD5-D196-A044-BAE5-3635817B5A61}" name="Table5155" displayName="Table5155" ref="A8:H16" totalsRowShown="0" headerRowDxfId="1029" dataDxfId="1028">
  <sortState xmlns:xlrd2="http://schemas.microsoft.com/office/spreadsheetml/2017/richdata2" ref="A9:H16">
    <sortCondition descending="1" ref="B8:B16"/>
  </sortState>
  <tableColumns count="8">
    <tableColumn id="1" xr3:uid="{F956E9A2-C2B0-D146-ADB6-AAB5DB818F27}" name="System" dataDxfId="1027"/>
    <tableColumn id="2" xr3:uid="{39557738-6A89-B946-A98F-F55F2AB3BF80}" name="This Week" dataDxfId="1026"/>
    <tableColumn id="3" xr3:uid="{CE281517-D39F-1B46-BB45-BA2B5D4BB334}" name="Last Week" dataDxfId="1025"/>
    <tableColumn id="4" xr3:uid="{D90DCBAA-9FE4-8540-8413-76F4100E713C}" name="Percentage change" dataDxfId="1024">
      <calculatedColumnFormula>(Table5155[[#This Row],[This Week]]-Table5155[[#This Row],[Last Week]])/Table5155[[#This Row],[Last Week]]</calculatedColumnFormula>
    </tableColumn>
    <tableColumn id="5" xr3:uid="{EEB57540-F956-B747-B2F8-E67B5D72BC5D}" name="Last Year" dataDxfId="1023"/>
    <tableColumn id="6" xr3:uid="{515593BB-0541-904E-A0A1-324CDB77CF5F}" name="Year to date" dataDxfId="1022"/>
    <tableColumn id="7" xr3:uid="{3AB2432A-33D8-8A40-B4C9-C5D95CF8E515}" name="Year to date 2019" dataDxfId="1021"/>
    <tableColumn id="8" xr3:uid="{413E044A-9A3E-4349-98D0-95C61642CD53}" name="Lifetime" dataDxfId="1020"/>
  </tableColumns>
  <tableStyleInfo name="TableStyleMedium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254D63A2-EC05-F64F-9770-541E0B87542C}" name="Table515557810166571855876828896" displayName="Table515557810166571855876828896" ref="A8:H16" totalsRowShown="0" headerRowDxfId="669" dataDxfId="668">
  <sortState xmlns:xlrd2="http://schemas.microsoft.com/office/spreadsheetml/2017/richdata2" ref="A9:H16">
    <sortCondition descending="1" ref="B8:B16"/>
  </sortState>
  <tableColumns count="8">
    <tableColumn id="1" xr3:uid="{51C097BF-C167-664A-A39F-BED4ACA70F5D}" name="System" dataDxfId="667"/>
    <tableColumn id="2" xr3:uid="{46CAA0F1-2C1B-F845-97CE-933051200016}" name="This Week" dataDxfId="666"/>
    <tableColumn id="3" xr3:uid="{346D8273-EEF5-E449-90CA-7992558C0D02}" name="Last Week" dataDxfId="665"/>
    <tableColumn id="4" xr3:uid="{46C6378A-A13F-3E48-AB4B-64A17FE577F9}" name="Percentage change" dataDxfId="664">
      <calculatedColumnFormula>(Table515557810166571855876828896[[#This Row],[This Week]]-Table515557810166571855876828896[[#This Row],[Last Week]])/Table515557810166571855876828896[[#This Row],[Last Week]]</calculatedColumnFormula>
    </tableColumn>
    <tableColumn id="5" xr3:uid="{C0A5D909-36F5-B543-8A97-1D8608E696AE}" name="Last Year" dataDxfId="663"/>
    <tableColumn id="6" xr3:uid="{99EBC238-2B8C-0647-9EA3-2DA7514A3E26}" name="Year to date" dataDxfId="662"/>
    <tableColumn id="7" xr3:uid="{A16B0A09-98AF-0B4F-95E7-4852C650E7B5}" name="Year to date 2019" dataDxfId="661"/>
    <tableColumn id="8" xr3:uid="{3E99C864-7CC3-794B-B1EA-239B1FB4CD5F}" name="Lifetime" dataDxfId="660"/>
  </tableColumns>
  <tableStyleInfo name="TableStyleMedium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8138B1C4-449A-C646-8D95-56A78A3FA1EE}" name="Table5545679156470845375818799" displayName="Table5545679156470845375818799" ref="A1:H6" totalsRowShown="0" headerRowDxfId="659" dataDxfId="658">
  <tableColumns count="8">
    <tableColumn id="1" xr3:uid="{0FC00DAC-1E58-F544-8894-25F23A5079D1}" name="System" dataDxfId="657"/>
    <tableColumn id="2" xr3:uid="{33AF722C-5A07-394A-8C5F-73BF19003CB5}" name="This Week" dataDxfId="656"/>
    <tableColumn id="3" xr3:uid="{6F03BE54-33CC-4344-9CE4-F464FB6FAB32}" name="Last Week" dataDxfId="655"/>
    <tableColumn id="4" xr3:uid="{42768573-7C48-5F47-82A7-1FA75BC984A4}" name="Percentage change" dataDxfId="654">
      <calculatedColumnFormula>(Table5545679156470845375818799[[#This Row],[This Week]]-Table5545679156470845375818799[[#This Row],[Last Week]])/Table5545679156470845375818799[[#This Row],[Last Week]]</calculatedColumnFormula>
    </tableColumn>
    <tableColumn id="5" xr3:uid="{814A7E5C-29BB-5149-AD50-FDC0EC9B1359}" name="Last Year" dataDxfId="653"/>
    <tableColumn id="6" xr3:uid="{1DE06E5C-70A3-FF4E-BEAA-3DCB417AB223}" name="Year to date" dataDxfId="652"/>
    <tableColumn id="7" xr3:uid="{D7C6D2BB-8217-2146-8E84-DB408557F0D2}" name="Year to date 2019" dataDxfId="651"/>
    <tableColumn id="8" xr3:uid="{3D4EC4B2-D7EC-BF47-A996-D62CEC5C9DB8}" name="Lifetime" dataDxfId="650"/>
  </tableColumns>
  <tableStyleInfo name="TableStyleMedium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4E28588E-AF54-7048-A63B-3B470315B495}" name="Table5155578101665718558768288100" displayName="Table5155578101665718558768288100" ref="A8:H16" totalsRowShown="0" headerRowDxfId="649" dataDxfId="648">
  <sortState xmlns:xlrd2="http://schemas.microsoft.com/office/spreadsheetml/2017/richdata2" ref="A9:H16">
    <sortCondition descending="1" ref="B8:B16"/>
  </sortState>
  <tableColumns count="8">
    <tableColumn id="1" xr3:uid="{D2F20E0D-F712-744E-BD6F-0FD357623393}" name="System" dataDxfId="647"/>
    <tableColumn id="2" xr3:uid="{50908AB4-7991-DA4D-825D-BAB98A0ADF17}" name="This Week" dataDxfId="646"/>
    <tableColumn id="3" xr3:uid="{78BBDA1A-802C-9642-B4C1-19F46674FE51}" name="Last Week" dataDxfId="645"/>
    <tableColumn id="4" xr3:uid="{5F1F6814-94AD-EC4E-BFB6-513BC6F96F63}" name="Percentage change" dataDxfId="644">
      <calculatedColumnFormula>(Table5155578101665718558768288100[[#This Row],[This Week]]-Table5155578101665718558768288100[[#This Row],[Last Week]])/Table5155578101665718558768288100[[#This Row],[Last Week]]</calculatedColumnFormula>
    </tableColumn>
    <tableColumn id="5" xr3:uid="{47EA3FE9-9A9D-0A43-AF50-555B89DB7C7D}" name="Last Year" dataDxfId="643"/>
    <tableColumn id="6" xr3:uid="{F0E06DC5-996B-8F46-AA90-A72B82FD7D07}" name="Year to date" dataDxfId="642"/>
    <tableColumn id="7" xr3:uid="{D6B4558E-FA02-D048-8ECB-49DE5E464C99}" name="Year to date 2019" dataDxfId="641"/>
    <tableColumn id="8" xr3:uid="{E63A8054-60A8-8649-86B1-594DC5B1B4B0}" name="Lifetime" dataDxfId="640"/>
  </tableColumns>
  <tableStyleInfo name="TableStyleMedium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5C152C4B-616D-9049-924C-BD6379A9AEF2}" name="Table55456791564708453758187103" displayName="Table55456791564708453758187103" ref="A1:H6" totalsRowShown="0" headerRowDxfId="639" dataDxfId="638">
  <tableColumns count="8">
    <tableColumn id="1" xr3:uid="{19283974-D343-8549-B15C-D9D6ED3F421C}" name="System" dataDxfId="637"/>
    <tableColumn id="2" xr3:uid="{94ECA32B-1276-544F-860A-93D9D7C4CECA}" name="This Week" dataDxfId="636"/>
    <tableColumn id="3" xr3:uid="{CD320374-845C-5F46-B995-06205ED48BDE}" name="Last Week" dataDxfId="635"/>
    <tableColumn id="4" xr3:uid="{D0FC4D92-CBE9-CB48-9457-848FDE9194C9}" name="Percentage change" dataDxfId="634">
      <calculatedColumnFormula>(Table55456791564708453758187103[[#This Row],[This Week]]-Table55456791564708453758187103[[#This Row],[Last Week]])/Table55456791564708453758187103[[#This Row],[Last Week]]</calculatedColumnFormula>
    </tableColumn>
    <tableColumn id="5" xr3:uid="{40B770E5-E1F0-2141-B63D-6C95FCA47CE6}" name="Last Year" dataDxfId="633"/>
    <tableColumn id="6" xr3:uid="{0443F8BD-8C1F-EA47-A39E-471516D99A87}" name="Year to date" dataDxfId="632"/>
    <tableColumn id="7" xr3:uid="{2FA9802A-85AA-7347-B768-C857EE4BCB28}" name="Year to date 2019" dataDxfId="631"/>
    <tableColumn id="8" xr3:uid="{D8C0828B-9D62-2E49-9031-93F4CD981111}" name="Lifetime" dataDxfId="630"/>
  </tableColumns>
  <tableStyleInfo name="TableStyleMedium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FAFCB3C0-BA71-7842-AB9C-C2736850790F}" name="Table5155578101665718558768288104" displayName="Table5155578101665718558768288104" ref="A8:H16" totalsRowShown="0" headerRowDxfId="629" dataDxfId="628">
  <sortState xmlns:xlrd2="http://schemas.microsoft.com/office/spreadsheetml/2017/richdata2" ref="A9:H16">
    <sortCondition descending="1" ref="B8:B16"/>
  </sortState>
  <tableColumns count="8">
    <tableColumn id="1" xr3:uid="{FFAAD5F9-A8B7-9043-B9A6-CF6D7DA76F7E}" name="System" dataDxfId="627"/>
    <tableColumn id="2" xr3:uid="{2160106F-BFE4-F147-9E85-A33F8F6ED26B}" name="This Week" dataDxfId="626"/>
    <tableColumn id="3" xr3:uid="{BCF4B1C3-B9B9-7047-AB51-37E156384E41}" name="Last Week" dataDxfId="625"/>
    <tableColumn id="4" xr3:uid="{4F8BDEFC-F852-0641-9AC3-E4D2FB8D7D88}" name="Percentage change" dataDxfId="624">
      <calculatedColumnFormula>(Table5155578101665718558768288104[[#This Row],[This Week]]-Table5155578101665718558768288104[[#This Row],[Last Week]])/Table5155578101665718558768288104[[#This Row],[Last Week]]</calculatedColumnFormula>
    </tableColumn>
    <tableColumn id="5" xr3:uid="{1BF46429-3060-EB49-8BD7-AEF9797985B9}" name="Last Year" dataDxfId="623"/>
    <tableColumn id="6" xr3:uid="{F65884F2-F231-474B-9C55-66C6DB0D9813}" name="Year to date" dataDxfId="622"/>
    <tableColumn id="7" xr3:uid="{5C0F76B6-48DB-5C47-BE6E-B1C5293C0DAF}" name="Year to date 2019" dataDxfId="621"/>
    <tableColumn id="8" xr3:uid="{A871F976-8793-324F-8194-E2F637530C87}" name="Lifetime" dataDxfId="620"/>
  </tableColumns>
  <tableStyleInfo name="TableStyleMedium9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B92171AE-7115-004B-9216-35836BD71DCA}" name="Table55456791564708453758187107" displayName="Table55456791564708453758187107" ref="A1:H6" totalsRowShown="0" headerRowDxfId="619" dataDxfId="618">
  <tableColumns count="8">
    <tableColumn id="1" xr3:uid="{0048FF02-0766-9240-BD13-2F6FFB4EB641}" name="System" dataDxfId="617"/>
    <tableColumn id="2" xr3:uid="{2AA10B7B-433C-6043-BBBE-37DB4F3010B1}" name="This Week" dataDxfId="616"/>
    <tableColumn id="3" xr3:uid="{5BAEB5CA-34B8-954A-9A66-E71DE203886A}" name="Last Week" dataDxfId="615"/>
    <tableColumn id="4" xr3:uid="{68A860D7-E5FE-0141-8B10-6F9EEC6C7373}" name="Percentage change" dataDxfId="614">
      <calculatedColumnFormula>(Table55456791564708453758187107[[#This Row],[This Week]]-Table55456791564708453758187107[[#This Row],[Last Week]])/Table55456791564708453758187107[[#This Row],[Last Week]]</calculatedColumnFormula>
    </tableColumn>
    <tableColumn id="5" xr3:uid="{BC1214FF-1FB8-514F-BC14-0A83AB714F5D}" name="Last Year" dataDxfId="613"/>
    <tableColumn id="6" xr3:uid="{76EA849D-D224-144F-9144-FE781E1FEB3C}" name="Year to date" dataDxfId="612"/>
    <tableColumn id="7" xr3:uid="{C3DF8DD2-2368-5F4E-BE19-6F86082EBCE4}" name="Year to date 2019" dataDxfId="611"/>
    <tableColumn id="8" xr3:uid="{4DFDCB35-04FD-524B-8723-93C7700C5144}" name="Lifetime" dataDxfId="610"/>
  </tableColumns>
  <tableStyleInfo name="TableStyleMedium9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6429E3C0-F98F-CF4C-9BF7-7AC1CBFDE36F}" name="Table5155578101665718558768288108" displayName="Table5155578101665718558768288108" ref="A8:H16" totalsRowShown="0" headerRowDxfId="609" dataDxfId="608">
  <sortState xmlns:xlrd2="http://schemas.microsoft.com/office/spreadsheetml/2017/richdata2" ref="A9:H16">
    <sortCondition descending="1" ref="B8:B16"/>
  </sortState>
  <tableColumns count="8">
    <tableColumn id="1" xr3:uid="{9212286C-0B6C-FD44-A268-3DD5E5DA7A7D}" name="System" dataDxfId="607"/>
    <tableColumn id="2" xr3:uid="{B192A1FC-0931-D346-A65D-52625092FACC}" name="This Week" dataDxfId="606"/>
    <tableColumn id="3" xr3:uid="{456BAADB-3697-A546-B9DD-C81AC65054AD}" name="Last Week" dataDxfId="605"/>
    <tableColumn id="4" xr3:uid="{CF801653-A1C2-7545-9F35-FE13FA89EDCC}" name="Percentage change" dataDxfId="604">
      <calculatedColumnFormula>(Table5155578101665718558768288108[[#This Row],[This Week]]-Table5155578101665718558768288108[[#This Row],[Last Week]])/Table5155578101665718558768288108[[#This Row],[Last Week]]</calculatedColumnFormula>
    </tableColumn>
    <tableColumn id="5" xr3:uid="{ADED8DF7-AEC4-014C-ABEF-428602F66B13}" name="Last Year" dataDxfId="603"/>
    <tableColumn id="6" xr3:uid="{3403CC1C-75C2-F74D-931A-6C7EBDFE24FD}" name="Year to date" dataDxfId="602"/>
    <tableColumn id="7" xr3:uid="{E4C32EDD-825F-8948-B42E-685681CA9FA5}" name="Year to date 2019" dataDxfId="601"/>
    <tableColumn id="8" xr3:uid="{F83043CB-2DAE-D241-80A8-BEBF1A732BF3}" name="Lifetime" dataDxfId="600"/>
  </tableColumns>
  <tableStyleInfo name="TableStyleMedium9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4A161E70-043A-3749-9F97-1812FA7BE32B}" name="Table55456791564708453758187111" displayName="Table55456791564708453758187111" ref="A1:H6" totalsRowShown="0" headerRowDxfId="599" dataDxfId="598">
  <tableColumns count="8">
    <tableColumn id="1" xr3:uid="{A3711ECD-E408-0344-9873-7C68A95DAE0B}" name="System" dataDxfId="597"/>
    <tableColumn id="2" xr3:uid="{CD6BF942-B45C-4943-9F9A-52AB968F695D}" name="This Week" dataDxfId="596"/>
    <tableColumn id="3" xr3:uid="{82C251F9-D21B-0A41-BB55-070B6B808880}" name="Last Week" dataDxfId="595"/>
    <tableColumn id="4" xr3:uid="{DDC73065-C37C-EC4F-A041-B004E7A6B11F}" name="Percentage change" dataDxfId="594">
      <calculatedColumnFormula>(Table55456791564708453758187111[[#This Row],[This Week]]-Table55456791564708453758187111[[#This Row],[Last Week]])/Table55456791564708453758187111[[#This Row],[Last Week]]</calculatedColumnFormula>
    </tableColumn>
    <tableColumn id="5" xr3:uid="{6B83D491-C0F4-D347-8389-72E2102F4C68}" name="Last Year" dataDxfId="593"/>
    <tableColumn id="6" xr3:uid="{DF053CAA-15D9-B249-A1ED-4FCC87D19316}" name="Year to date" dataDxfId="592"/>
    <tableColumn id="7" xr3:uid="{BD44A0B0-FB2C-6241-86B2-1BA9BD0EFB65}" name="Year to date 2019" dataDxfId="591"/>
    <tableColumn id="8" xr3:uid="{C5DA3830-80B2-FA4F-A115-594AD63B855A}" name="Lifetime" dataDxfId="590"/>
  </tableColumns>
  <tableStyleInfo name="TableStyleMedium9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91EF47B1-0006-374A-9289-9BCBDE7A2672}" name="Table5155578101665718558768288112" displayName="Table5155578101665718558768288112" ref="A8:H16" totalsRowShown="0" headerRowDxfId="589" dataDxfId="588">
  <sortState xmlns:xlrd2="http://schemas.microsoft.com/office/spreadsheetml/2017/richdata2" ref="A9:H16">
    <sortCondition descending="1" ref="B8:B16"/>
  </sortState>
  <tableColumns count="8">
    <tableColumn id="1" xr3:uid="{D71302F5-EA52-C14E-99FE-9976B7632E17}" name="System" dataDxfId="587"/>
    <tableColumn id="2" xr3:uid="{196BAC1D-C075-E049-BAF8-F3037193A241}" name="This Week" dataDxfId="586"/>
    <tableColumn id="3" xr3:uid="{32264948-51E0-6041-82A3-170DC2610165}" name="Last Week" dataDxfId="585"/>
    <tableColumn id="4" xr3:uid="{CA51B097-1CDC-E040-B748-5B8B49C25C31}" name="Percentage change" dataDxfId="584">
      <calculatedColumnFormula>(Table5155578101665718558768288112[[#This Row],[This Week]]-Table5155578101665718558768288112[[#This Row],[Last Week]])/Table5155578101665718558768288112[[#This Row],[Last Week]]</calculatedColumnFormula>
    </tableColumn>
    <tableColumn id="5" xr3:uid="{910CDC6E-E905-3443-820C-3FE73CDDE47A}" name="Last Year" dataDxfId="583"/>
    <tableColumn id="6" xr3:uid="{7178B2DD-10C4-D048-95F2-AFF1E6B67260}" name="Year to date" dataDxfId="582"/>
    <tableColumn id="7" xr3:uid="{076A143D-35FF-BF4F-8944-77BB1A9362D5}" name="Year to date 2019" dataDxfId="581"/>
    <tableColumn id="8" xr3:uid="{D7D5DCB2-EB7A-2245-9C07-56F14430A0F5}" name="Lifetime" dataDxfId="580"/>
  </tableColumns>
  <tableStyleInfo name="TableStyleMedium9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4FB6EF3A-F2DE-7C46-B362-C32DBD6D59EF}" name="Table55456791564708453758187115" displayName="Table55456791564708453758187115" ref="A1:H6" totalsRowShown="0" headerRowDxfId="579" dataDxfId="578">
  <tableColumns count="8">
    <tableColumn id="1" xr3:uid="{65A2FBB2-F344-784B-8CD3-140486255C73}" name="System" dataDxfId="577"/>
    <tableColumn id="2" xr3:uid="{31E33BCC-0283-E946-A3B7-0CE70F925FEF}" name="This Week" dataDxfId="576"/>
    <tableColumn id="3" xr3:uid="{20ED6354-ABE7-1F44-8A5A-373C0FDB3D8B}" name="Last Week" dataDxfId="575"/>
    <tableColumn id="4" xr3:uid="{BD9850FB-C3C3-734E-AE77-1B739B3330F8}" name="Percentage change" dataDxfId="574">
      <calculatedColumnFormula>(Table55456791564708453758187115[[#This Row],[This Week]]-Table55456791564708453758187115[[#This Row],[Last Week]])/Table55456791564708453758187115[[#This Row],[Last Week]]</calculatedColumnFormula>
    </tableColumn>
    <tableColumn id="5" xr3:uid="{90963F62-F691-7943-B5F1-E9E2FFF4DD93}" name="Last Year" dataDxfId="573"/>
    <tableColumn id="6" xr3:uid="{95292C8C-95E6-C845-9F99-95CFA31B479A}" name="Year to date" dataDxfId="572"/>
    <tableColumn id="7" xr3:uid="{465213DB-A96B-624F-982D-FF19822E421C}" name="Year to date 2019" dataDxfId="571"/>
    <tableColumn id="8" xr3:uid="{963A6EA4-901C-764C-B0C3-976E2851B4A9}" name="Lifetime" dataDxfId="57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F3B1E4AD-9CD2-9441-8303-959CA8A90829}" name="Table55456" displayName="Table55456" ref="A1:H6" totalsRowShown="0" headerRowDxfId="1019" dataDxfId="1018">
  <tableColumns count="8">
    <tableColumn id="1" xr3:uid="{D49C0063-9C35-0F4B-8B4E-B5E52B2FE768}" name="System" dataDxfId="1017"/>
    <tableColumn id="2" xr3:uid="{5738A1B3-E3DF-5543-9F5E-FDB5C544A46E}" name="This Week" dataDxfId="1016"/>
    <tableColumn id="3" xr3:uid="{A53DF0D3-89ED-F84D-8AD2-D0DD2C4D23B8}" name="Last Week" dataDxfId="1015"/>
    <tableColumn id="4" xr3:uid="{9D91AA31-22BB-EA40-B77E-077DB72EB30E}" name="Percentage change" dataDxfId="1014">
      <calculatedColumnFormula>(#REF!-#REF!)/#REF!</calculatedColumnFormula>
    </tableColumn>
    <tableColumn id="5" xr3:uid="{865D7149-5F44-EE43-96C2-A8787AB86893}" name="Last Year" dataDxfId="1013"/>
    <tableColumn id="6" xr3:uid="{C2078D58-2664-BC4A-9DB8-EC837329D3E9}" name="Year to date" dataDxfId="1012"/>
    <tableColumn id="7" xr3:uid="{25A504C6-3348-824B-A1C2-91178F9FBE5D}" name="Year to date 2019" dataDxfId="1011"/>
    <tableColumn id="8" xr3:uid="{72973A9A-BF32-F54C-BC8C-CE48482F0ED4}" name="Lifetime" dataDxfId="1010"/>
  </tableColumns>
  <tableStyleInfo name="TableStyleMedium9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75839652-38E1-2C47-80D8-195B37C37969}" name="Table5155578101665718558768288116" displayName="Table5155578101665718558768288116" ref="A8:H16" totalsRowShown="0" headerRowDxfId="569" dataDxfId="568">
  <sortState xmlns:xlrd2="http://schemas.microsoft.com/office/spreadsheetml/2017/richdata2" ref="A9:H16">
    <sortCondition descending="1" ref="B8:B16"/>
  </sortState>
  <tableColumns count="8">
    <tableColumn id="1" xr3:uid="{071572A2-9909-404E-A160-175DC980E25E}" name="System" dataDxfId="567"/>
    <tableColumn id="2" xr3:uid="{71AF0B03-B928-4A47-991E-BAB82F8B7EAB}" name="This Week" dataDxfId="566"/>
    <tableColumn id="3" xr3:uid="{0303E4AF-29FB-9A42-ACD7-0E0BDAB3884F}" name="Last Week" dataDxfId="565"/>
    <tableColumn id="4" xr3:uid="{5EDA13C6-B16A-E743-BAE7-8EF9F4D483E9}" name="Percentage change" dataDxfId="564">
      <calculatedColumnFormula>(Table5155578101665718558768288116[[#This Row],[This Week]]-Table5155578101665718558768288116[[#This Row],[Last Week]])/Table5155578101665718558768288116[[#This Row],[Last Week]]</calculatedColumnFormula>
    </tableColumn>
    <tableColumn id="5" xr3:uid="{1FEF3432-7F13-B644-94EA-F982ACFF5E65}" name="Last Year" dataDxfId="563"/>
    <tableColumn id="6" xr3:uid="{1077B588-799C-434E-AA23-16717CAA4825}" name="Year to date" dataDxfId="562"/>
    <tableColumn id="7" xr3:uid="{F2618C70-C1F9-0446-9D10-E3905258D253}" name="Year to date 2019" dataDxfId="561"/>
    <tableColumn id="8" xr3:uid="{3CE2B934-AA99-FA42-8920-F8390213D827}" name="Lifetime" dataDxfId="560"/>
  </tableColumns>
  <tableStyleInfo name="TableStyleMedium9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9ABE2091-1AF5-624C-8566-7F01C8B7E4D1}" name="Table55456791564708453758187119" displayName="Table55456791564708453758187119" ref="A1:H6" totalsRowShown="0" headerRowDxfId="559" dataDxfId="558">
  <tableColumns count="8">
    <tableColumn id="1" xr3:uid="{EA788AE5-2AC6-894B-AB01-67360C6A5FB9}" name="System" dataDxfId="557"/>
    <tableColumn id="2" xr3:uid="{52DD8877-1090-594B-86AA-E778BE6500E5}" name="This Week" dataDxfId="556"/>
    <tableColumn id="3" xr3:uid="{ACBE7D97-19CC-1041-BC56-DF3F883DCA99}" name="Last Week" dataDxfId="555"/>
    <tableColumn id="4" xr3:uid="{45254D4E-5D03-CE46-A92E-A50503D784D2}" name="Percentage change" dataDxfId="554">
      <calculatedColumnFormula>(Table55456791564708453758187119[[#This Row],[This Week]]-Table55456791564708453758187119[[#This Row],[Last Week]])/Table55456791564708453758187119[[#This Row],[Last Week]]</calculatedColumnFormula>
    </tableColumn>
    <tableColumn id="5" xr3:uid="{47B32D20-CA7A-9D45-8428-99EBCF98CCE9}" name="Last Year" dataDxfId="553"/>
    <tableColumn id="6" xr3:uid="{D1062250-B88F-EF47-8F23-23AE736526ED}" name="Year to date" dataDxfId="552"/>
    <tableColumn id="7" xr3:uid="{4BAA2532-70DF-2949-B48C-85116F4A4B40}" name="Year to date 2019" dataDxfId="551"/>
    <tableColumn id="8" xr3:uid="{CD807D05-2E46-9C48-B91E-1852E4CF0B8B}" name="Lifetime" dataDxfId="550"/>
  </tableColumns>
  <tableStyleInfo name="TableStyleMedium9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9D255E5E-9E72-A14F-8F7B-B203A7D08E56}" name="Table5155578101665718558768288120" displayName="Table5155578101665718558768288120" ref="A8:H16" totalsRowShown="0" headerRowDxfId="549" dataDxfId="548">
  <sortState xmlns:xlrd2="http://schemas.microsoft.com/office/spreadsheetml/2017/richdata2" ref="A9:H16">
    <sortCondition descending="1" ref="B8:B16"/>
  </sortState>
  <tableColumns count="8">
    <tableColumn id="1" xr3:uid="{5F9A34AD-544E-644B-84D7-768E3A2990E8}" name="System" dataDxfId="547"/>
    <tableColumn id="2" xr3:uid="{2DB7E532-BE8A-EF42-8C3B-3F8598942DC6}" name="This Week" dataDxfId="546"/>
    <tableColumn id="3" xr3:uid="{D363606D-CC65-EA40-8AC1-B55712932E14}" name="Last Week" dataDxfId="545"/>
    <tableColumn id="4" xr3:uid="{404FC0A8-91DE-DA4E-9029-4089A2E0EE9C}" name="Percentage change" dataDxfId="544">
      <calculatedColumnFormula>(Table5155578101665718558768288120[[#This Row],[This Week]]-Table5155578101665718558768288120[[#This Row],[Last Week]])/Table5155578101665718558768288120[[#This Row],[Last Week]]</calculatedColumnFormula>
    </tableColumn>
    <tableColumn id="5" xr3:uid="{509B0DB6-F592-E641-A225-97F39636C9BB}" name="Last Year" dataDxfId="543"/>
    <tableColumn id="6" xr3:uid="{2A220C4B-1268-EC44-990F-765151326F86}" name="Year to date" dataDxfId="542"/>
    <tableColumn id="7" xr3:uid="{FCD6D1C4-AB2F-384A-A42A-0414ECEF5683}" name="Year to date 2019" dataDxfId="541"/>
    <tableColumn id="8" xr3:uid="{86D25E95-0B72-CD47-8880-138F2BD9029A}" name="Lifetime" dataDxfId="540"/>
  </tableColumns>
  <tableStyleInfo name="TableStyleMedium9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BC0741CC-6BBE-AB41-A121-F549BFB3E252}" name="Table55456791564708453758187123" displayName="Table55456791564708453758187123" ref="A1:H6" totalsRowShown="0" headerRowDxfId="539" dataDxfId="538">
  <tableColumns count="8">
    <tableColumn id="1" xr3:uid="{27694DF9-13DA-9448-89EA-F3FCF4787918}" name="System" dataDxfId="537"/>
    <tableColumn id="2" xr3:uid="{8709F8F7-EF8A-C846-8FFD-F68F21DE43FF}" name="This Week" dataDxfId="536"/>
    <tableColumn id="3" xr3:uid="{741A3F41-4EA1-B245-9B40-D69134D2605D}" name="Last Week" dataDxfId="535"/>
    <tableColumn id="4" xr3:uid="{1B588F4E-5746-D84C-B924-6A9F61AD398F}" name="Percentage change" dataDxfId="534">
      <calculatedColumnFormula>(Table55456791564708453758187123[[#This Row],[This Week]]-Table55456791564708453758187123[[#This Row],[Last Week]])/Table55456791564708453758187123[[#This Row],[Last Week]]</calculatedColumnFormula>
    </tableColumn>
    <tableColumn id="5" xr3:uid="{9C6A0EEE-3AAE-8F4A-8719-AD9134CF204F}" name="Last Year" dataDxfId="533"/>
    <tableColumn id="6" xr3:uid="{D39DB9EF-BC2E-1941-95BD-09B403B4F099}" name="Year to date" dataDxfId="532"/>
    <tableColumn id="7" xr3:uid="{AA286A70-7914-184A-B296-097F014DB0B3}" name="Year to date 2019" dataDxfId="531"/>
    <tableColumn id="8" xr3:uid="{56878448-C591-8642-B9D4-160DBB1FAE94}" name="Lifetime" dataDxfId="530"/>
  </tableColumns>
  <tableStyleInfo name="TableStyleMedium9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B1388335-D748-9445-BD52-281BA6550CD1}" name="Table5155578101665718558768288124" displayName="Table5155578101665718558768288124" ref="A8:H16" totalsRowShown="0" headerRowDxfId="529" dataDxfId="528">
  <sortState xmlns:xlrd2="http://schemas.microsoft.com/office/spreadsheetml/2017/richdata2" ref="A9:H16">
    <sortCondition descending="1" ref="B8:B16"/>
  </sortState>
  <tableColumns count="8">
    <tableColumn id="1" xr3:uid="{94432CB3-F792-914B-8772-6713DA0BE2B3}" name="System" dataDxfId="527"/>
    <tableColumn id="2" xr3:uid="{B82234B6-4AEF-074B-BA71-020862406ED0}" name="This Week" dataDxfId="526"/>
    <tableColumn id="3" xr3:uid="{FBFBCB7B-BB93-3845-AB65-2873705EBB43}" name="Last Week" dataDxfId="525"/>
    <tableColumn id="4" xr3:uid="{A64AD300-A240-C84A-B1EB-A030A7663C4B}" name="Percentage change" dataDxfId="524">
      <calculatedColumnFormula>(Table5155578101665718558768288124[[#This Row],[This Week]]-Table5155578101665718558768288124[[#This Row],[Last Week]])/Table5155578101665718558768288124[[#This Row],[Last Week]]</calculatedColumnFormula>
    </tableColumn>
    <tableColumn id="5" xr3:uid="{8EAFF42C-C190-0C42-8654-559BB423975E}" name="Last Year" dataDxfId="523"/>
    <tableColumn id="6" xr3:uid="{42C51EC3-2B21-4841-96A0-1BF6EF03A65C}" name="Year to date" dataDxfId="522"/>
    <tableColumn id="7" xr3:uid="{FE8A2D05-EE95-7C48-8AA5-36CB15734853}" name="Year to date 2019" dataDxfId="521"/>
    <tableColumn id="8" xr3:uid="{5564EE52-30A0-764A-B6AC-6161C009B75E}" name="Lifetime" dataDxfId="520"/>
  </tableColumns>
  <tableStyleInfo name="TableStyleMedium9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23E657E8-57E5-5C46-98E9-7AB960A327BA}" name="Table55456791564708453758187127" displayName="Table55456791564708453758187127" ref="A1:H6" totalsRowShown="0" headerRowDxfId="519" dataDxfId="518">
  <tableColumns count="8">
    <tableColumn id="1" xr3:uid="{E13E3000-05A3-3A43-BF51-A74A9E44ECC6}" name="System" dataDxfId="517"/>
    <tableColumn id="2" xr3:uid="{EBC30946-905D-F24A-9223-FAC5938D0AC7}" name="This Week" dataDxfId="516"/>
    <tableColumn id="3" xr3:uid="{3DCA8020-82FF-4B4A-8DA2-0E78893D8BF5}" name="Last Week" dataDxfId="515"/>
    <tableColumn id="4" xr3:uid="{4C091E50-6B71-6649-8987-D20C6DB0770C}" name="Percentage change" dataDxfId="514">
      <calculatedColumnFormula>(Table55456791564708453758187127[[#This Row],[This Week]]-Table55456791564708453758187127[[#This Row],[Last Week]])/Table55456791564708453758187127[[#This Row],[Last Week]]</calculatedColumnFormula>
    </tableColumn>
    <tableColumn id="5" xr3:uid="{AD5D7F84-3F2E-B14C-8249-02B715874A9D}" name="Last Year" dataDxfId="513"/>
    <tableColumn id="6" xr3:uid="{0100FCEE-0A53-664D-B080-B86203D36262}" name="Year to date" dataDxfId="512"/>
    <tableColumn id="7" xr3:uid="{6759D0BB-AA97-C648-88EA-97E98B2451BA}" name="Year to date 2019" dataDxfId="511"/>
    <tableColumn id="8" xr3:uid="{1AF0C5AD-52DD-D24B-B12F-99440314F613}" name="Lifetime" dataDxfId="510"/>
  </tableColumns>
  <tableStyleInfo name="TableStyleMedium9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2400276C-A516-4349-8392-7B60C22CF2C9}" name="Table5155578101665718558768288128" displayName="Table5155578101665718558768288128" ref="A8:H16" totalsRowShown="0" headerRowDxfId="509" dataDxfId="508">
  <sortState xmlns:xlrd2="http://schemas.microsoft.com/office/spreadsheetml/2017/richdata2" ref="A9:H16">
    <sortCondition descending="1" ref="B8:B16"/>
  </sortState>
  <tableColumns count="8">
    <tableColumn id="1" xr3:uid="{22ECE5F3-A009-A04D-A892-B7B2519DF82E}" name="System" dataDxfId="507"/>
    <tableColumn id="2" xr3:uid="{3290F10E-1C47-7C42-BB64-0D162AB0B00C}" name="This Week" dataDxfId="506"/>
    <tableColumn id="3" xr3:uid="{98D5A57A-505A-1E49-A0A1-89D1FA7545C3}" name="Last Week" dataDxfId="505"/>
    <tableColumn id="4" xr3:uid="{18FF3640-84DB-5F4C-A9F1-79A36E474151}" name="Percentage change" dataDxfId="504">
      <calculatedColumnFormula>(Table5155578101665718558768288128[[#This Row],[This Week]]-Table5155578101665718558768288128[[#This Row],[Last Week]])/Table5155578101665718558768288128[[#This Row],[Last Week]]</calculatedColumnFormula>
    </tableColumn>
    <tableColumn id="5" xr3:uid="{FA105E1A-6370-8D42-8B1F-9E4865DDD926}" name="Last Year" dataDxfId="503"/>
    <tableColumn id="6" xr3:uid="{B94DA239-F2CC-EB44-A733-2CADCD9D9F10}" name="Year to date" dataDxfId="502"/>
    <tableColumn id="7" xr3:uid="{DBD20204-34E1-594D-B806-CB9C269CEE3E}" name="Year to date 2019" dataDxfId="501"/>
    <tableColumn id="8" xr3:uid="{C16AC07B-9A80-8549-8D9C-629C596ECCBB}" name="Lifetime" dataDxfId="500"/>
  </tableColumns>
  <tableStyleInfo name="TableStyleMedium9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7C67A053-2375-554D-A119-2517B451B27F}" name="Table55456791564708453758187131" displayName="Table55456791564708453758187131" ref="A1:H6" totalsRowShown="0" headerRowDxfId="499" dataDxfId="498">
  <tableColumns count="8">
    <tableColumn id="1" xr3:uid="{20152462-DA0B-3040-AA2C-DA10BD5B48ED}" name="System" dataDxfId="497"/>
    <tableColumn id="2" xr3:uid="{231741A7-B004-6143-887E-A0B5E8061A7B}" name="This Week" dataDxfId="496"/>
    <tableColumn id="3" xr3:uid="{D4E36274-3937-F74A-908B-483196BA3449}" name="Last Week" dataDxfId="495"/>
    <tableColumn id="4" xr3:uid="{7AFD6F55-4FF4-5242-A5C4-C29B23EB4BC3}" name="Percentage change" dataDxfId="494">
      <calculatedColumnFormula>(Table55456791564708453758187131[[#This Row],[This Week]]-Table55456791564708453758187131[[#This Row],[Last Week]])/Table55456791564708453758187131[[#This Row],[Last Week]]</calculatedColumnFormula>
    </tableColumn>
    <tableColumn id="5" xr3:uid="{36D861FF-BC88-854F-AEEF-A2FA301CF821}" name="Last Year" dataDxfId="493"/>
    <tableColumn id="6" xr3:uid="{8F4ADA06-B172-4845-B3D6-29C32412BA52}" name="Year to date" dataDxfId="492"/>
    <tableColumn id="7" xr3:uid="{B3C9B708-763A-F147-A0D1-761B6CF5D029}" name="Year to date 2019" dataDxfId="491"/>
    <tableColumn id="8" xr3:uid="{9A49A7BB-2956-D84F-A617-E28CB6CB96E1}" name="Lifetime" dataDxfId="490"/>
  </tableColumns>
  <tableStyleInfo name="TableStyleMedium9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3A09897D-D6F5-B346-A5C6-0BADC58CE329}" name="Table5155578101665718558768288132" displayName="Table5155578101665718558768288132" ref="A8:H16" totalsRowShown="0" headerRowDxfId="489" dataDxfId="488">
  <sortState xmlns:xlrd2="http://schemas.microsoft.com/office/spreadsheetml/2017/richdata2" ref="A9:H16">
    <sortCondition descending="1" ref="B8:B16"/>
  </sortState>
  <tableColumns count="8">
    <tableColumn id="1" xr3:uid="{7FE458C7-0B9F-3846-96B5-8EAB03D9467D}" name="System" dataDxfId="487"/>
    <tableColumn id="2" xr3:uid="{D4F9456E-1516-2D40-B1E3-C2956E949881}" name="This Week" dataDxfId="486"/>
    <tableColumn id="3" xr3:uid="{30D1AEB9-D123-F345-9DC7-BF0EFFFCD105}" name="Last Week" dataDxfId="485"/>
    <tableColumn id="4" xr3:uid="{9F9B325C-13E6-6D42-B8BD-BD98AD01ECD7}" name="Percentage change" dataDxfId="484">
      <calculatedColumnFormula>(Table5155578101665718558768288132[[#This Row],[This Week]]-Table5155578101665718558768288132[[#This Row],[Last Week]])/Table5155578101665718558768288132[[#This Row],[Last Week]]</calculatedColumnFormula>
    </tableColumn>
    <tableColumn id="5" xr3:uid="{D8E2A840-3EFD-E546-89B7-915F0DA09189}" name="Last Year" dataDxfId="483"/>
    <tableColumn id="6" xr3:uid="{99CC9E64-F467-624B-8B66-EAE86466CE7A}" name="Year to date" dataDxfId="482"/>
    <tableColumn id="7" xr3:uid="{E46F9FE1-0CB0-CF45-B7F4-44EC48FC6681}" name="Year to date 2019" dataDxfId="481"/>
    <tableColumn id="8" xr3:uid="{1C3111CD-2BC5-F141-A998-0A22981EEB66}" name="Lifetime" dataDxfId="480"/>
  </tableColumns>
  <tableStyleInfo name="TableStyleMedium9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F11B1152-B424-E04C-B7BA-1A52BEE84CED}" name="Table55456791564708453758187135" displayName="Table55456791564708453758187135" ref="A1:H6" totalsRowShown="0" headerRowDxfId="479" dataDxfId="478">
  <tableColumns count="8">
    <tableColumn id="1" xr3:uid="{4B38D9F9-8389-9140-8558-C77F8A7E10B1}" name="System" dataDxfId="477"/>
    <tableColumn id="2" xr3:uid="{9F30892A-8C9C-594A-986B-29B72601926A}" name="This Week" dataDxfId="476"/>
    <tableColumn id="3" xr3:uid="{2B678912-5F10-A644-B973-4565EBB4952C}" name="Last Week" dataDxfId="475"/>
    <tableColumn id="4" xr3:uid="{B6AB98AD-6B1A-9B4D-BFA3-9B5CE3157B0C}" name="Percentage change" dataDxfId="474">
      <calculatedColumnFormula>(Table55456791564708453758187135[[#This Row],[This Week]]-Table55456791564708453758187135[[#This Row],[Last Week]])/Table55456791564708453758187135[[#This Row],[Last Week]]</calculatedColumnFormula>
    </tableColumn>
    <tableColumn id="5" xr3:uid="{9C12500C-FD02-7841-8DDB-921561E6F71B}" name="Last Year" dataDxfId="473"/>
    <tableColumn id="6" xr3:uid="{5AAE04B4-F72B-8F45-BD01-0B122408835B}" name="Year to date" dataDxfId="472"/>
    <tableColumn id="7" xr3:uid="{C0EE8103-6FC2-B744-8A39-09025690B7B2}" name="Year to date 2019" dataDxfId="471"/>
    <tableColumn id="8" xr3:uid="{A380857E-4165-A24D-AA72-85CD7FC4D119}" name="Lifetime" dataDxfId="47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2A0BFFCE-5DB7-794B-AAC1-352EAFFFC46A}" name="Table515557" displayName="Table515557" ref="A8:H16" totalsRowShown="0" headerRowDxfId="1009" dataDxfId="1008">
  <sortState xmlns:xlrd2="http://schemas.microsoft.com/office/spreadsheetml/2017/richdata2" ref="A9:H16">
    <sortCondition descending="1" ref="B8:B16"/>
  </sortState>
  <tableColumns count="8">
    <tableColumn id="1" xr3:uid="{661A8F1B-0185-D84C-98F3-6B92777DB37C}" name="System" dataDxfId="1007"/>
    <tableColumn id="2" xr3:uid="{DAD5D398-B03E-614B-9DB0-D9C0EAB81228}" name="This Week" dataDxfId="1006"/>
    <tableColumn id="3" xr3:uid="{7BF55690-AF95-E941-95E4-B1C1A0C5012F}" name="Last Week" dataDxfId="1005"/>
    <tableColumn id="4" xr3:uid="{5CAE6A83-3C40-1645-897F-71785A19D1B2}" name="Percentage change" dataDxfId="1004">
      <calculatedColumnFormula>(Table515557[[#This Row],[This Week]]-Table515557[[#This Row],[Last Week]])/Table515557[[#This Row],[Last Week]]</calculatedColumnFormula>
    </tableColumn>
    <tableColumn id="5" xr3:uid="{DDAE6B40-94A2-1A45-BA2B-CA041452B6DA}" name="Last Year" dataDxfId="1003"/>
    <tableColumn id="6" xr3:uid="{755AB2FB-B182-F248-8FFA-659CF5F157C7}" name="Year to date" dataDxfId="1002"/>
    <tableColumn id="7" xr3:uid="{9B373445-C6A6-AF42-A50F-52D01909CC0F}" name="Year to date 2019" dataDxfId="1001"/>
    <tableColumn id="8" xr3:uid="{4BF5332D-6541-9349-97CD-A81AE034D3E8}" name="Lifetime" dataDxfId="1000"/>
  </tableColumns>
  <tableStyleInfo name="TableStyleMedium9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281D9E3A-1621-4C4A-A314-22ECD022F0B7}" name="Table5155578101665718558768288136" displayName="Table5155578101665718558768288136" ref="A8:H16" totalsRowShown="0" headerRowDxfId="469" dataDxfId="468">
  <sortState xmlns:xlrd2="http://schemas.microsoft.com/office/spreadsheetml/2017/richdata2" ref="A9:H16">
    <sortCondition descending="1" ref="B8:B16"/>
  </sortState>
  <tableColumns count="8">
    <tableColumn id="1" xr3:uid="{1BA898CD-6225-FC44-8CD0-536363B29BF1}" name="System" dataDxfId="467"/>
    <tableColumn id="2" xr3:uid="{5B1C8DCC-84EB-0E40-A62F-CD46C848AA06}" name="This Week" dataDxfId="466"/>
    <tableColumn id="3" xr3:uid="{7E4D14DF-97C8-244F-8AE6-129A43B77C14}" name="Last Week" dataDxfId="465"/>
    <tableColumn id="4" xr3:uid="{30B1BB8E-C6D0-2448-AC10-354E26AFD586}" name="Percentage change" dataDxfId="464">
      <calculatedColumnFormula>(Table5155578101665718558768288136[[#This Row],[This Week]]-Table5155578101665718558768288136[[#This Row],[Last Week]])/Table5155578101665718558768288136[[#This Row],[Last Week]]</calculatedColumnFormula>
    </tableColumn>
    <tableColumn id="5" xr3:uid="{3EEF6931-4DAA-6840-863B-25089F691E35}" name="Last Year" dataDxfId="463"/>
    <tableColumn id="6" xr3:uid="{453D053B-9CC4-7947-AA09-FEA52D027A3A}" name="Year to date" dataDxfId="462"/>
    <tableColumn id="7" xr3:uid="{4F646298-4CB2-F347-9403-99B344633328}" name="Year to date 2019" dataDxfId="461"/>
    <tableColumn id="8" xr3:uid="{89DAC9DC-370E-024D-BF84-38EAE4B2EBB1}" name="Lifetime" dataDxfId="460"/>
  </tableColumns>
  <tableStyleInfo name="TableStyleMedium9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77227E3B-333E-4242-B0BF-DE8952E54FA3}" name="Table55456791564708453758187139" displayName="Table55456791564708453758187139" ref="A1:H6" totalsRowShown="0" headerRowDxfId="459" dataDxfId="458">
  <tableColumns count="8">
    <tableColumn id="1" xr3:uid="{656C07DE-7E0D-9F45-B3A9-249A1193C87C}" name="System" dataDxfId="457"/>
    <tableColumn id="2" xr3:uid="{0BC8A46F-C13A-144C-B9CC-024112DA33ED}" name="This Week" dataDxfId="456"/>
    <tableColumn id="3" xr3:uid="{2581A3EF-B396-9347-A772-340F10B7373D}" name="Last Week" dataDxfId="455"/>
    <tableColumn id="4" xr3:uid="{58F57579-3F74-9C44-BE6C-6533A4E677F5}" name="Percentage change" dataDxfId="454">
      <calculatedColumnFormula>(Table55456791564708453758187139[[#This Row],[This Week]]-Table55456791564708453758187139[[#This Row],[Last Week]])/Table55456791564708453758187139[[#This Row],[Last Week]]</calculatedColumnFormula>
    </tableColumn>
    <tableColumn id="5" xr3:uid="{2E045F3A-04CA-F74F-B5D1-EFADDA739E82}" name="Last Year" dataDxfId="453"/>
    <tableColumn id="6" xr3:uid="{4BA85B86-D3E1-1C4C-951A-6C4E75401C9B}" name="Year to date" dataDxfId="452"/>
    <tableColumn id="7" xr3:uid="{A05D798D-698D-054F-B43E-EB325A9E6A1D}" name="Year to date 2019" dataDxfId="451"/>
    <tableColumn id="8" xr3:uid="{64D38283-4C72-7748-8477-F9B9B355AFAA}" name="Lifetime" dataDxfId="450"/>
  </tableColumns>
  <tableStyleInfo name="TableStyleMedium9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55ACE16B-CB3A-2D47-866F-690BA585125B}" name="Table5155578101665718558768288140" displayName="Table5155578101665718558768288140" ref="A8:H16" totalsRowShown="0" headerRowDxfId="449" dataDxfId="448">
  <sortState xmlns:xlrd2="http://schemas.microsoft.com/office/spreadsheetml/2017/richdata2" ref="A9:H16">
    <sortCondition descending="1" ref="B8:B16"/>
  </sortState>
  <tableColumns count="8">
    <tableColumn id="1" xr3:uid="{8437556D-891F-9343-9C00-17376AA25C71}" name="System" dataDxfId="447"/>
    <tableColumn id="2" xr3:uid="{532D0D4E-4CB0-6D4A-9B09-CD037CB66A09}" name="This Week" dataDxfId="446"/>
    <tableColumn id="3" xr3:uid="{A55C5517-EE29-DC44-B391-23A77DFFC32D}" name="Last Week" dataDxfId="445"/>
    <tableColumn id="4" xr3:uid="{7D175096-8A0C-8540-A327-61D46C6F7A30}" name="Percentage change" dataDxfId="444">
      <calculatedColumnFormula>(Table5155578101665718558768288140[[#This Row],[This Week]]-Table5155578101665718558768288140[[#This Row],[Last Week]])/Table5155578101665718558768288140[[#This Row],[Last Week]]</calculatedColumnFormula>
    </tableColumn>
    <tableColumn id="5" xr3:uid="{52961D6F-D35E-7345-B99B-3062C54926FC}" name="Last Year" dataDxfId="443"/>
    <tableColumn id="6" xr3:uid="{ED429033-81C0-9843-89FB-813C740CBD6D}" name="Year to date" dataDxfId="442"/>
    <tableColumn id="7" xr3:uid="{EDEC92B6-56C9-A746-8EA1-C531301BE4A6}" name="Year to date 2019" dataDxfId="441"/>
    <tableColumn id="8" xr3:uid="{423B7421-8390-974C-AAA1-A04057E10F6B}" name="Lifetime" dataDxfId="440"/>
  </tableColumns>
  <tableStyleInfo name="TableStyleMedium9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76EBA5BF-95FC-7C48-A562-5A9E4AB05B9C}" name="Table55456791564708453758187143" displayName="Table55456791564708453758187143" ref="A1:H6" totalsRowShown="0" headerRowDxfId="439" dataDxfId="438">
  <tableColumns count="8">
    <tableColumn id="1" xr3:uid="{F66DE770-FE7E-834D-98BE-5CD9D79ACE1A}" name="System" dataDxfId="437"/>
    <tableColumn id="2" xr3:uid="{34531BE8-FC8C-2741-8DF4-6E82A048BB55}" name="This Week" dataDxfId="436"/>
    <tableColumn id="3" xr3:uid="{B7566268-A352-A34F-8D6A-B314EE4695FD}" name="Last Week" dataDxfId="435"/>
    <tableColumn id="4" xr3:uid="{729D4B3E-7904-C34E-8315-B9D99539F8FA}" name="Percentage change" dataDxfId="434">
      <calculatedColumnFormula>(Table55456791564708453758187143[[#This Row],[This Week]]-Table55456791564708453758187143[[#This Row],[Last Week]])/Table55456791564708453758187143[[#This Row],[Last Week]]</calculatedColumnFormula>
    </tableColumn>
    <tableColumn id="5" xr3:uid="{ADF33BE1-6C7D-4742-9F16-3E87C8BED2A6}" name="Last Year" dataDxfId="433"/>
    <tableColumn id="6" xr3:uid="{A94E8009-C4F7-AE40-BA8C-406D7C081D7F}" name="Year to date" dataDxfId="432"/>
    <tableColumn id="7" xr3:uid="{FE074AE4-672E-3541-80F3-41E09B3B91FD}" name="Year to date 2019" dataDxfId="431"/>
    <tableColumn id="8" xr3:uid="{B0CB6701-B4F0-2849-BA60-9D368391BD81}" name="Lifetime" dataDxfId="430"/>
  </tableColumns>
  <tableStyleInfo name="TableStyleMedium9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8DA93C61-5A71-D641-90BC-6BBC82FE0061}" name="Table5155578101665718558768288144" displayName="Table5155578101665718558768288144" ref="A8:H16" totalsRowShown="0" headerRowDxfId="429" dataDxfId="428">
  <sortState xmlns:xlrd2="http://schemas.microsoft.com/office/spreadsheetml/2017/richdata2" ref="A9:H16">
    <sortCondition descending="1" ref="B8:B16"/>
  </sortState>
  <tableColumns count="8">
    <tableColumn id="1" xr3:uid="{50C865EE-D757-C546-B636-9B4CE9D7DECA}" name="System" dataDxfId="427"/>
    <tableColumn id="2" xr3:uid="{150F43A9-ECA6-6448-8A93-BFA08624C5E2}" name="This Week" dataDxfId="426"/>
    <tableColumn id="3" xr3:uid="{4B6375A0-9CDD-7748-A322-765C984DDA8E}" name="Last Week" dataDxfId="425"/>
    <tableColumn id="4" xr3:uid="{0CEF2368-48A1-BB45-8D3A-487E0DCE69E5}" name="Percentage change" dataDxfId="424">
      <calculatedColumnFormula>(Table5155578101665718558768288144[[#This Row],[This Week]]-Table5155578101665718558768288144[[#This Row],[Last Week]])/Table5155578101665718558768288144[[#This Row],[Last Week]]</calculatedColumnFormula>
    </tableColumn>
    <tableColumn id="5" xr3:uid="{AAF22BAE-E712-D043-8B98-FD7521E0256A}" name="Last Year" dataDxfId="423"/>
    <tableColumn id="6" xr3:uid="{2A889762-98E0-5848-A50C-71ECA6FDAA85}" name="Year to date" dataDxfId="422"/>
    <tableColumn id="7" xr3:uid="{EC060A0D-CB46-B942-8F76-780CDC40FE1C}" name="Year to date 2019" dataDxfId="421"/>
    <tableColumn id="8" xr3:uid="{91E51DBD-C5FA-1C44-9393-7A93BB6A5E77}" name="Lifetime" dataDxfId="420"/>
  </tableColumns>
  <tableStyleInfo name="TableStyleMedium9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2BD50F44-FE89-7541-8C03-724FB6E09C07}" name="Table55456791564708453758187147" displayName="Table55456791564708453758187147" ref="A1:H6" totalsRowShown="0" headerRowDxfId="419" dataDxfId="418">
  <tableColumns count="8">
    <tableColumn id="1" xr3:uid="{FBA80FFA-6CA1-C74D-88A3-C14BDA1B5E88}" name="System" dataDxfId="417"/>
    <tableColumn id="2" xr3:uid="{6424F5B5-E109-E24A-B646-A4FDA2EA1A3E}" name="This Week" dataDxfId="416"/>
    <tableColumn id="3" xr3:uid="{97D6FD32-FCF0-9D48-B6D5-04E088DB766E}" name="Last Week" dataDxfId="415"/>
    <tableColumn id="4" xr3:uid="{26D47B6F-1047-BB44-B57E-0C4F936B2F8F}" name="Percentage change" dataDxfId="414">
      <calculatedColumnFormula>(Table55456791564708453758187147[[#This Row],[This Week]]-Table55456791564708453758187147[[#This Row],[Last Week]])/Table55456791564708453758187147[[#This Row],[Last Week]]</calculatedColumnFormula>
    </tableColumn>
    <tableColumn id="5" xr3:uid="{D392243E-B396-0F43-8BF8-6DA171FE62D1}" name="Last Year" dataDxfId="413"/>
    <tableColumn id="6" xr3:uid="{764B55A8-E385-DE4C-8CC7-4AF3989239EE}" name="Year to date" dataDxfId="412"/>
    <tableColumn id="7" xr3:uid="{65669713-C05A-8345-A00A-AFCE1581A236}" name="Year to date 2019" dataDxfId="411"/>
    <tableColumn id="8" xr3:uid="{D3798626-045A-C846-AC10-79B97064F756}" name="Lifetime" dataDxfId="410"/>
  </tableColumns>
  <tableStyleInfo name="TableStyleMedium9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D52DEE37-7CC0-574A-B2A7-5949A4DC214D}" name="Table5155578101665718558768288148" displayName="Table5155578101665718558768288148" ref="A8:H16" totalsRowShown="0" headerRowDxfId="409" dataDxfId="408">
  <sortState xmlns:xlrd2="http://schemas.microsoft.com/office/spreadsheetml/2017/richdata2" ref="A9:H16">
    <sortCondition descending="1" ref="B8:B16"/>
  </sortState>
  <tableColumns count="8">
    <tableColumn id="1" xr3:uid="{61E8127A-0C8D-114D-BA84-6E9C7900CAAF}" name="System" dataDxfId="407"/>
    <tableColumn id="2" xr3:uid="{F7F21DA3-07CF-E748-85AF-A06CCE0CBEB8}" name="This Week" dataDxfId="406"/>
    <tableColumn id="3" xr3:uid="{75F6CCAE-E00D-4643-BB07-6BAFAEFF7872}" name="Last Week" dataDxfId="405"/>
    <tableColumn id="4" xr3:uid="{33820F4E-BCD8-C144-A272-C25F9FE84C2E}" name="Percentage change" dataDxfId="404">
      <calculatedColumnFormula>(Table5155578101665718558768288148[[#This Row],[This Week]]-Table5155578101665718558768288148[[#This Row],[Last Week]])/Table5155578101665718558768288148[[#This Row],[Last Week]]</calculatedColumnFormula>
    </tableColumn>
    <tableColumn id="5" xr3:uid="{BD710D38-8EFB-694A-8768-88B99BBE87C1}" name="Last Year" dataDxfId="403"/>
    <tableColumn id="6" xr3:uid="{4E8D607A-1FC1-044E-8E0E-36014D44E0BA}" name="Year to date" dataDxfId="402"/>
    <tableColumn id="7" xr3:uid="{C8A845DF-3E1C-6545-9E51-DF5827EC2FF1}" name="Year to date 2019" dataDxfId="401"/>
    <tableColumn id="8" xr3:uid="{E2918E7E-3231-3D48-9B3B-B4896C27125D}" name="Lifetime" dataDxfId="400"/>
  </tableColumns>
  <tableStyleInfo name="TableStyleMedium9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188445D1-4881-4445-9B9C-AC93386BCE42}" name="Table55456791564708453758187151" displayName="Table55456791564708453758187151" ref="A1:H6" totalsRowShown="0" headerRowDxfId="399" dataDxfId="398">
  <tableColumns count="8">
    <tableColumn id="1" xr3:uid="{92308BDD-8579-B243-99AE-8E3A9E3299DB}" name="System" dataDxfId="397"/>
    <tableColumn id="2" xr3:uid="{88E9A7C7-EF5A-0240-B939-9E5CA8A7A519}" name="This Week" dataDxfId="396"/>
    <tableColumn id="3" xr3:uid="{A3AE9A8A-C42C-DE45-A47D-D5090C1C8716}" name="Last Week" dataDxfId="395"/>
    <tableColumn id="4" xr3:uid="{9BE5CA4F-1A52-E646-B2EB-983813CB3CE3}" name="Percentage change" dataDxfId="394">
      <calculatedColumnFormula>(Table55456791564708453758187151[[#This Row],[This Week]]-Table55456791564708453758187151[[#This Row],[Last Week]])/Table55456791564708453758187151[[#This Row],[Last Week]]</calculatedColumnFormula>
    </tableColumn>
    <tableColumn id="5" xr3:uid="{5D9E4BF1-2871-B244-8A3B-877D4A78EA25}" name="Last Year" dataDxfId="393"/>
    <tableColumn id="6" xr3:uid="{66550DEC-DE8E-7846-898B-8808FD6A3DDA}" name="Year to date" dataDxfId="392"/>
    <tableColumn id="7" xr3:uid="{DD9B9DD2-6B26-6042-B5C6-06198C6A6374}" name="Year to date 2019" dataDxfId="391"/>
    <tableColumn id="8" xr3:uid="{61221EB3-4E29-EC49-8B04-C841DB69C6C3}" name="Lifetime" dataDxfId="390"/>
  </tableColumns>
  <tableStyleInfo name="TableStyleMedium9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263B9781-3478-854A-81FC-F4950550334A}" name="Table5155578101665718558768288152" displayName="Table5155578101665718558768288152" ref="A8:H16" totalsRowShown="0" headerRowDxfId="389" dataDxfId="388">
  <sortState xmlns:xlrd2="http://schemas.microsoft.com/office/spreadsheetml/2017/richdata2" ref="A9:H16">
    <sortCondition descending="1" ref="B8:B16"/>
  </sortState>
  <tableColumns count="8">
    <tableColumn id="1" xr3:uid="{178B9E8F-6D48-544E-82F4-2375BA66F78E}" name="System" dataDxfId="387"/>
    <tableColumn id="2" xr3:uid="{7FE77C7C-8B65-934E-AF62-DD488DDEF5E8}" name="This Week" dataDxfId="386"/>
    <tableColumn id="3" xr3:uid="{ECDDBF7E-0608-784F-A053-70D5A55867D1}" name="Last Week" dataDxfId="385"/>
    <tableColumn id="4" xr3:uid="{21C34352-89C4-FD4B-8E1B-AE8EBB3C1CAE}" name="Percentage change" dataDxfId="384">
      <calculatedColumnFormula>(Table5155578101665718558768288152[[#This Row],[This Week]]-Table5155578101665718558768288152[[#This Row],[Last Week]])/Table5155578101665718558768288152[[#This Row],[Last Week]]</calculatedColumnFormula>
    </tableColumn>
    <tableColumn id="5" xr3:uid="{B3AAA93A-8BEC-7B44-BF24-E5D25032B1A4}" name="Last Year" dataDxfId="383"/>
    <tableColumn id="6" xr3:uid="{EBF18535-5E49-0541-8973-56FC0C7A9BA0}" name="Year to date" dataDxfId="382"/>
    <tableColumn id="7" xr3:uid="{DF51E85F-538C-804D-9219-D764D6CCE597}" name="Year to date 2019" dataDxfId="381"/>
    <tableColumn id="8" xr3:uid="{D1114389-B0A2-A042-AC67-BD0F75CA630E}" name="Lifetime" dataDxfId="380"/>
  </tableColumns>
  <tableStyleInfo name="TableStyleMedium9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B413503B-AFB6-5F42-98BF-BDA2F1CF8BDC}" name="Table55456791564708453758187151155" displayName="Table55456791564708453758187151155" ref="A1:H6" totalsRowShown="0" headerRowDxfId="379" dataDxfId="378">
  <tableColumns count="8">
    <tableColumn id="1" xr3:uid="{8F56EFDB-89EC-3248-8C1E-F7C53FE6EB68}" name="System" dataDxfId="377"/>
    <tableColumn id="2" xr3:uid="{E86CB8A4-7E17-F54A-AB26-945BBE0175C6}" name="This Week" dataDxfId="376"/>
    <tableColumn id="3" xr3:uid="{5D2E3823-135D-784D-9F1B-4D4C82CF77E8}" name="Last Week" dataDxfId="375"/>
    <tableColumn id="4" xr3:uid="{42A6800C-62E2-9C4F-867E-675D9A3AF3D7}" name="Percentage change" dataDxfId="374">
      <calculatedColumnFormula>(Table55456791564708453758187151155[[#This Row],[This Week]]-Table55456791564708453758187151155[[#This Row],[Last Week]])/Table55456791564708453758187151155[[#This Row],[Last Week]]</calculatedColumnFormula>
    </tableColumn>
    <tableColumn id="5" xr3:uid="{B4AB077D-FD9F-AB4D-B2A1-486F8A4A4B53}" name="Last Year" dataDxfId="373"/>
    <tableColumn id="6" xr3:uid="{A8B2F7AD-75A3-644C-B125-E77A2D9EEB6C}" name="Year to date" dataDxfId="372"/>
    <tableColumn id="7" xr3:uid="{41747DF0-829A-5045-B857-8126E1DB667C}" name="Year to date 2019" dataDxfId="371"/>
    <tableColumn id="8" xr3:uid="{E16E48EB-0C87-BE47-B91D-23721FDF0764}" name="Lifetime" dataDxfId="37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5446E2E-DC64-B84F-98E7-2DCB7C0BAEED}" name="Table554567" displayName="Table554567" ref="A1:H6" totalsRowShown="0" headerRowDxfId="999" dataDxfId="998">
  <tableColumns count="8">
    <tableColumn id="1" xr3:uid="{E754B918-5ABE-3A46-BD3C-EAC626162053}" name="System" dataDxfId="997"/>
    <tableColumn id="2" xr3:uid="{18C6E90A-2E29-0242-B938-CBDC95EA8986}" name="This Week" dataDxfId="996"/>
    <tableColumn id="3" xr3:uid="{CD385D40-9A97-FA40-81A1-7A6DCDBC5D15}" name="Last Week" dataDxfId="995"/>
    <tableColumn id="4" xr3:uid="{C76ACAE2-35AA-F445-80D6-961628B021A9}" name="Percentage change" dataDxfId="994">
      <calculatedColumnFormula>(#REF!-#REF!)/#REF!</calculatedColumnFormula>
    </tableColumn>
    <tableColumn id="5" xr3:uid="{46614C76-636A-414F-ABCC-90A0B09BC282}" name="Last Year" dataDxfId="993"/>
    <tableColumn id="6" xr3:uid="{3E2EE814-0C42-1648-8CEE-C0BC77779E29}" name="Year to date" dataDxfId="992"/>
    <tableColumn id="7" xr3:uid="{807DFB3E-4264-C24D-8649-E442636897EE}" name="Year to date 2019" dataDxfId="991"/>
    <tableColumn id="8" xr3:uid="{72F0D427-5DC2-3E4C-8E66-D3E23CEC6E33}" name="Lifetime" dataDxfId="990"/>
  </tableColumns>
  <tableStyleInfo name="TableStyleMedium9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F3BEBF33-5D24-844C-9087-03EF16602BF3}" name="Table5155578101665718558768288152156" displayName="Table5155578101665718558768288152156" ref="A8:H16" totalsRowShown="0" headerRowDxfId="369" dataDxfId="368">
  <sortState xmlns:xlrd2="http://schemas.microsoft.com/office/spreadsheetml/2017/richdata2" ref="A9:H16">
    <sortCondition descending="1" ref="B8:B16"/>
  </sortState>
  <tableColumns count="8">
    <tableColumn id="1" xr3:uid="{9B21B7F5-C634-6349-9505-1CB30813BFFE}" name="System" dataDxfId="367"/>
    <tableColumn id="2" xr3:uid="{39CC4CE4-B713-9143-8AF9-9176C82BAEDE}" name="This Week" dataDxfId="366"/>
    <tableColumn id="3" xr3:uid="{A050C7E5-2D1A-6140-9AF7-9409C4C79925}" name="Last Week" dataDxfId="365"/>
    <tableColumn id="4" xr3:uid="{551F2B2A-B94D-5F4D-A959-31F27714A513}" name="Percentage change" dataDxfId="364">
      <calculatedColumnFormula>(Table5155578101665718558768288152156[[#This Row],[This Week]]-Table5155578101665718558768288152156[[#This Row],[Last Week]])/Table5155578101665718558768288152156[[#This Row],[Last Week]]</calculatedColumnFormula>
    </tableColumn>
    <tableColumn id="5" xr3:uid="{B5B90FDE-7DBF-E94E-9F6A-AF7CE7D48B1E}" name="Last Year" dataDxfId="363"/>
    <tableColumn id="6" xr3:uid="{56236025-1FD1-5946-86BB-79369A914D91}" name="Year to date" dataDxfId="362"/>
    <tableColumn id="7" xr3:uid="{3D15AFFF-CF10-724C-A6D0-901D05424333}" name="Year to date 2019" dataDxfId="361"/>
    <tableColumn id="8" xr3:uid="{607CDA02-8CB9-224D-90DD-7EC8B4846388}" name="Lifetime" dataDxfId="360"/>
  </tableColumns>
  <tableStyleInfo name="TableStyleMedium9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08DBCD0E-4A46-FD47-9F3F-3F6F6450214C}" name="Table55456791564708453758187151159" displayName="Table55456791564708453758187151159" ref="A1:H6" totalsRowShown="0" headerRowDxfId="359" dataDxfId="358">
  <tableColumns count="8">
    <tableColumn id="1" xr3:uid="{B3728A77-020D-3143-8710-B0FE4E48C951}" name="System" dataDxfId="357"/>
    <tableColumn id="2" xr3:uid="{5656870E-BA6E-C04D-94BE-3E0DDB160229}" name="This Week" dataDxfId="356"/>
    <tableColumn id="3" xr3:uid="{935B9F70-5724-4B42-8431-2C650FD14D17}" name="Last Week" dataDxfId="355"/>
    <tableColumn id="4" xr3:uid="{85AB0EA0-28FF-9840-8ADA-F2F6F24F845B}" name="Percentage change" dataDxfId="354">
      <calculatedColumnFormula>(Table55456791564708453758187151159[[#This Row],[This Week]]-Table55456791564708453758187151159[[#This Row],[Last Week]])/Table55456791564708453758187151159[[#This Row],[Last Week]]</calculatedColumnFormula>
    </tableColumn>
    <tableColumn id="5" xr3:uid="{7C819808-0FBB-0F42-A3C9-50C621CA4AF2}" name="Last Year" dataDxfId="353"/>
    <tableColumn id="6" xr3:uid="{6D5A3587-8952-D940-88EE-B1412040E820}" name="Year to date" dataDxfId="352"/>
    <tableColumn id="7" xr3:uid="{EE0D4CC8-65E1-734A-88E6-9597BE90AFFD}" name="Year to date 2019" dataDxfId="351"/>
    <tableColumn id="8" xr3:uid="{658635E9-6C18-304C-9E6B-9D4035E24895}" name="Lifetime" dataDxfId="350"/>
  </tableColumns>
  <tableStyleInfo name="TableStyleMedium9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99234334-742D-1D48-AC41-9D531356CD6D}" name="Table5155578101665718558768288152160" displayName="Table5155578101665718558768288152160" ref="A8:H16" totalsRowShown="0" headerRowDxfId="349" dataDxfId="348">
  <sortState xmlns:xlrd2="http://schemas.microsoft.com/office/spreadsheetml/2017/richdata2" ref="A9:H16">
    <sortCondition descending="1" ref="B8:B16"/>
  </sortState>
  <tableColumns count="8">
    <tableColumn id="1" xr3:uid="{D5E400B4-837F-C946-8CEE-9475013BB289}" name="System" dataDxfId="347"/>
    <tableColumn id="2" xr3:uid="{08E6605D-4E8D-0645-B108-68237FD75895}" name="This Week" dataDxfId="346"/>
    <tableColumn id="3" xr3:uid="{E0A45EA5-B539-C044-9DAD-8CEF076567BF}" name="Last Week" dataDxfId="345"/>
    <tableColumn id="4" xr3:uid="{15254B69-D935-2A41-A9F6-4157A1C494A0}" name="Percentage change" dataDxfId="344">
      <calculatedColumnFormula>(Table5155578101665718558768288152160[[#This Row],[This Week]]-Table5155578101665718558768288152160[[#This Row],[Last Week]])/Table5155578101665718558768288152160[[#This Row],[Last Week]]</calculatedColumnFormula>
    </tableColumn>
    <tableColumn id="5" xr3:uid="{881035CD-4778-DB47-996C-3AC7C3C1CCD5}" name="Last Year" dataDxfId="343"/>
    <tableColumn id="6" xr3:uid="{CBA1486A-6C42-EA4D-B332-CE23654B9480}" name="Year to date" dataDxfId="342"/>
    <tableColumn id="7" xr3:uid="{FE92DB8A-0CF3-9544-B032-E45990B788DE}" name="Year to date 2019" dataDxfId="341"/>
    <tableColumn id="8" xr3:uid="{B1CDEA3A-03AD-8948-A936-C304E1A60E78}" name="Lifetime" dataDxfId="340"/>
  </tableColumns>
  <tableStyleInfo name="TableStyleMedium9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0DF13FE3-FBBD-A842-812D-8C724D37EB94}" name="Table55456791564708453758187151163" displayName="Table55456791564708453758187151163" ref="A1:H6" totalsRowShown="0" headerRowDxfId="339" dataDxfId="338">
  <tableColumns count="8">
    <tableColumn id="1" xr3:uid="{6E701821-07A2-C942-8B46-408ACB83EA5D}" name="System" dataDxfId="337"/>
    <tableColumn id="2" xr3:uid="{2A1E6BDB-D6CF-C44C-8329-F0B9730D8C29}" name="This Week" dataDxfId="336"/>
    <tableColumn id="3" xr3:uid="{5DF9F591-4360-054B-B893-191B1F49F667}" name="Last Week" dataDxfId="335"/>
    <tableColumn id="4" xr3:uid="{C462D190-5B31-1C42-A5BD-C17D2774BEED}" name="Percentage change" dataDxfId="334">
      <calculatedColumnFormula>(Table55456791564708453758187151163[[#This Row],[This Week]]-Table55456791564708453758187151163[[#This Row],[Last Week]])/Table55456791564708453758187151163[[#This Row],[Last Week]]</calculatedColumnFormula>
    </tableColumn>
    <tableColumn id="5" xr3:uid="{35658C79-E986-BA4C-9884-9E4B4B54EB85}" name="Last Year" dataDxfId="333"/>
    <tableColumn id="6" xr3:uid="{B0368F5C-76F4-FC42-A289-83BE7C1B5BB4}" name="Year to date" dataDxfId="332"/>
    <tableColumn id="7" xr3:uid="{D427198B-69A9-4E47-8F00-811EFD11586E}" name="Year to date 2019" dataDxfId="331"/>
    <tableColumn id="8" xr3:uid="{C7F7CCCB-DE4F-D441-816E-EFD6C506D248}" name="Lifetime" dataDxfId="330"/>
  </tableColumns>
  <tableStyleInfo name="TableStyleMedium9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2F9ED28D-F8EF-9541-9FA1-1A211BD1217B}" name="Table5155578101665718558768288152164" displayName="Table5155578101665718558768288152164" ref="A8:H16" totalsRowShown="0" headerRowDxfId="329" dataDxfId="328">
  <sortState xmlns:xlrd2="http://schemas.microsoft.com/office/spreadsheetml/2017/richdata2" ref="A9:H16">
    <sortCondition descending="1" ref="B8:B16"/>
  </sortState>
  <tableColumns count="8">
    <tableColumn id="1" xr3:uid="{0C01D5F7-00FC-7E44-BC6E-6605544C4825}" name="System" dataDxfId="327"/>
    <tableColumn id="2" xr3:uid="{8DCBC354-D511-6343-AABE-313C7E714299}" name="This Week" dataDxfId="326"/>
    <tableColumn id="3" xr3:uid="{1D5B9999-5633-6E4B-8946-AF78C47BB21D}" name="Last Week" dataDxfId="325"/>
    <tableColumn id="4" xr3:uid="{3B3DFDC9-872E-B44A-848B-BA4F4E65FF82}" name="Percentage change" dataDxfId="324">
      <calculatedColumnFormula>(Table5155578101665718558768288152164[[#This Row],[This Week]]-Table5155578101665718558768288152164[[#This Row],[Last Week]])/Table5155578101665718558768288152164[[#This Row],[Last Week]]</calculatedColumnFormula>
    </tableColumn>
    <tableColumn id="5" xr3:uid="{023389C0-2A7E-2D48-94BA-4C5108C991E7}" name="Last Year" dataDxfId="323"/>
    <tableColumn id="6" xr3:uid="{7892F511-1198-844F-A6D7-5A0686B1883D}" name="Year to date" dataDxfId="322"/>
    <tableColumn id="7" xr3:uid="{22085D29-4953-CB47-BB6E-26B9046BBDE9}" name="Year to date 2019" dataDxfId="321"/>
    <tableColumn id="8" xr3:uid="{835794B8-E480-E94E-868F-4B94D76055CB}" name="Lifetime" dataDxfId="320"/>
  </tableColumns>
  <tableStyleInfo name="TableStyleMedium9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51F33235-EDCB-6B4C-8BAB-AB6C8C11B165}" name="Table55456791564708453758187119167" displayName="Table55456791564708453758187119167" ref="A1:H6" totalsRowShown="0" headerRowDxfId="319" dataDxfId="318">
  <tableColumns count="8">
    <tableColumn id="1" xr3:uid="{A1D2D86B-823A-A342-8E2D-A0DCC4C0D0C8}" name="System" dataDxfId="317"/>
    <tableColumn id="2" xr3:uid="{096333E2-D7E4-7E47-AB62-C3CC5CFC3A30}" name="This Week" dataDxfId="316"/>
    <tableColumn id="3" xr3:uid="{E7D40C5C-0728-F842-8CA9-6B63F41EA029}" name="Last Week" dataDxfId="315"/>
    <tableColumn id="4" xr3:uid="{CC0DA84B-6EB4-4C44-A1A7-4C26FF7423F2}" name="Percentage change" dataDxfId="314">
      <calculatedColumnFormula>(Table55456791564708453758187119167[[#This Row],[This Week]]-Table55456791564708453758187119167[[#This Row],[Last Week]])/Table55456791564708453758187119167[[#This Row],[Last Week]]</calculatedColumnFormula>
    </tableColumn>
    <tableColumn id="5" xr3:uid="{51ECC65D-C15B-5B4F-A6F4-85CFBEBE991F}" name="Last Year" dataDxfId="313"/>
    <tableColumn id="6" xr3:uid="{9579A546-9742-EB4B-AE42-54D636304E84}" name="Year to date" dataDxfId="312"/>
    <tableColumn id="7" xr3:uid="{2F4476C7-A7A6-144F-A335-C1EA45CF8634}" name="Year to date 2019" dataDxfId="311"/>
    <tableColumn id="8" xr3:uid="{63BDD804-F55C-964A-9282-3B9610792FCA}" name="Lifetime" dataDxfId="310"/>
  </tableColumns>
  <tableStyleInfo name="TableStyleMedium9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E252B7C5-4972-0547-ABB0-81290E78AA05}" name="Table5155578101665718558768288120168" displayName="Table5155578101665718558768288120168" ref="A8:H16" totalsRowShown="0" headerRowDxfId="309" dataDxfId="308">
  <sortState xmlns:xlrd2="http://schemas.microsoft.com/office/spreadsheetml/2017/richdata2" ref="A9:H16">
    <sortCondition descending="1" ref="B8:B16"/>
  </sortState>
  <tableColumns count="8">
    <tableColumn id="1" xr3:uid="{8EF67300-CEBF-AB45-B22A-F1B9A3E9C3D5}" name="System" dataDxfId="307"/>
    <tableColumn id="2" xr3:uid="{548CCAA8-0B42-174B-8D15-3699CC6CDBC9}" name="This Week" dataDxfId="306"/>
    <tableColumn id="3" xr3:uid="{68418808-2196-5041-8E6B-0CD3BDE71B62}" name="Last Week" dataDxfId="305"/>
    <tableColumn id="4" xr3:uid="{D1E9AC4D-5B6E-7241-B3A7-7C09BAD46313}" name="Percentage change" dataDxfId="304">
      <calculatedColumnFormula>(Table5155578101665718558768288120168[[#This Row],[This Week]]-Table5155578101665718558768288120168[[#This Row],[Last Week]])/Table5155578101665718558768288120168[[#This Row],[Last Week]]</calculatedColumnFormula>
    </tableColumn>
    <tableColumn id="5" xr3:uid="{32F0FBA0-A246-FC4C-B8C2-EBBB0231F03A}" name="Last Year" dataDxfId="303"/>
    <tableColumn id="6" xr3:uid="{D62AF6E0-2F4F-714F-9555-6BE10195FF7A}" name="Year to date" dataDxfId="302"/>
    <tableColumn id="7" xr3:uid="{FE3D539B-5F04-8948-B95C-1A3433DCB216}" name="Year to date 2019" dataDxfId="301"/>
    <tableColumn id="8" xr3:uid="{A66C28D7-6A14-7749-8BAC-2AC9C7CD4C8F}" name="Lifetime" dataDxfId="300"/>
  </tableColumns>
  <tableStyleInfo name="TableStyleMedium9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ABD92991-5ECA-A149-945F-58223FDCE25F}" name="Table55456791564708453758187119171" displayName="Table55456791564708453758187119171" ref="A1:H6" totalsRowShown="0" headerRowDxfId="299" dataDxfId="298">
  <tableColumns count="8">
    <tableColumn id="1" xr3:uid="{66D264F4-09C6-ED4B-BC8D-3184A9370CE0}" name="System" dataDxfId="297"/>
    <tableColumn id="2" xr3:uid="{CCEE99AD-C81B-BD47-8ABE-8C4B4985ED53}" name="This Week" dataDxfId="296"/>
    <tableColumn id="3" xr3:uid="{479AE516-4141-0348-9C62-A98E960B08E4}" name="Last Week" dataDxfId="295"/>
    <tableColumn id="4" xr3:uid="{B87D6100-E811-8046-AEDF-D60C8E1E0274}" name="Percentage change" dataDxfId="294">
      <calculatedColumnFormula>(Table55456791564708453758187119171[[#This Row],[This Week]]-Table55456791564708453758187119171[[#This Row],[Last Week]])/Table55456791564708453758187119171[[#This Row],[Last Week]]</calculatedColumnFormula>
    </tableColumn>
    <tableColumn id="5" xr3:uid="{C4D284DD-8C59-9B48-B3CD-2BE2974EC6DD}" name="Last Year" dataDxfId="293"/>
    <tableColumn id="6" xr3:uid="{D0C7A2B9-01DE-D84F-9469-4DF622D72BBD}" name="Year to date" dataDxfId="292"/>
    <tableColumn id="7" xr3:uid="{C713BABD-5552-AA44-9688-5C989D029642}" name="Year to date 2019" dataDxfId="291"/>
    <tableColumn id="8" xr3:uid="{B31EEA94-DD24-D345-9D8D-D014B9FAC4DE}" name="Lifetime" dataDxfId="290"/>
  </tableColumns>
  <tableStyleInfo name="TableStyleMedium9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422DFD8B-8421-EA4F-807B-8B1CD4C20820}" name="Table5155578101665718558768288120172" displayName="Table5155578101665718558768288120172" ref="A8:H16" totalsRowShown="0" headerRowDxfId="289" dataDxfId="288">
  <sortState xmlns:xlrd2="http://schemas.microsoft.com/office/spreadsheetml/2017/richdata2" ref="A9:H16">
    <sortCondition descending="1" ref="B8:B16"/>
  </sortState>
  <tableColumns count="8">
    <tableColumn id="1" xr3:uid="{564C9CE7-BD3D-324E-8023-E2977E0D48A4}" name="System" dataDxfId="287"/>
    <tableColumn id="2" xr3:uid="{FE32C635-94A2-AC40-BF6F-D1930B97D194}" name="This Week" dataDxfId="286"/>
    <tableColumn id="3" xr3:uid="{3DE50044-92AE-304A-A142-560AF209D2F6}" name="Last Week" dataDxfId="285"/>
    <tableColumn id="4" xr3:uid="{7F2094BB-BA0D-144C-9980-E4865691D62E}" name="Percentage change" dataDxfId="284">
      <calculatedColumnFormula>(Table5155578101665718558768288120172[[#This Row],[This Week]]-Table5155578101665718558768288120172[[#This Row],[Last Week]])/Table5155578101665718558768288120172[[#This Row],[Last Week]]</calculatedColumnFormula>
    </tableColumn>
    <tableColumn id="5" xr3:uid="{9CC46B84-D5FE-B54A-9DCE-0C0874B6A2F2}" name="Last Year" dataDxfId="283"/>
    <tableColumn id="6" xr3:uid="{84C73419-F66F-BB4A-8930-5ADFFF4697A1}" name="Year to date" dataDxfId="282"/>
    <tableColumn id="7" xr3:uid="{F9DECE86-050E-6247-9641-0C92EC226020}" name="Year to date 2019" dataDxfId="281"/>
    <tableColumn id="8" xr3:uid="{A6DAB4E9-DD2B-D44A-A92A-CBAA246267E7}" name="Lifetime" dataDxfId="280"/>
  </tableColumns>
  <tableStyleInfo name="TableStyleMedium9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629F70F4-8288-E04E-ABC7-2C532761705E}" name="Table55456791564708453758187119175" displayName="Table55456791564708453758187119175" ref="A1:H6" totalsRowShown="0" headerRowDxfId="279" dataDxfId="278">
  <tableColumns count="8">
    <tableColumn id="1" xr3:uid="{79BA1D2C-8FEE-C548-8287-F8449D4074E6}" name="System" dataDxfId="277"/>
    <tableColumn id="2" xr3:uid="{C14B26E3-4142-984A-872C-2C85AB6641BC}" name="This Week" dataDxfId="276"/>
    <tableColumn id="3" xr3:uid="{EB361136-2DE2-C046-B780-4498E09B40D7}" name="Last Week" dataDxfId="275"/>
    <tableColumn id="4" xr3:uid="{F056FF15-6A23-C644-996E-A121CEC93DB3}" name="Percentage change" dataDxfId="274">
      <calculatedColumnFormula>(Table55456791564708453758187119175[[#This Row],[This Week]]-Table55456791564708453758187119175[[#This Row],[Last Week]])/Table55456791564708453758187119175[[#This Row],[Last Week]]</calculatedColumnFormula>
    </tableColumn>
    <tableColumn id="5" xr3:uid="{78DED047-2123-E54A-8B50-8E280AAF5605}" name="Last Year" dataDxfId="273"/>
    <tableColumn id="6" xr3:uid="{CE2A2AFC-C1AE-6749-9F9B-F59753950B16}" name="Year to date" dataDxfId="272"/>
    <tableColumn id="7" xr3:uid="{D2EAF30A-03FC-ED4A-9711-1C6D2342CB14}" name="Year to date 2019" dataDxfId="271"/>
    <tableColumn id="8" xr3:uid="{2AC94F03-C031-374E-B74E-E14C8A6258F9}" name="Lifetime" dataDxfId="27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A1B2FD6-ED4A-E04F-8969-F5C9179471C4}" name="Table5155578" displayName="Table5155578" ref="A8:H16" totalsRowShown="0" headerRowDxfId="989" dataDxfId="988">
  <sortState xmlns:xlrd2="http://schemas.microsoft.com/office/spreadsheetml/2017/richdata2" ref="A9:H16">
    <sortCondition descending="1" ref="B8:B16"/>
  </sortState>
  <tableColumns count="8">
    <tableColumn id="1" xr3:uid="{6B0E41CA-2B5C-784B-BCAF-03580E58A612}" name="System" dataDxfId="987"/>
    <tableColumn id="2" xr3:uid="{D3EF0BCE-4CEC-A54B-B00E-BC20A8F6261B}" name="This Week" dataDxfId="986"/>
    <tableColumn id="3" xr3:uid="{27A843EC-4FD6-2546-A808-811BF9707D9C}" name="Last Week" dataDxfId="985"/>
    <tableColumn id="4" xr3:uid="{C1CA0D06-0AB9-A943-98A7-B88CF3E6529A}" name="Percentage change" dataDxfId="984">
      <calculatedColumnFormula>(Table5155578[[#This Row],[This Week]]-Table5155578[[#This Row],[Last Week]])/Table5155578[[#This Row],[Last Week]]</calculatedColumnFormula>
    </tableColumn>
    <tableColumn id="5" xr3:uid="{10C3A853-629F-064D-9BFB-4F228582F807}" name="Last Year" dataDxfId="983"/>
    <tableColumn id="6" xr3:uid="{AEBBEEF1-2AA1-2449-BF20-B2698E8B4230}" name="Year to date" dataDxfId="982"/>
    <tableColumn id="7" xr3:uid="{7867ADD8-A3A0-3B46-BB25-1DD935A883E5}" name="Year to date 2019" dataDxfId="981"/>
    <tableColumn id="8" xr3:uid="{7F476310-1BD6-D547-914C-C4FC4587AE4E}" name="Lifetime" dataDxfId="980"/>
  </tableColumns>
  <tableStyleInfo name="TableStyleMedium9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10D62031-6408-894F-9E9B-C8F34BE5C730}" name="Table5155578101665718558768288120176" displayName="Table5155578101665718558768288120176" ref="A8:H16" totalsRowShown="0" headerRowDxfId="269" dataDxfId="268">
  <sortState xmlns:xlrd2="http://schemas.microsoft.com/office/spreadsheetml/2017/richdata2" ref="A9:H16">
    <sortCondition descending="1" ref="B8:B16"/>
  </sortState>
  <tableColumns count="8">
    <tableColumn id="1" xr3:uid="{7CC13594-A8B3-2444-AB36-A54EAF8686B4}" name="System" dataDxfId="267"/>
    <tableColumn id="2" xr3:uid="{1F1C9F57-BCE7-1E4D-8901-4CB8AFBC3CDE}" name="This Week" dataDxfId="266"/>
    <tableColumn id="3" xr3:uid="{177DA095-5689-5346-963B-EBAC65B08FA8}" name="Last Week" dataDxfId="265"/>
    <tableColumn id="4" xr3:uid="{CC428CD1-1B3D-8840-934B-FAC72B2BCD8B}" name="Percentage change" dataDxfId="264">
      <calculatedColumnFormula>(Table5155578101665718558768288120176[[#This Row],[This Week]]-Table5155578101665718558768288120176[[#This Row],[Last Week]])/Table5155578101665718558768288120176[[#This Row],[Last Week]]</calculatedColumnFormula>
    </tableColumn>
    <tableColumn id="5" xr3:uid="{EFA8D307-7868-0341-B0A1-06B256F731ED}" name="Last Year" dataDxfId="263"/>
    <tableColumn id="6" xr3:uid="{EEFDFFA2-6F71-0C4D-AE1F-BE6156708FFD}" name="Year to date" dataDxfId="262"/>
    <tableColumn id="7" xr3:uid="{387FC7E7-F275-984B-849A-746BE7566BBB}" name="Year to date 2019" dataDxfId="261"/>
    <tableColumn id="8" xr3:uid="{3DDCCFF4-FC47-064F-8759-856167231F17}" name="Lifetime" dataDxfId="260"/>
  </tableColumns>
  <tableStyleInfo name="TableStyleMedium9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AC22333A-4856-8444-8ED6-68C218591127}" name="Table55456791564708453758187119179" displayName="Table55456791564708453758187119179" ref="A1:H6" totalsRowShown="0" headerRowDxfId="259" dataDxfId="258">
  <tableColumns count="8">
    <tableColumn id="1" xr3:uid="{2BA3C025-FB95-9144-9B56-8CD0885F7A05}" name="System" dataDxfId="257"/>
    <tableColumn id="2" xr3:uid="{4D271123-DE45-E441-AF76-F539138C5128}" name="This Week" dataDxfId="256"/>
    <tableColumn id="3" xr3:uid="{660F8E9E-D356-7D4A-A456-2F4999C0FBFC}" name="Last Week" dataDxfId="255"/>
    <tableColumn id="4" xr3:uid="{08319B4D-E747-1246-AB0F-CA15A65D3BBF}" name="Percentage change" dataDxfId="254">
      <calculatedColumnFormula>(Table55456791564708453758187119179[[#This Row],[This Week]]-Table55456791564708453758187119179[[#This Row],[Last Week]])/Table55456791564708453758187119179[[#This Row],[Last Week]]</calculatedColumnFormula>
    </tableColumn>
    <tableColumn id="5" xr3:uid="{360E1518-9A6C-5247-96AD-A5CDBF137389}" name="Last Year" dataDxfId="253"/>
    <tableColumn id="6" xr3:uid="{934385C0-C1A7-D948-847D-BB2F2E11B037}" name="Year to date" dataDxfId="252"/>
    <tableColumn id="7" xr3:uid="{EA96375C-3AFA-6043-94D6-ABA8C8797491}" name="Year to date 2019" dataDxfId="251"/>
    <tableColumn id="8" xr3:uid="{5489904E-127C-9348-9261-50364D8266C7}" name="Lifetime" dataDxfId="250"/>
  </tableColumns>
  <tableStyleInfo name="TableStyleMedium9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D39EBDB8-41D2-FB4B-A5C0-4EE81FD3E941}" name="Table5155578101665718558768288120180" displayName="Table5155578101665718558768288120180" ref="A8:H16" totalsRowShown="0" headerRowDxfId="249" dataDxfId="248">
  <sortState xmlns:xlrd2="http://schemas.microsoft.com/office/spreadsheetml/2017/richdata2" ref="A9:H16">
    <sortCondition descending="1" ref="B8:B16"/>
  </sortState>
  <tableColumns count="8">
    <tableColumn id="1" xr3:uid="{00AE15A6-A363-B841-8845-1D4E4B18D5D5}" name="System" dataDxfId="247"/>
    <tableColumn id="2" xr3:uid="{7A65D654-7EA3-6945-9670-31E5F7BA3085}" name="This Week" dataDxfId="246"/>
    <tableColumn id="3" xr3:uid="{29A1C32D-8A99-784F-BB3F-69593750702F}" name="Last Week" dataDxfId="245"/>
    <tableColumn id="4" xr3:uid="{84ED1F5B-CEB1-8043-A706-CCC8551F6AA7}" name="Percentage change" dataDxfId="244">
      <calculatedColumnFormula>(Table5155578101665718558768288120180[[#This Row],[This Week]]-Table5155578101665718558768288120180[[#This Row],[Last Week]])/Table5155578101665718558768288120180[[#This Row],[Last Week]]</calculatedColumnFormula>
    </tableColumn>
    <tableColumn id="5" xr3:uid="{C1D95855-8479-E34F-B2DB-9AE15C73724E}" name="Last Year" dataDxfId="243"/>
    <tableColumn id="6" xr3:uid="{06A820EA-5173-7B46-AB9B-1045B1B2BE1B}" name="Year to date" dataDxfId="242"/>
    <tableColumn id="7" xr3:uid="{0F57CBF7-E36F-124B-8243-12D8F7950B53}" name="Year to date 2019" dataDxfId="241"/>
    <tableColumn id="8" xr3:uid="{15D0ACA4-23F9-F441-8D33-4A667E1E75AF}" name="Lifetime" dataDxfId="240"/>
  </tableColumns>
  <tableStyleInfo name="TableStyleMedium9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82BE296A-FA4B-9C4D-935F-C21D134B1BF6}" name="Table55456791564708453758187119183" displayName="Table55456791564708453758187119183" ref="A1:H6" totalsRowShown="0" headerRowDxfId="239" dataDxfId="238">
  <tableColumns count="8">
    <tableColumn id="1" xr3:uid="{9B64C001-437E-DA43-957C-3B47EF65F049}" name="System" dataDxfId="237"/>
    <tableColumn id="2" xr3:uid="{DB5DCF94-E336-E540-B908-6FC349C963FE}" name="This Week" dataDxfId="236"/>
    <tableColumn id="3" xr3:uid="{31FC3E26-CA52-5047-BC92-34D093DC5106}" name="Last Week" dataDxfId="235"/>
    <tableColumn id="4" xr3:uid="{07EF7FA2-2A2F-7145-BB16-678487ECB767}" name="Percentage change" dataDxfId="234">
      <calculatedColumnFormula>(Table55456791564708453758187119183[[#This Row],[This Week]]-Table55456791564708453758187119183[[#This Row],[Last Week]])/Table55456791564708453758187119183[[#This Row],[Last Week]]</calculatedColumnFormula>
    </tableColumn>
    <tableColumn id="5" xr3:uid="{3C9CEED5-8023-6B41-A6F9-6C9A03C16310}" name="Last Year" dataDxfId="233"/>
    <tableColumn id="6" xr3:uid="{345BDF45-ACEE-9F40-A6C4-59F14E919069}" name="Year to date" dataDxfId="232"/>
    <tableColumn id="7" xr3:uid="{CB1246C8-5FD9-7E41-BD17-50EB1925812A}" name="Year to date 2019" dataDxfId="231"/>
    <tableColumn id="8" xr3:uid="{4648EB9B-6A0E-AC42-8BE0-9BC7D3589818}" name="Lifetime" dataDxfId="230"/>
  </tableColumns>
  <tableStyleInfo name="TableStyleMedium9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D263AB92-E37A-C847-BFCF-6A82F6A59792}" name="Table5155578101665718558768288120184" displayName="Table5155578101665718558768288120184" ref="A8:H16" totalsRowShown="0" headerRowDxfId="229" dataDxfId="228">
  <sortState xmlns:xlrd2="http://schemas.microsoft.com/office/spreadsheetml/2017/richdata2" ref="A9:H16">
    <sortCondition descending="1" ref="B8:B16"/>
  </sortState>
  <tableColumns count="8">
    <tableColumn id="1" xr3:uid="{25947040-93EC-3642-94A7-DACA128BBB8D}" name="System" dataDxfId="227"/>
    <tableColumn id="2" xr3:uid="{C1FFC06B-C858-D24B-9A4A-B80F7A58C46E}" name="This Week" dataDxfId="226"/>
    <tableColumn id="3" xr3:uid="{8A3339F5-C338-264B-9638-646B8CA1D0A8}" name="Last Week" dataDxfId="225"/>
    <tableColumn id="4" xr3:uid="{B1AD6D8B-DE7A-1E45-942B-583CADE6299B}" name="Percentage change" dataDxfId="224">
      <calculatedColumnFormula>(Table5155578101665718558768288120184[[#This Row],[This Week]]-Table5155578101665718558768288120184[[#This Row],[Last Week]])/Table5155578101665718558768288120184[[#This Row],[Last Week]]</calculatedColumnFormula>
    </tableColumn>
    <tableColumn id="5" xr3:uid="{DB1D92D2-EE80-F342-9EA8-76149120BA56}" name="Last Year" dataDxfId="223"/>
    <tableColumn id="6" xr3:uid="{513064D9-334D-D049-BC62-946D29A515E9}" name="Year to date" dataDxfId="222"/>
    <tableColumn id="7" xr3:uid="{C060D71F-DF6E-5948-9AB2-1A3C131FF0B9}" name="Year to date 2019" dataDxfId="221"/>
    <tableColumn id="8" xr3:uid="{8F06DBF7-A006-744F-8969-8DA85E56CC17}" name="Lifetime" dataDxfId="220"/>
  </tableColumns>
  <tableStyleInfo name="TableStyleMedium9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9E790BB6-335D-7E4B-931F-6CC414F2A5C2}" name="Table55456791564708453758187119187" displayName="Table55456791564708453758187119187" ref="A1:H6" totalsRowShown="0" headerRowDxfId="219" dataDxfId="218">
  <tableColumns count="8">
    <tableColumn id="1" xr3:uid="{1A9888A6-5F4C-2045-9744-11B3DED4CB47}" name="System" dataDxfId="217"/>
    <tableColumn id="2" xr3:uid="{56B2669F-CA20-4642-AEC5-44B6292EAAE9}" name="This Week" dataDxfId="216"/>
    <tableColumn id="3" xr3:uid="{292096E9-FA55-6743-990A-84047635E7AF}" name="Last Week" dataDxfId="215"/>
    <tableColumn id="4" xr3:uid="{4B804801-3A3D-E645-9D78-06366B45C2D1}" name="Percentage change" dataDxfId="214">
      <calculatedColumnFormula>(Table55456791564708453758187119187[[#This Row],[This Week]]-Table55456791564708453758187119187[[#This Row],[Last Week]])/Table55456791564708453758187119187[[#This Row],[Last Week]]</calculatedColumnFormula>
    </tableColumn>
    <tableColumn id="5" xr3:uid="{6725014D-ACD3-0547-B7D2-F6648B253F19}" name="Last Year" dataDxfId="213"/>
    <tableColumn id="6" xr3:uid="{C25160C2-5ADE-6E45-B473-186374E43288}" name="Year to date" dataDxfId="212"/>
    <tableColumn id="7" xr3:uid="{14D166A6-EAA9-2E4A-BC9E-33C6A0D6BDB2}" name="Year to date 2019" dataDxfId="211"/>
    <tableColumn id="8" xr3:uid="{3059421B-51F9-3149-B8B1-CC8899544921}" name="Lifetime" dataDxfId="210"/>
  </tableColumns>
  <tableStyleInfo name="TableStyleMedium9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2FED76F1-2C2C-3349-8B38-47E70142B872}" name="Table5155578101665718558768288120188" displayName="Table5155578101665718558768288120188" ref="A8:H16" totalsRowShown="0" headerRowDxfId="209" dataDxfId="208">
  <sortState xmlns:xlrd2="http://schemas.microsoft.com/office/spreadsheetml/2017/richdata2" ref="A9:H16">
    <sortCondition descending="1" ref="B8:B16"/>
  </sortState>
  <tableColumns count="8">
    <tableColumn id="1" xr3:uid="{F86FE904-E0C4-1442-B849-B7B39D89A2FC}" name="System" dataDxfId="207"/>
    <tableColumn id="2" xr3:uid="{E3E8CD6F-1B53-B240-A43B-1AEEC8E0A497}" name="This Week" dataDxfId="206"/>
    <tableColumn id="3" xr3:uid="{9BA14430-066E-0A41-9108-D5945718D6D6}" name="Last Week" dataDxfId="205"/>
    <tableColumn id="4" xr3:uid="{B6CC0715-E37B-644E-810B-1F171ABC4F5F}" name="Percentage change" dataDxfId="204">
      <calculatedColumnFormula>(Table5155578101665718558768288120188[[#This Row],[This Week]]-Table5155578101665718558768288120188[[#This Row],[Last Week]])/Table5155578101665718558768288120188[[#This Row],[Last Week]]</calculatedColumnFormula>
    </tableColumn>
    <tableColumn id="5" xr3:uid="{2F8DBC94-FDEC-004D-901C-48D4BF031FAD}" name="Last Year" dataDxfId="203"/>
    <tableColumn id="6" xr3:uid="{01B026D3-993E-0542-934D-EBDCE276E9C3}" name="Year to date" dataDxfId="202"/>
    <tableColumn id="7" xr3:uid="{97FCD10A-49B3-A044-B70B-1982ABE21F36}" name="Year to date 2019" dataDxfId="201"/>
    <tableColumn id="8" xr3:uid="{1FD0F4CD-DCC5-914E-AE53-0AD11F8CBBFC}" name="Lifetime" dataDxfId="200"/>
  </tableColumns>
  <tableStyleInfo name="TableStyleMedium9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0C062C3C-40D9-AB45-9D25-68BECD84193C}" name="Table55456791564708453758187119187191" displayName="Table55456791564708453758187119187191" ref="A1:H6" totalsRowShown="0" headerRowDxfId="199" dataDxfId="198">
  <tableColumns count="8">
    <tableColumn id="1" xr3:uid="{11726D38-80F2-564C-A6C1-925F108616B1}" name="System" dataDxfId="197"/>
    <tableColumn id="2" xr3:uid="{C3C729AF-7726-B347-907D-F0EAC29D63D1}" name="This Week" dataDxfId="196"/>
    <tableColumn id="3" xr3:uid="{0A9DF8C9-564F-8B43-AD18-969DDD7DB118}" name="Last Week" dataDxfId="195"/>
    <tableColumn id="4" xr3:uid="{47021AD2-CB85-3542-BCB7-55E906F4A0A6}" name="Percentage change" dataDxfId="194">
      <calculatedColumnFormula>(Table55456791564708453758187119187191[[#This Row],[This Week]]-Table55456791564708453758187119187191[[#This Row],[Last Week]])/Table55456791564708453758187119187191[[#This Row],[Last Week]]</calculatedColumnFormula>
    </tableColumn>
    <tableColumn id="5" xr3:uid="{4D9E8B00-AE1F-A24E-B3EA-06438F22FFF5}" name="Last Year" dataDxfId="193"/>
    <tableColumn id="6" xr3:uid="{87AD098F-9BC4-7A41-A11C-A0F4E04903CF}" name="Year to date" dataDxfId="192"/>
    <tableColumn id="7" xr3:uid="{F2D72E11-9228-BB4A-A705-834CE47516A9}" name="Year to date 2019" dataDxfId="191"/>
    <tableColumn id="8" xr3:uid="{7A4D80A3-DB70-7047-BC8F-BD5CEED94888}" name="Lifetime" dataDxfId="190"/>
  </tableColumns>
  <tableStyleInfo name="TableStyleMedium9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A0975318-3708-6446-9EA2-8296DD2813D4}" name="Table5155578101665718558768288120188192" displayName="Table5155578101665718558768288120188192" ref="A8:H16" totalsRowShown="0" headerRowDxfId="189" dataDxfId="188">
  <sortState xmlns:xlrd2="http://schemas.microsoft.com/office/spreadsheetml/2017/richdata2" ref="A9:H16">
    <sortCondition descending="1" ref="B8:B16"/>
  </sortState>
  <tableColumns count="8">
    <tableColumn id="1" xr3:uid="{1D54CDCE-E150-CF4E-9DED-E3ED29803ECE}" name="System" dataDxfId="187"/>
    <tableColumn id="2" xr3:uid="{53F81AF1-8EF6-A048-9EA1-C7E5F3AA0335}" name="This Week" dataDxfId="186"/>
    <tableColumn id="3" xr3:uid="{72202561-A617-C641-9D92-F0C5CA377FF0}" name="Last Week" dataDxfId="185"/>
    <tableColumn id="4" xr3:uid="{E42D1C86-1C58-2943-98CA-D07F44699864}" name="Percentage change" dataDxfId="184">
      <calculatedColumnFormula>(Table5155578101665718558768288120188192[[#This Row],[This Week]]-Table5155578101665718558768288120188192[[#This Row],[Last Week]])/Table5155578101665718558768288120188192[[#This Row],[Last Week]]</calculatedColumnFormula>
    </tableColumn>
    <tableColumn id="5" xr3:uid="{F71D1692-4155-494E-AC25-0347D2B09702}" name="Last Year" dataDxfId="183"/>
    <tableColumn id="6" xr3:uid="{63C5C802-01A2-A54E-911D-55F563C1D82D}" name="Year to date" dataDxfId="182"/>
    <tableColumn id="7" xr3:uid="{41CC8DEC-25B1-7A4F-A054-20B75F936C8A}" name="Year to date 2019" dataDxfId="181"/>
    <tableColumn id="8" xr3:uid="{AE447B93-AF19-E943-8654-CFBFCA5A78BE}" name="Lifetime" dataDxfId="180"/>
  </tableColumns>
  <tableStyleInfo name="TableStyleMedium9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A844FA86-C4B1-9C43-8A91-87EAD3BC667F}" name="Table55456791564708453758187119187195" displayName="Table55456791564708453758187119187195" ref="A1:H6" totalsRowShown="0" headerRowDxfId="179" dataDxfId="178">
  <tableColumns count="8">
    <tableColumn id="1" xr3:uid="{2CEF4B1E-8637-7048-B1E0-10B000E04B54}" name="System" dataDxfId="177"/>
    <tableColumn id="2" xr3:uid="{E0008586-6DC6-7240-A928-B7F43CC8B89A}" name="This Week" dataDxfId="176"/>
    <tableColumn id="3" xr3:uid="{A42456B8-75DB-6044-8BCF-2E398D6804B9}" name="Last Week" dataDxfId="175"/>
    <tableColumn id="4" xr3:uid="{F95D0206-8294-A04D-A95C-B979BA3918F2}" name="Percentage change" dataDxfId="174">
      <calculatedColumnFormula>(Table55456791564708453758187119187195[[#This Row],[This Week]]-Table55456791564708453758187119187195[[#This Row],[Last Week]])/Table55456791564708453758187119187195[[#This Row],[Last Week]]</calculatedColumnFormula>
    </tableColumn>
    <tableColumn id="5" xr3:uid="{E838942C-090A-1C40-8A85-F707F45AA141}" name="Last Year" dataDxfId="173"/>
    <tableColumn id="6" xr3:uid="{BFE7FAD3-C7F4-AD40-9B93-47CF70B58564}" name="Year to date" dataDxfId="172"/>
    <tableColumn id="7" xr3:uid="{C5F1D7F6-DB08-464F-A016-3FDE58500331}" name="Year to date 2019" dataDxfId="171"/>
    <tableColumn id="8" xr3:uid="{E4AD14BA-AD81-1F45-AB08-EE0BA834DD82}" name="Lifetime" dataDxfId="17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D48AF3-B816-A24D-B2CE-8484ACD3E2F3}" name="Table5545679" displayName="Table5545679" ref="A1:H6" totalsRowShown="0" headerRowDxfId="979" dataDxfId="978">
  <tableColumns count="8">
    <tableColumn id="1" xr3:uid="{43D54F4C-781D-B846-843B-7DCEF0D220BA}" name="System" dataDxfId="977"/>
    <tableColumn id="2" xr3:uid="{977022CF-E9BB-7D4E-A631-6AA068CA2250}" name="This Week" dataDxfId="976"/>
    <tableColumn id="3" xr3:uid="{5ABB213C-20AE-B040-AB09-2B5EE59E8EF8}" name="Last Week" dataDxfId="975"/>
    <tableColumn id="4" xr3:uid="{24554811-033F-3044-ADA3-79A6A4782BD1}" name="Percentage change" dataDxfId="974">
      <calculatedColumnFormula>(#REF!-#REF!)/#REF!</calculatedColumnFormula>
    </tableColumn>
    <tableColumn id="5" xr3:uid="{D907C932-C7CE-E54A-872F-13CC03EFDF6F}" name="Last Year" dataDxfId="973"/>
    <tableColumn id="6" xr3:uid="{A0174DF0-DE1C-B04C-9813-F04FD858AB8B}" name="Year to date" dataDxfId="972"/>
    <tableColumn id="7" xr3:uid="{91ACD390-02D0-0D4D-BF27-BCCA130D75AF}" name="Year to date 2019" dataDxfId="971"/>
    <tableColumn id="8" xr3:uid="{9A7007D2-31FB-C44C-82A3-F018EAE81D44}" name="Lifetime" dataDxfId="970"/>
  </tableColumns>
  <tableStyleInfo name="TableStyleMedium9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01CB2E86-77BC-AC48-A124-C4C1B4198A2F}" name="Table5155578101665718558768288120188196" displayName="Table5155578101665718558768288120188196" ref="A8:H16" totalsRowShown="0" headerRowDxfId="169" dataDxfId="168">
  <sortState xmlns:xlrd2="http://schemas.microsoft.com/office/spreadsheetml/2017/richdata2" ref="A9:H16">
    <sortCondition descending="1" ref="B8:B16"/>
  </sortState>
  <tableColumns count="8">
    <tableColumn id="1" xr3:uid="{7654169A-E6B4-7E4B-B018-2ABDD1DE2854}" name="System" dataDxfId="167"/>
    <tableColumn id="2" xr3:uid="{189DE276-E59D-D14D-9DD4-B1A926B8D44E}" name="This Week" dataDxfId="166"/>
    <tableColumn id="3" xr3:uid="{F28E2FD6-BB4F-1C4D-BE10-D626FCA4783F}" name="Last Week" dataDxfId="165"/>
    <tableColumn id="4" xr3:uid="{764F0056-8D9F-124E-8158-ACD136DDACB0}" name="Percentage change" dataDxfId="164">
      <calculatedColumnFormula>(Table5155578101665718558768288120188196[[#This Row],[This Week]]-Table5155578101665718558768288120188196[[#This Row],[Last Week]])/Table5155578101665718558768288120188196[[#This Row],[Last Week]]</calculatedColumnFormula>
    </tableColumn>
    <tableColumn id="5" xr3:uid="{A32BAA4A-D60A-F042-BCAA-DA91736CECA6}" name="Last Year" dataDxfId="163"/>
    <tableColumn id="6" xr3:uid="{18157DF0-D380-404B-9A70-FDE180376FFE}" name="Year to date" dataDxfId="162"/>
    <tableColumn id="7" xr3:uid="{BA7AFDF2-C1CC-294B-B345-8299900352F7}" name="Year to date 2019" dataDxfId="161"/>
    <tableColumn id="8" xr3:uid="{03918381-691C-B649-9CA9-4A0AC1A7BF70}" name="Lifetime" dataDxfId="160"/>
  </tableColumns>
  <tableStyleInfo name="TableStyleMedium9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C4000223-605A-0844-9970-7B0624477AE4}" name="Table55456791564708453758187119187195199" displayName="Table55456791564708453758187119187195199" ref="A1:H8" totalsRowShown="0" headerRowDxfId="159" dataDxfId="158">
  <tableColumns count="8">
    <tableColumn id="1" xr3:uid="{70796554-D8D5-BB4B-93AD-9C3BA874B53C}" name="System" dataDxfId="157"/>
    <tableColumn id="2" xr3:uid="{3231CCF2-3250-9144-923C-1A1933A16060}" name="This Week" dataDxfId="156"/>
    <tableColumn id="3" xr3:uid="{55A67907-6034-9F40-9D10-D787E42EF0CA}" name="Last Week" dataDxfId="155"/>
    <tableColumn id="4" xr3:uid="{EFAF64B2-3A02-5145-8213-20CEB18917A8}" name="Percentage change" dataDxfId="154">
      <calculatedColumnFormula>(Table55456791564708453758187119187195199[[#This Row],[This Week]]-Table55456791564708453758187119187195199[[#This Row],[Last Week]])/Table55456791564708453758187119187195199[[#This Row],[Last Week]]</calculatedColumnFormula>
    </tableColumn>
    <tableColumn id="5" xr3:uid="{FF5F378E-323D-6A4D-8D24-B329175338AB}" name="Last Year" dataDxfId="153"/>
    <tableColumn id="6" xr3:uid="{6D8CB3C1-821D-6E4A-9247-217D8CE7B75E}" name="Year to date" dataDxfId="152"/>
    <tableColumn id="7" xr3:uid="{1CA0FC9E-E16E-E249-A5E9-810FFAB3AE19}" name="Year to date 2019" dataDxfId="151"/>
    <tableColumn id="8" xr3:uid="{E9415B1F-7723-B843-90DA-ED1CD827AD4F}" name="Lifetime" dataDxfId="150"/>
  </tableColumns>
  <tableStyleInfo name="TableStyleMedium9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52E1CFE5-B226-DB43-96CB-DF0E75B38AD5}" name="Table5155578101665718558768288120188196200" displayName="Table5155578101665718558768288120188196200" ref="A10:H22" totalsRowShown="0" headerRowDxfId="149" dataDxfId="148">
  <sortState xmlns:xlrd2="http://schemas.microsoft.com/office/spreadsheetml/2017/richdata2" ref="A11:H22">
    <sortCondition descending="1" ref="B10:B22"/>
  </sortState>
  <tableColumns count="8">
    <tableColumn id="1" xr3:uid="{3E92A66C-10D0-414C-B43C-802DDF90C95E}" name="System" dataDxfId="147"/>
    <tableColumn id="2" xr3:uid="{1A302463-191E-0A45-8328-DC736A075D69}" name="This Week" dataDxfId="146"/>
    <tableColumn id="3" xr3:uid="{0FE0C974-BA8D-244E-87E8-BA280004B2BF}" name="Last Week" dataDxfId="145"/>
    <tableColumn id="4" xr3:uid="{B8C249D8-6BE1-E143-A97C-5C0C80066EFE}" name="Percentage change" dataDxfId="144">
      <calculatedColumnFormula>(Table5155578101665718558768288120188196200[[#This Row],[This Week]]-Table5155578101665718558768288120188196200[[#This Row],[Last Week]])/Table5155578101665718558768288120188196200[[#This Row],[Last Week]]</calculatedColumnFormula>
    </tableColumn>
    <tableColumn id="5" xr3:uid="{25DB7C72-719D-D348-8AE7-C51B88A03FC7}" name="Last Year" dataDxfId="143"/>
    <tableColumn id="6" xr3:uid="{8FC30473-049B-3049-98D3-27878793E71A}" name="Year to date" dataDxfId="142"/>
    <tableColumn id="7" xr3:uid="{262A0F08-7A84-0047-927B-E44008C51756}" name="Year to date 2019" dataDxfId="141"/>
    <tableColumn id="8" xr3:uid="{52523D12-2D78-254F-888C-0177D2E68F23}" name="Lifetime" dataDxfId="140"/>
  </tableColumns>
  <tableStyleInfo name="TableStyleMedium9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287B5F91-7C9C-D440-89DD-AC5A7DC3BBEF}" name="Table55456791564708453758187119187195199231" displayName="Table55456791564708453758187119187195199231" ref="A1:H8" totalsRowShown="0" headerRowDxfId="139" dataDxfId="138">
  <tableColumns count="8">
    <tableColumn id="1" xr3:uid="{908B4ACC-4EA4-0B48-995F-C06749B26D17}" name="System" dataDxfId="137"/>
    <tableColumn id="2" xr3:uid="{18AA003C-29BB-3C43-9E67-E8EA117F9486}" name="This Week" dataDxfId="136"/>
    <tableColumn id="3" xr3:uid="{98A40385-2D00-5845-A6B9-05BCCEAA6FD5}" name="Last Week" dataDxfId="135"/>
    <tableColumn id="4" xr3:uid="{1937B4D0-170A-E249-AE97-394AB5ECFBF9}" name="Percentage change" dataDxfId="134">
      <calculatedColumnFormula>(Table55456791564708453758187119187195199231[[#This Row],[This Week]]-Table55456791564708453758187119187195199231[[#This Row],[Last Week]])/Table55456791564708453758187119187195199231[[#This Row],[Last Week]]</calculatedColumnFormula>
    </tableColumn>
    <tableColumn id="5" xr3:uid="{5E6D0D4C-7C88-0C48-B4E1-34ECBB1EE029}" name="Last Year" dataDxfId="133"/>
    <tableColumn id="6" xr3:uid="{17801B4C-C2B3-C240-9885-0EEF72D2800C}" name="Year to date" dataDxfId="132"/>
    <tableColumn id="7" xr3:uid="{150399EC-776F-9942-AC29-54E69946AF67}" name="Year to date 2019" dataDxfId="131"/>
    <tableColumn id="8" xr3:uid="{53398D4E-7135-254F-B442-7B699C93B375}" name="Lifetime" dataDxfId="130"/>
  </tableColumns>
  <tableStyleInfo name="TableStyleMedium9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A26B29CF-623B-C148-9E2B-DB011BE16FDF}" name="Table5155578101665718558768288120188196200232" displayName="Table5155578101665718558768288120188196200232" ref="A10:H22" totalsRowShown="0" headerRowDxfId="129" dataDxfId="128">
  <sortState xmlns:xlrd2="http://schemas.microsoft.com/office/spreadsheetml/2017/richdata2" ref="A11:H22">
    <sortCondition descending="1" ref="B11:B22"/>
  </sortState>
  <tableColumns count="8">
    <tableColumn id="1" xr3:uid="{7476E4DA-BC86-A940-9CC0-B8F2ED2DB1CF}" name="System" dataDxfId="127"/>
    <tableColumn id="2" xr3:uid="{86FB9E02-E744-F24E-B9E5-0F721EA4CC1F}" name="This Week" dataDxfId="126"/>
    <tableColumn id="3" xr3:uid="{F16D66BF-5843-2C4C-92CA-EF12B8E6DEFB}" name="Last Week" dataDxfId="125"/>
    <tableColumn id="4" xr3:uid="{88206CB6-7D9C-F142-BC26-236CE07E0637}" name="Percentage change" dataDxfId="124">
      <calculatedColumnFormula>(Table5155578101665718558768288120188196200232[[#This Row],[This Week]]-Table5155578101665718558768288120188196200232[[#This Row],[Last Week]])/Table5155578101665718558768288120188196200232[[#This Row],[Last Week]]</calculatedColumnFormula>
    </tableColumn>
    <tableColumn id="5" xr3:uid="{B8B37389-AE55-F646-8B04-EB97E248FFC8}" name="Last Year" dataDxfId="123"/>
    <tableColumn id="6" xr3:uid="{64E88D51-BB8A-ED44-9A9E-2849D0928837}" name="Year to date" dataDxfId="122"/>
    <tableColumn id="7" xr3:uid="{B2A86DE8-65E6-6243-B0CD-BDFC39231A23}" name="Year to date 2019" dataDxfId="121"/>
    <tableColumn id="8" xr3:uid="{F7B6F751-70C9-5F4C-AB6A-C0B6B61556A9}" name="Lifetime" dataDxfId="120"/>
  </tableColumns>
  <tableStyleInfo name="TableStyleMedium9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59011B1A-3408-EF4D-A7F6-1A96B392D0EE}" name="Table55456791564708453758187119187195199231243" displayName="Table55456791564708453758187119187195199231243" ref="A1:H8" totalsRowShown="0" headerRowDxfId="119" dataDxfId="118">
  <tableColumns count="8">
    <tableColumn id="1" xr3:uid="{163ACD77-3EC0-454A-9371-45A691934811}" name="System" dataDxfId="117"/>
    <tableColumn id="2" xr3:uid="{451ACBF0-8C5F-7D4E-9A9B-3E82ACC51807}" name="This Week" dataDxfId="116"/>
    <tableColumn id="3" xr3:uid="{F4E8C180-699B-BD4F-B722-CE2949F4785D}" name="Last Week" dataDxfId="115"/>
    <tableColumn id="4" xr3:uid="{65B67F57-FBE9-F94D-A582-D6D52691034B}" name="Percentage change" dataDxfId="114">
      <calculatedColumnFormula>(Table55456791564708453758187119187195199231243[[#This Row],[This Week]]-Table55456791564708453758187119187195199231243[[#This Row],[Last Week]])/Table55456791564708453758187119187195199231243[[#This Row],[Last Week]]</calculatedColumnFormula>
    </tableColumn>
    <tableColumn id="5" xr3:uid="{D92F3544-5B29-F049-9478-AE364BB37317}" name="Last Year" dataDxfId="113"/>
    <tableColumn id="6" xr3:uid="{9D11CD43-44DC-B74B-AA65-C2925C138F12}" name="Year to date" dataDxfId="112"/>
    <tableColumn id="7" xr3:uid="{5C33BC97-18D4-344F-9E66-A8ADD6596D73}" name="Year to date 2019" dataDxfId="111"/>
    <tableColumn id="8" xr3:uid="{AEDDB631-B105-3B41-930D-48D3FE4E02B9}" name="Lifetime" dataDxfId="110"/>
  </tableColumns>
  <tableStyleInfo name="TableStyleMedium9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84E8683A-16CC-9249-BCA3-E0D62D06AFC7}" name="Table5155578101665718558768288120188196200232244" displayName="Table5155578101665718558768288120188196200232244" ref="A10:H22" totalsRowShown="0" headerRowDxfId="109" dataDxfId="108">
  <sortState xmlns:xlrd2="http://schemas.microsoft.com/office/spreadsheetml/2017/richdata2" ref="A11:H22">
    <sortCondition descending="1" ref="B10:B22"/>
  </sortState>
  <tableColumns count="8">
    <tableColumn id="1" xr3:uid="{68FA53FF-8909-4547-8D88-CA1ABCE00C3A}" name="System" dataDxfId="107"/>
    <tableColumn id="2" xr3:uid="{8D9E841B-491B-8649-8D96-238D6868F995}" name="This Week" dataDxfId="106"/>
    <tableColumn id="3" xr3:uid="{0435AB4B-3FC9-FB49-AE5A-16D385ED0539}" name="Last Week" dataDxfId="105"/>
    <tableColumn id="4" xr3:uid="{27382702-730F-804B-A9F7-7E3F38892CDA}" name="Percentage change" dataDxfId="104">
      <calculatedColumnFormula>(Table5155578101665718558768288120188196200232244[[#This Row],[This Week]]-Table5155578101665718558768288120188196200232244[[#This Row],[Last Week]])/Table5155578101665718558768288120188196200232244[[#This Row],[Last Week]]</calculatedColumnFormula>
    </tableColumn>
    <tableColumn id="5" xr3:uid="{52FE8132-8D91-E64B-8746-5D114A4191F8}" name="Last Year" dataDxfId="103"/>
    <tableColumn id="6" xr3:uid="{0B884E59-95DD-DC40-915C-AFF17B9AFAE1}" name="Year to date" dataDxfId="102"/>
    <tableColumn id="7" xr3:uid="{D0EAB232-2F9E-9442-80F3-0208EA7FCF41}" name="Year to date 2019" dataDxfId="101"/>
    <tableColumn id="8" xr3:uid="{156EFADE-B35B-D544-9157-B351FED516AF}" name="Lifetime" dataDxfId="100"/>
  </tableColumns>
  <tableStyleInfo name="TableStyleMedium9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DC5B21B9-0980-044B-998E-BEF7F94B4EBE}" name="Table55456791564708453758187119187195199231243245" displayName="Table55456791564708453758187119187195199231243245" ref="A1:H8" totalsRowShown="0" headerRowDxfId="99" dataDxfId="98">
  <tableColumns count="8">
    <tableColumn id="1" xr3:uid="{C8651443-5912-F54A-995C-71898AF1E4D4}" name="System" dataDxfId="97"/>
    <tableColumn id="2" xr3:uid="{9092B3D3-4246-ED45-B8CA-1FF9670E5258}" name="This Week" dataDxfId="96"/>
    <tableColumn id="3" xr3:uid="{D648EF96-E49F-A044-87A8-FFE0F91735F7}" name="Last Week" dataDxfId="95"/>
    <tableColumn id="4" xr3:uid="{0B916151-3D2C-C341-AF97-A3E87613C7C1}" name="Percentage change" dataDxfId="94">
      <calculatedColumnFormula>(Table55456791564708453758187119187195199231243245[[#This Row],[This Week]]-Table55456791564708453758187119187195199231243245[[#This Row],[Last Week]])/Table55456791564708453758187119187195199231243245[[#This Row],[Last Week]]</calculatedColumnFormula>
    </tableColumn>
    <tableColumn id="5" xr3:uid="{AFA8B832-FFF1-0F49-929B-CB16C128A825}" name="Last Year" dataDxfId="93"/>
    <tableColumn id="6" xr3:uid="{00E5A390-DDD0-4549-8C10-D8A69FDA2357}" name="Year to date" dataDxfId="92"/>
    <tableColumn id="7" xr3:uid="{360A8A7C-6CC2-4648-8519-08E8E3BDC56E}" name="Year to date 2019" dataDxfId="91"/>
    <tableColumn id="8" xr3:uid="{859615FE-1266-0D4E-8D4D-AEEA335FDAB7}" name="Lifetime" dataDxfId="90"/>
  </tableColumns>
  <tableStyleInfo name="TableStyleMedium9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0E400C20-2438-FB4C-A22C-2407FBD35FD6}" name="Table5155578101665718558768288120188196200232244246" displayName="Table5155578101665718558768288120188196200232244246" ref="A10:H22" totalsRowShown="0" headerRowDxfId="89" dataDxfId="88">
  <sortState xmlns:xlrd2="http://schemas.microsoft.com/office/spreadsheetml/2017/richdata2" ref="A11:H22">
    <sortCondition descending="1" ref="B10:B22"/>
  </sortState>
  <tableColumns count="8">
    <tableColumn id="1" xr3:uid="{77E286F8-0992-F74D-8910-565780EFB995}" name="System" dataDxfId="87"/>
    <tableColumn id="2" xr3:uid="{35745CEF-4875-424E-ACE5-0A3DAAFAE5BB}" name="This Week" dataDxfId="86"/>
    <tableColumn id="3" xr3:uid="{88FA91CB-4FED-DE4C-B227-55A380AAC658}" name="Last Week" dataDxfId="85"/>
    <tableColumn id="4" xr3:uid="{B496D518-455D-CA47-9017-3F03A978D410}" name="Percentage change" dataDxfId="84">
      <calculatedColumnFormula>(Table5155578101665718558768288120188196200232244246[[#This Row],[This Week]]-Table5155578101665718558768288120188196200232244246[[#This Row],[Last Week]])/Table5155578101665718558768288120188196200232244246[[#This Row],[Last Week]]</calculatedColumnFormula>
    </tableColumn>
    <tableColumn id="5" xr3:uid="{3BFC9319-81D2-504B-BCC6-7B8DD7CC61C2}" name="Last Year" dataDxfId="83"/>
    <tableColumn id="6" xr3:uid="{F435DA17-EB2E-A142-87CB-78D66A91BB5E}" name="Year to date" dataDxfId="82"/>
    <tableColumn id="7" xr3:uid="{379CDB91-E6A4-3647-9B4E-AE5C60EDEDF0}" name="Year to date 2019" dataDxfId="81"/>
    <tableColumn id="8" xr3:uid="{DDA40FCB-C4F2-CE40-AB80-06B14EF74381}" name="Lifetime" dataDxfId="80"/>
  </tableColumns>
  <tableStyleInfo name="TableStyleMedium9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537D88C8-13F6-794D-AED4-A5CB1B27E89F}" name="Table55456791564708453758187119187195199231243245247" displayName="Table55456791564708453758187119187195199231243245247" ref="A1:H8" totalsRowShown="0" headerRowDxfId="79" dataDxfId="78">
  <tableColumns count="8">
    <tableColumn id="1" xr3:uid="{D80487CA-1E30-7F49-9F18-0DC2C1C584BE}" name="System" dataDxfId="77"/>
    <tableColumn id="2" xr3:uid="{46459991-2F46-0D41-9C2C-AA8D932C1C7A}" name="This Week" dataDxfId="76"/>
    <tableColumn id="3" xr3:uid="{05030C9A-7300-5C46-B8E1-766DBA5E0985}" name="Last Week" dataDxfId="75"/>
    <tableColumn id="4" xr3:uid="{4D016E99-5D5D-D648-98F7-F48C656A89AF}" name="Percentage change" dataDxfId="74">
      <calculatedColumnFormula>(Table55456791564708453758187119187195199231243245247[[#This Row],[This Week]]-Table55456791564708453758187119187195199231243245247[[#This Row],[Last Week]])/Table55456791564708453758187119187195199231243245247[[#This Row],[Last Week]]</calculatedColumnFormula>
    </tableColumn>
    <tableColumn id="5" xr3:uid="{BF6EC8DF-ED2D-9F46-9167-C2184BE93C26}" name="Last Year" dataDxfId="73"/>
    <tableColumn id="6" xr3:uid="{D430DE57-E32E-F247-B64F-2C72BCF00CA7}" name="Year to date" dataDxfId="72"/>
    <tableColumn id="7" xr3:uid="{CEE9C841-1E33-3F4B-ACF9-6648D5617D24}" name="Year to date 2019" dataDxfId="71"/>
    <tableColumn id="8" xr3:uid="{5FE0F001-818F-634D-AE57-28D9FB5CF7FD}" name="Lifetime" dataDxfId="7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1/15190752.html" TargetMode="External"/><Relationship Id="rId2" Type="http://schemas.openxmlformats.org/officeDocument/2006/relationships/hyperlink" Target="https://www.gematsu.com/2020/01/famitsu-sales-12-30-19-1-12-20" TargetMode="External"/><Relationship Id="rId1" Type="http://schemas.openxmlformats.org/officeDocument/2006/relationships/hyperlink" Target="https://www.perfectly-nintendo.com/japan-famitsu-sales-for-week-1-2020-december-30-january-05-top-30/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3/11194356.html" TargetMode="External"/><Relationship Id="rId2" Type="http://schemas.openxmlformats.org/officeDocument/2006/relationships/hyperlink" Target="https://www.perfectly-nintendo.com/japan-famitsu-sales-for-week-10-2020-march-02-march-08/" TargetMode="External"/><Relationship Id="rId1" Type="http://schemas.openxmlformats.org/officeDocument/2006/relationships/hyperlink" Target="https://www.gematsu.com/2020/03/famitsu-sales-3-2-20-3-8-20" TargetMode="Externa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3/18194917.html" TargetMode="External"/><Relationship Id="rId2" Type="http://schemas.openxmlformats.org/officeDocument/2006/relationships/hyperlink" Target="https://www.perfectly-nintendo.com/japan-famitsu-sales-for-week-11-2020-march-09-march-15/" TargetMode="External"/><Relationship Id="rId1" Type="http://schemas.openxmlformats.org/officeDocument/2006/relationships/hyperlink" Target="https://www.gematsu.com/2020/03/famitsu-sales-3-9-20-3-15-20" TargetMode="Externa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3/25195365.html" TargetMode="External"/><Relationship Id="rId2" Type="http://schemas.openxmlformats.org/officeDocument/2006/relationships/hyperlink" Target="https://www.perfectly-nintendo.com/japan-famitsu-sales-for-week-12-2020-march-16-march-22/" TargetMode="External"/><Relationship Id="rId1" Type="http://schemas.openxmlformats.org/officeDocument/2006/relationships/hyperlink" Target="https://www.gematsu.com/2020/03/famitsu-sales-3-16-20-3-22-20" TargetMode="Externa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4/01195865.html" TargetMode="External"/><Relationship Id="rId2" Type="http://schemas.openxmlformats.org/officeDocument/2006/relationships/hyperlink" Target="https://www.perfectly-nintendo.com/japan-famitsu-sales-for-week-13-2020-march-23-march-29/" TargetMode="External"/><Relationship Id="rId1" Type="http://schemas.openxmlformats.org/officeDocument/2006/relationships/hyperlink" Target="https://www.gematsu.com/2020/04/famitsu-sales-3-23-20-3-29-20" TargetMode="External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4/01195865.html" TargetMode="External"/><Relationship Id="rId2" Type="http://schemas.openxmlformats.org/officeDocument/2006/relationships/hyperlink" Target="https://www.perfectly-nintendo.com/japan-famitsu-sales-for-week-14-2020-march-30-april-05/" TargetMode="External"/><Relationship Id="rId1" Type="http://schemas.openxmlformats.org/officeDocument/2006/relationships/hyperlink" Target="https://www.gematsu.com/2020/04/famitsu-sales-3-23-20-3-29-20" TargetMode="Externa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4/16196823.html" TargetMode="External"/><Relationship Id="rId2" Type="http://schemas.openxmlformats.org/officeDocument/2006/relationships/hyperlink" Target="https://www.gematsu.com/2020/04/famitsu-sales-4-6-20-4-12-20" TargetMode="External"/><Relationship Id="rId1" Type="http://schemas.openxmlformats.org/officeDocument/2006/relationships/hyperlink" Target="https://www.perfectly-nintendo.com/japan-famitsu-sales-for-week-15-2020-april-06-april-12/" TargetMode="External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4/23197315.html" TargetMode="External"/><Relationship Id="rId2" Type="http://schemas.openxmlformats.org/officeDocument/2006/relationships/hyperlink" Target="https://www.gematsu.com/2020/04/famitsu-sales-4-13-20-4-19-20" TargetMode="External"/><Relationship Id="rId1" Type="http://schemas.openxmlformats.org/officeDocument/2006/relationships/hyperlink" Target="https://www.perfectly-nintendo.com/japan-famitsu-sales-for-week-16-2020-april-13-april-19/" TargetMode="External"/><Relationship Id="rId5" Type="http://schemas.openxmlformats.org/officeDocument/2006/relationships/table" Target="../tables/table32.xml"/><Relationship Id="rId4" Type="http://schemas.openxmlformats.org/officeDocument/2006/relationships/table" Target="../tables/table3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4/30197772.html" TargetMode="External"/><Relationship Id="rId2" Type="http://schemas.openxmlformats.org/officeDocument/2006/relationships/hyperlink" Target="https://www.gematsu.com/2020/04/famitsu-sales-4-20-20-4-26-20" TargetMode="External"/><Relationship Id="rId1" Type="http://schemas.openxmlformats.org/officeDocument/2006/relationships/hyperlink" Target="https://www.perfectly-nintendo.com/japan-famitsu-sales-for-week-17-2020-april-20-april-26/" TargetMode="Externa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5/14198426.html" TargetMode="External"/><Relationship Id="rId2" Type="http://schemas.openxmlformats.org/officeDocument/2006/relationships/hyperlink" Target="https://www.gematsu.com/2020/05/famitsu-sales-4-27-20-5-10-20" TargetMode="External"/><Relationship Id="rId1" Type="http://schemas.openxmlformats.org/officeDocument/2006/relationships/hyperlink" Target="https://www.perfectly-nintendo.com/japan-famitsu-and-media-create-sales-for-week-18-and-19-2020-april-27-may-10-top-30/" TargetMode="External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5/14198426.html" TargetMode="External"/><Relationship Id="rId2" Type="http://schemas.openxmlformats.org/officeDocument/2006/relationships/hyperlink" Target="https://www.gematsu.com/2020/05/famitsu-sales-4-27-20-5-10-20" TargetMode="External"/><Relationship Id="rId1" Type="http://schemas.openxmlformats.org/officeDocument/2006/relationships/hyperlink" Target="https://www.perfectly-nintendo.com/japan-famitsu-and-media-create-sales-for-week-18-and-19-2020-april-27-may-10-top-30/" TargetMode="External"/><Relationship Id="rId5" Type="http://schemas.openxmlformats.org/officeDocument/2006/relationships/table" Target="../tables/table38.xml"/><Relationship Id="rId4" Type="http://schemas.openxmlformats.org/officeDocument/2006/relationships/table" Target="../tables/table3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1/15190752.html" TargetMode="External"/><Relationship Id="rId2" Type="http://schemas.openxmlformats.org/officeDocument/2006/relationships/hyperlink" Target="https://www.perfectly-nintendo.com/japan-famitsu-sales-for-week-2-2020-january-06-january-12/" TargetMode="External"/><Relationship Id="rId1" Type="http://schemas.openxmlformats.org/officeDocument/2006/relationships/hyperlink" Target="https://www.gematsu.com/2020/01/famitsu-sales-12-30-19-1-12-20" TargetMode="Externa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5/21198813.html" TargetMode="External"/><Relationship Id="rId2" Type="http://schemas.openxmlformats.org/officeDocument/2006/relationships/hyperlink" Target="https://www.gematsu.com/2020/05/famitsu-sales-5-11-20-5-17-20" TargetMode="External"/><Relationship Id="rId1" Type="http://schemas.openxmlformats.org/officeDocument/2006/relationships/hyperlink" Target="https://www.perfectly-nintendo.com/japan-famitsu-and-media-create-sales-for-week-18-and-19-2020-april-27-may-10-top-30/" TargetMode="External"/><Relationship Id="rId5" Type="http://schemas.openxmlformats.org/officeDocument/2006/relationships/table" Target="../tables/table40.xml"/><Relationship Id="rId4" Type="http://schemas.openxmlformats.org/officeDocument/2006/relationships/table" Target="../tables/table3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5/28199259.html" TargetMode="External"/><Relationship Id="rId2" Type="http://schemas.openxmlformats.org/officeDocument/2006/relationships/hyperlink" Target="https://www.gematsu.com/2020/05/famitsu-sales-5-18-20-5-24-20" TargetMode="External"/><Relationship Id="rId1" Type="http://schemas.openxmlformats.org/officeDocument/2006/relationships/hyperlink" Target="https://www.perfectly-nintendo.com/japan-taiwan-s-korea-famitsu-and-media-create-sales-for-week-22-2020-may-18-may-24/" TargetMode="External"/><Relationship Id="rId5" Type="http://schemas.openxmlformats.org/officeDocument/2006/relationships/table" Target="../tables/table42.xml"/><Relationship Id="rId4" Type="http://schemas.openxmlformats.org/officeDocument/2006/relationships/table" Target="../tables/table4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6/04199676.html" TargetMode="External"/><Relationship Id="rId2" Type="http://schemas.openxmlformats.org/officeDocument/2006/relationships/hyperlink" Target="https://www.gematsu.com/2020/06/famitsu-sales-5-25-20-5-31-20" TargetMode="External"/><Relationship Id="rId1" Type="http://schemas.openxmlformats.org/officeDocument/2006/relationships/hyperlink" Target="https://www.perfectly-nintendo.com/japan-taiwan-s-korea-famitsu-and-media-create-sales-for-week-22-2020-may-25-may-31/" TargetMode="Externa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6/11200066.html" TargetMode="External"/><Relationship Id="rId2" Type="http://schemas.openxmlformats.org/officeDocument/2006/relationships/hyperlink" Target="https://www.gematsu.com/2020/06/famitsu-sales-6-1-20-6-7-20" TargetMode="External"/><Relationship Id="rId1" Type="http://schemas.openxmlformats.org/officeDocument/2006/relationships/hyperlink" Target="https://www.perfectly-nintendo.com/japan-taiwan-s-korea-famitsu-and-media-create-sales-for-week-23-2020-june-01-june-07/" TargetMode="External"/><Relationship Id="rId5" Type="http://schemas.openxmlformats.org/officeDocument/2006/relationships/table" Target="../tables/table46.xml"/><Relationship Id="rId4" Type="http://schemas.openxmlformats.org/officeDocument/2006/relationships/table" Target="../tables/table45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6/18200580.html" TargetMode="External"/><Relationship Id="rId2" Type="http://schemas.openxmlformats.org/officeDocument/2006/relationships/hyperlink" Target="https://www.gematsu.com/2020/06/famitsu-sales-6-8-20-6-14-20" TargetMode="External"/><Relationship Id="rId1" Type="http://schemas.openxmlformats.org/officeDocument/2006/relationships/hyperlink" Target="https://www.perfectly-nintendo.com/japan-taiwan-s-korea-famitsu-and-media-create-sales-for-week-24-2020-june-08-june-14/" TargetMode="External"/><Relationship Id="rId5" Type="http://schemas.openxmlformats.org/officeDocument/2006/relationships/table" Target="../tables/table48.xml"/><Relationship Id="rId4" Type="http://schemas.openxmlformats.org/officeDocument/2006/relationships/table" Target="../tables/table47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6/25201047.html" TargetMode="External"/><Relationship Id="rId2" Type="http://schemas.openxmlformats.org/officeDocument/2006/relationships/hyperlink" Target="https://www.gematsu.com/2020/06/famitsu-sales-6-15-20-6-21-20" TargetMode="External"/><Relationship Id="rId1" Type="http://schemas.openxmlformats.org/officeDocument/2006/relationships/hyperlink" Target="https://www.perfectly-nintendo.com/japan-taiwan-s-korea-famitsu-and-media-create-sales-for-week-25-2020-june-15-june-21/" TargetMode="External"/><Relationship Id="rId5" Type="http://schemas.openxmlformats.org/officeDocument/2006/relationships/table" Target="../tables/table50.xml"/><Relationship Id="rId4" Type="http://schemas.openxmlformats.org/officeDocument/2006/relationships/table" Target="../tables/table49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7/02201535.html" TargetMode="External"/><Relationship Id="rId2" Type="http://schemas.openxmlformats.org/officeDocument/2006/relationships/hyperlink" Target="https://www.gematsu.com/2020/07/famitsu-sales-6-22-20-6-28-20" TargetMode="External"/><Relationship Id="rId1" Type="http://schemas.openxmlformats.org/officeDocument/2006/relationships/hyperlink" Target="https://www.perfectly-nintendo.com/japan-taiwan-s-korea-famitsu-and-media-create-sales-for-week-26-2020-june-22-june-28-top-30/" TargetMode="External"/><Relationship Id="rId5" Type="http://schemas.openxmlformats.org/officeDocument/2006/relationships/table" Target="../tables/table52.xml"/><Relationship Id="rId4" Type="http://schemas.openxmlformats.org/officeDocument/2006/relationships/table" Target="../tables/table51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7/09201930.html" TargetMode="External"/><Relationship Id="rId2" Type="http://schemas.openxmlformats.org/officeDocument/2006/relationships/hyperlink" Target="https://www.gematsu.com/2020/07/famitsu-sales-6-29-20-7-5-20" TargetMode="External"/><Relationship Id="rId1" Type="http://schemas.openxmlformats.org/officeDocument/2006/relationships/hyperlink" Target="https://www.perfectly-nintendo.com/japan-taiwan-s-korea-famitsu-and-media-create-sales-for-week-27-2020-june-29-july-05/" TargetMode="External"/><Relationship Id="rId5" Type="http://schemas.openxmlformats.org/officeDocument/2006/relationships/table" Target="../tables/table54.xml"/><Relationship Id="rId4" Type="http://schemas.openxmlformats.org/officeDocument/2006/relationships/table" Target="../tables/table5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7/16202343.html" TargetMode="External"/><Relationship Id="rId2" Type="http://schemas.openxmlformats.org/officeDocument/2006/relationships/hyperlink" Target="https://www.gematsu.com/2020/07/famitsu-sales-7-6-20-7-12-20" TargetMode="External"/><Relationship Id="rId1" Type="http://schemas.openxmlformats.org/officeDocument/2006/relationships/hyperlink" Target="https://www.perfectly-nintendo.com/japan-taiwan-s-korea-famitsu-and-media-create-sales-for-week-28-2020-july-06-july-12/" TargetMode="External"/><Relationship Id="rId5" Type="http://schemas.openxmlformats.org/officeDocument/2006/relationships/table" Target="../tables/table56.xml"/><Relationship Id="rId4" Type="http://schemas.openxmlformats.org/officeDocument/2006/relationships/table" Target="../tables/table5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7/23202792.html" TargetMode="External"/><Relationship Id="rId2" Type="http://schemas.openxmlformats.org/officeDocument/2006/relationships/hyperlink" Target="https://www.gematsu.com/2020/07/famitsu-sales-7-13-20-7-19-20" TargetMode="External"/><Relationship Id="rId1" Type="http://schemas.openxmlformats.org/officeDocument/2006/relationships/hyperlink" Target="https://www.perfectly-nintendo.com/japan-taiwan-s-korea-famitsu-and-media-create-sales-for-week-29-2020-july-13-july-19/" TargetMode="External"/><Relationship Id="rId5" Type="http://schemas.openxmlformats.org/officeDocument/2006/relationships/table" Target="../tables/table58.xml"/><Relationship Id="rId4" Type="http://schemas.openxmlformats.org/officeDocument/2006/relationships/table" Target="../tables/table5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1/22191146.html" TargetMode="External"/><Relationship Id="rId2" Type="http://schemas.openxmlformats.org/officeDocument/2006/relationships/hyperlink" Target="https://www.perfectly-nintendo.com/japan-famitsu-sales-for-week-3-2020-january-13-january-19/" TargetMode="External"/><Relationship Id="rId1" Type="http://schemas.openxmlformats.org/officeDocument/2006/relationships/hyperlink" Target="https://www.gematsu.com/2020/01/famitsu-sales-1-13-20-1-19-20" TargetMode="Externa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7/30203142.html" TargetMode="External"/><Relationship Id="rId2" Type="http://schemas.openxmlformats.org/officeDocument/2006/relationships/hyperlink" Target="https://www.gematsu.com/2020/07/famitsu-sales-7-20-20-7-26-20" TargetMode="External"/><Relationship Id="rId1" Type="http://schemas.openxmlformats.org/officeDocument/2006/relationships/hyperlink" Target="https://www.perfectly-nintendo.com/japan-taiwan-s-korea-famitsu-and-media-create-sales-for-week-30-2020-july-20-july-26/" TargetMode="External"/><Relationship Id="rId5" Type="http://schemas.openxmlformats.org/officeDocument/2006/relationships/table" Target="../tables/table60.xml"/><Relationship Id="rId4" Type="http://schemas.openxmlformats.org/officeDocument/2006/relationships/table" Target="../tables/table5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ematsu.com/2020/08/famitsu-sales-7-27-20-8-2-20" TargetMode="External"/><Relationship Id="rId2" Type="http://schemas.openxmlformats.org/officeDocument/2006/relationships/hyperlink" Target="https://www.famitsu.com/news/202008/06203518.html" TargetMode="External"/><Relationship Id="rId1" Type="http://schemas.openxmlformats.org/officeDocument/2006/relationships/hyperlink" Target="https://www.perfectly-nintendo.com/japan-taiwan-s-korea-famitsu-and-media-create-sales-for-week-31-2020-july-27-august-02/" TargetMode="External"/><Relationship Id="rId5" Type="http://schemas.openxmlformats.org/officeDocument/2006/relationships/table" Target="../tables/table62.xml"/><Relationship Id="rId4" Type="http://schemas.openxmlformats.org/officeDocument/2006/relationships/table" Target="../tables/table6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ematsu.com/2020/08/famitsu-sales-8-3-20-8-16-20" TargetMode="External"/><Relationship Id="rId2" Type="http://schemas.openxmlformats.org/officeDocument/2006/relationships/hyperlink" Target="https://www.perfectly-nintendo.com/japan-taiwan-s-korea-famitsu-and-media-create-sales-for-week-32-2020-august-03-august-09/" TargetMode="External"/><Relationship Id="rId1" Type="http://schemas.openxmlformats.org/officeDocument/2006/relationships/hyperlink" Target="https://www.resetera.com/threads/media-create-sales-week-32-2020-aug-03-aug-09.267804/" TargetMode="External"/><Relationship Id="rId6" Type="http://schemas.openxmlformats.org/officeDocument/2006/relationships/table" Target="../tables/table64.xml"/><Relationship Id="rId5" Type="http://schemas.openxmlformats.org/officeDocument/2006/relationships/table" Target="../tables/table63.xml"/><Relationship Id="rId4" Type="http://schemas.openxmlformats.org/officeDocument/2006/relationships/hyperlink" Target="https://www.famitsu.com/news/202008/20204360.html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8/20204360.html" TargetMode="External"/><Relationship Id="rId2" Type="http://schemas.openxmlformats.org/officeDocument/2006/relationships/hyperlink" Target="https://www.gematsu.com/2020/08/famitsu-sales-8-3-20-8-16-20" TargetMode="External"/><Relationship Id="rId1" Type="http://schemas.openxmlformats.org/officeDocument/2006/relationships/hyperlink" Target="https://www.perfectly-nintendo.com/japan-taiwan-s-korea-famitsu-and-media-create-sales-for-week-33-2020-august-10-august-16/" TargetMode="External"/><Relationship Id="rId5" Type="http://schemas.openxmlformats.org/officeDocument/2006/relationships/table" Target="../tables/table66.xml"/><Relationship Id="rId4" Type="http://schemas.openxmlformats.org/officeDocument/2006/relationships/table" Target="../tables/table65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8/27204715.html" TargetMode="External"/><Relationship Id="rId2" Type="http://schemas.openxmlformats.org/officeDocument/2006/relationships/hyperlink" Target="https://www.gematsu.com/2020/08/famitsu-sales-8-17-20-8-23-20" TargetMode="External"/><Relationship Id="rId1" Type="http://schemas.openxmlformats.org/officeDocument/2006/relationships/hyperlink" Target="https://www.perfectly-nintendo.com/japan-taiwan-s-korea-famitsu-and-media-create-sales-for-week-34-2020-august-17-august-23/" TargetMode="External"/><Relationship Id="rId5" Type="http://schemas.openxmlformats.org/officeDocument/2006/relationships/table" Target="../tables/table68.xml"/><Relationship Id="rId4" Type="http://schemas.openxmlformats.org/officeDocument/2006/relationships/table" Target="../tables/table67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9/03205142.html" TargetMode="External"/><Relationship Id="rId2" Type="http://schemas.openxmlformats.org/officeDocument/2006/relationships/hyperlink" Target="https://www.gematsu.com/2020/09/famitsu-sales-8-23-20-8-30-20" TargetMode="External"/><Relationship Id="rId1" Type="http://schemas.openxmlformats.org/officeDocument/2006/relationships/hyperlink" Target="https://www.perfectly-nintendo.com/japan-taiwan-s-korea-famitsu-and-media-create-sales-for-week-35-2020-august-24-august-30/" TargetMode="External"/><Relationship Id="rId5" Type="http://schemas.openxmlformats.org/officeDocument/2006/relationships/table" Target="../tables/table70.xml"/><Relationship Id="rId4" Type="http://schemas.openxmlformats.org/officeDocument/2006/relationships/table" Target="../tables/table69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9/10205549.html" TargetMode="External"/><Relationship Id="rId2" Type="http://schemas.openxmlformats.org/officeDocument/2006/relationships/hyperlink" Target="https://www.gematsu.com/2020/09/famitsu-sales-8-31-20-9-6-20" TargetMode="External"/><Relationship Id="rId1" Type="http://schemas.openxmlformats.org/officeDocument/2006/relationships/hyperlink" Target="https://www.perfectly-nintendo.com/japan-taiwan-s-korea-famitsu-and-media-create-sales-for-week-36-2020-august-31-september-06/" TargetMode="External"/><Relationship Id="rId5" Type="http://schemas.openxmlformats.org/officeDocument/2006/relationships/table" Target="../tables/table72.xml"/><Relationship Id="rId4" Type="http://schemas.openxmlformats.org/officeDocument/2006/relationships/table" Target="../tables/table71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37-2020-september-07-september-13/" TargetMode="External"/><Relationship Id="rId2" Type="http://schemas.openxmlformats.org/officeDocument/2006/relationships/hyperlink" Target="https://www.famitsu.com/news/202009/17205984.html" TargetMode="External"/><Relationship Id="rId1" Type="http://schemas.openxmlformats.org/officeDocument/2006/relationships/hyperlink" Target="https://www.gematsu.com/2020/09/famitsu-sales-9-7-20-9-13-20" TargetMode="External"/><Relationship Id="rId5" Type="http://schemas.openxmlformats.org/officeDocument/2006/relationships/table" Target="../tables/table74.xml"/><Relationship Id="rId4" Type="http://schemas.openxmlformats.org/officeDocument/2006/relationships/table" Target="../tables/table7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38-2020-september-14-september-20/" TargetMode="External"/><Relationship Id="rId2" Type="http://schemas.openxmlformats.org/officeDocument/2006/relationships/hyperlink" Target="https://www.famitsu.com/news/202009/24206385.html" TargetMode="External"/><Relationship Id="rId1" Type="http://schemas.openxmlformats.org/officeDocument/2006/relationships/hyperlink" Target="https://www.gematsu.com/2020/09/famitsu-sales-9-14-20-9-20-20" TargetMode="External"/><Relationship Id="rId5" Type="http://schemas.openxmlformats.org/officeDocument/2006/relationships/table" Target="../tables/table76.xml"/><Relationship Id="rId4" Type="http://schemas.openxmlformats.org/officeDocument/2006/relationships/table" Target="../tables/table75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39-2020-september-21-september-27/" TargetMode="External"/><Relationship Id="rId2" Type="http://schemas.openxmlformats.org/officeDocument/2006/relationships/hyperlink" Target="https://www.famitsu.com/news/202010/01206944.html" TargetMode="External"/><Relationship Id="rId1" Type="http://schemas.openxmlformats.org/officeDocument/2006/relationships/hyperlink" Target="https://www.gematsu.com/2020/10/famitsu-sales-9-21-20-9-27-20" TargetMode="External"/><Relationship Id="rId5" Type="http://schemas.openxmlformats.org/officeDocument/2006/relationships/table" Target="../tables/table78.xml"/><Relationship Id="rId4" Type="http://schemas.openxmlformats.org/officeDocument/2006/relationships/table" Target="../tables/table7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1/29191604.html" TargetMode="External"/><Relationship Id="rId2" Type="http://schemas.openxmlformats.org/officeDocument/2006/relationships/hyperlink" Target="https://www.perfectly-nintendo.com/japan-famitsu-sales-for-week-4-2020-january-20-january-26/" TargetMode="External"/><Relationship Id="rId1" Type="http://schemas.openxmlformats.org/officeDocument/2006/relationships/hyperlink" Target="https://www.gematsu.com/2020/01/famitsu-sales-1-20-20-1-26-20" TargetMode="Externa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0-2020-september-28-october-04/" TargetMode="External"/><Relationship Id="rId2" Type="http://schemas.openxmlformats.org/officeDocument/2006/relationships/hyperlink" Target="https://www.famitsu.com/news/202010/08207311.html" TargetMode="External"/><Relationship Id="rId1" Type="http://schemas.openxmlformats.org/officeDocument/2006/relationships/hyperlink" Target="https://www.gematsu.com/2020/10/famitsu-sales-9-28-20-10-4-20" TargetMode="External"/><Relationship Id="rId5" Type="http://schemas.openxmlformats.org/officeDocument/2006/relationships/table" Target="../tables/table80.xml"/><Relationship Id="rId4" Type="http://schemas.openxmlformats.org/officeDocument/2006/relationships/table" Target="../tables/table79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1-2020-october-05-october-11/" TargetMode="External"/><Relationship Id="rId2" Type="http://schemas.openxmlformats.org/officeDocument/2006/relationships/hyperlink" Target="https://www.famitsu.com/news/202010/15207705.html" TargetMode="External"/><Relationship Id="rId1" Type="http://schemas.openxmlformats.org/officeDocument/2006/relationships/hyperlink" Target="https://www.gematsu.com/2020/10/famitsu-sales-10-5-20-10-11-20" TargetMode="External"/><Relationship Id="rId5" Type="http://schemas.openxmlformats.org/officeDocument/2006/relationships/table" Target="../tables/table82.xml"/><Relationship Id="rId4" Type="http://schemas.openxmlformats.org/officeDocument/2006/relationships/table" Target="../tables/table8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2-2020-october-12-october-18/" TargetMode="External"/><Relationship Id="rId2" Type="http://schemas.openxmlformats.org/officeDocument/2006/relationships/hyperlink" Target="https://www.famitsu.com/news/202010/22208063.html" TargetMode="External"/><Relationship Id="rId1" Type="http://schemas.openxmlformats.org/officeDocument/2006/relationships/hyperlink" Target="https://www.gematsu.com/2020/10/famitsu-sales-10-12-20-10-18-20" TargetMode="External"/><Relationship Id="rId5" Type="http://schemas.openxmlformats.org/officeDocument/2006/relationships/table" Target="../tables/table84.xml"/><Relationship Id="rId4" Type="http://schemas.openxmlformats.org/officeDocument/2006/relationships/table" Target="../tables/table8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3-2020-october-19-october-25/" TargetMode="External"/><Relationship Id="rId2" Type="http://schemas.openxmlformats.org/officeDocument/2006/relationships/hyperlink" Target="https://www.famitsu.com/news/202010/29208562.html" TargetMode="External"/><Relationship Id="rId1" Type="http://schemas.openxmlformats.org/officeDocument/2006/relationships/hyperlink" Target="https://www.gematsu.com/2020/10/famitsu-sales-10-19-20-10-25-20" TargetMode="External"/><Relationship Id="rId5" Type="http://schemas.openxmlformats.org/officeDocument/2006/relationships/table" Target="../tables/table86.xml"/><Relationship Id="rId4" Type="http://schemas.openxmlformats.org/officeDocument/2006/relationships/table" Target="../tables/table85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4-2020-october-26-november-01/" TargetMode="External"/><Relationship Id="rId2" Type="http://schemas.openxmlformats.org/officeDocument/2006/relationships/hyperlink" Target="https://www.famitsu.com/news/202011/05208921.html" TargetMode="External"/><Relationship Id="rId1" Type="http://schemas.openxmlformats.org/officeDocument/2006/relationships/hyperlink" Target="https://www.gematsu.com/2020/11/famitsu-sales-10-26-20-11-1-20" TargetMode="External"/><Relationship Id="rId5" Type="http://schemas.openxmlformats.org/officeDocument/2006/relationships/table" Target="../tables/table88.xml"/><Relationship Id="rId4" Type="http://schemas.openxmlformats.org/officeDocument/2006/relationships/table" Target="../tables/table87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5-2020-november-02-november-08/" TargetMode="External"/><Relationship Id="rId2" Type="http://schemas.openxmlformats.org/officeDocument/2006/relationships/hyperlink" Target="https://www.famitsu.com/news/202011/12209360.html" TargetMode="External"/><Relationship Id="rId1" Type="http://schemas.openxmlformats.org/officeDocument/2006/relationships/hyperlink" Target="https://www.gematsu.com/2020/11/famitsu-sales-11-2-20-11-8-20" TargetMode="External"/><Relationship Id="rId5" Type="http://schemas.openxmlformats.org/officeDocument/2006/relationships/table" Target="../tables/table90.xml"/><Relationship Id="rId4" Type="http://schemas.openxmlformats.org/officeDocument/2006/relationships/table" Target="../tables/table89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6-2020-november-09-november-15/" TargetMode="External"/><Relationship Id="rId2" Type="http://schemas.openxmlformats.org/officeDocument/2006/relationships/hyperlink" Target="https://www.famitsu.com/news/202011/19209739.html" TargetMode="External"/><Relationship Id="rId1" Type="http://schemas.openxmlformats.org/officeDocument/2006/relationships/hyperlink" Target="https://www.gematsu.com/2020/11/famitsu-sales-11-9-20-11-15-20" TargetMode="External"/><Relationship Id="rId5" Type="http://schemas.openxmlformats.org/officeDocument/2006/relationships/table" Target="../tables/table92.xml"/><Relationship Id="rId4" Type="http://schemas.openxmlformats.org/officeDocument/2006/relationships/table" Target="../tables/table91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7-2020-november-16-november-22/" TargetMode="External"/><Relationship Id="rId2" Type="http://schemas.openxmlformats.org/officeDocument/2006/relationships/hyperlink" Target="https://www.famitsu.com/news/202011/26210170.html" TargetMode="External"/><Relationship Id="rId1" Type="http://schemas.openxmlformats.org/officeDocument/2006/relationships/hyperlink" Target="https://www.gematsu.com/2020/11/famitsu-sales-11-16-20-11-22-20" TargetMode="External"/><Relationship Id="rId5" Type="http://schemas.openxmlformats.org/officeDocument/2006/relationships/table" Target="../tables/table94.xml"/><Relationship Id="rId4" Type="http://schemas.openxmlformats.org/officeDocument/2006/relationships/table" Target="../tables/table9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8-2020-november-23-november-29/" TargetMode="External"/><Relationship Id="rId2" Type="http://schemas.openxmlformats.org/officeDocument/2006/relationships/hyperlink" Target="https://www.famitsu.com/news/202012/03210596.html" TargetMode="External"/><Relationship Id="rId1" Type="http://schemas.openxmlformats.org/officeDocument/2006/relationships/hyperlink" Target="https://www.gematsu.com/2020/12/famitsu-sales-11-23-20-11-29-20" TargetMode="External"/><Relationship Id="rId5" Type="http://schemas.openxmlformats.org/officeDocument/2006/relationships/table" Target="../tables/table96.xml"/><Relationship Id="rId4" Type="http://schemas.openxmlformats.org/officeDocument/2006/relationships/table" Target="../tables/table95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9-2020-november-30-december-06/" TargetMode="External"/><Relationship Id="rId2" Type="http://schemas.openxmlformats.org/officeDocument/2006/relationships/hyperlink" Target="https://www.famitsu.com/news/202012/10211002.html" TargetMode="External"/><Relationship Id="rId1" Type="http://schemas.openxmlformats.org/officeDocument/2006/relationships/hyperlink" Target="https://www.gematsu.com/2020/12/famitsu-sales-11-30-20-12-6-20" TargetMode="External"/><Relationship Id="rId5" Type="http://schemas.openxmlformats.org/officeDocument/2006/relationships/table" Target="../tables/table98.xml"/><Relationship Id="rId4" Type="http://schemas.openxmlformats.org/officeDocument/2006/relationships/table" Target="../tables/table9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2/05192084.html" TargetMode="External"/><Relationship Id="rId2" Type="http://schemas.openxmlformats.org/officeDocument/2006/relationships/hyperlink" Target="https://www.perfectly-nintendo.com/japan-famitsu-sales-for-week-5-2020-january-27-february-02/" TargetMode="External"/><Relationship Id="rId1" Type="http://schemas.openxmlformats.org/officeDocument/2006/relationships/hyperlink" Target="https://www.gematsu.com/2020/02/famitsu-sales-1-27-20-2-2-20" TargetMode="Externa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50-2020-december-07-december-13/" TargetMode="External"/><Relationship Id="rId2" Type="http://schemas.openxmlformats.org/officeDocument/2006/relationships/hyperlink" Target="https://www.famitsu.com/news/202012/17211447.html" TargetMode="External"/><Relationship Id="rId1" Type="http://schemas.openxmlformats.org/officeDocument/2006/relationships/hyperlink" Target="https://www.gematsu.com/2020/12/famitsu-sales-12-7-20-12-13-20" TargetMode="External"/><Relationship Id="rId5" Type="http://schemas.openxmlformats.org/officeDocument/2006/relationships/table" Target="../tables/table100.xml"/><Relationship Id="rId4" Type="http://schemas.openxmlformats.org/officeDocument/2006/relationships/table" Target="../tables/table99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8-2020-november-23-november-29/" TargetMode="External"/><Relationship Id="rId2" Type="http://schemas.openxmlformats.org/officeDocument/2006/relationships/hyperlink" Target="https://www.famitsu.com/news/202012/24211936.html" TargetMode="External"/><Relationship Id="rId1" Type="http://schemas.openxmlformats.org/officeDocument/2006/relationships/hyperlink" Target="https://www.gematsu.com/2020/12/famitsu-sales-12-14-20-12-20-20" TargetMode="External"/><Relationship Id="rId5" Type="http://schemas.openxmlformats.org/officeDocument/2006/relationships/table" Target="../tables/table102.xml"/><Relationship Id="rId4" Type="http://schemas.openxmlformats.org/officeDocument/2006/relationships/table" Target="../tables/table101.x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4.xml"/><Relationship Id="rId1" Type="http://schemas.openxmlformats.org/officeDocument/2006/relationships/table" Target="../tables/table103.x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6.xml"/><Relationship Id="rId1" Type="http://schemas.openxmlformats.org/officeDocument/2006/relationships/table" Target="../tables/table10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2/12192515.html" TargetMode="External"/><Relationship Id="rId2" Type="http://schemas.openxmlformats.org/officeDocument/2006/relationships/hyperlink" Target="https://www.perfectly-nintendo.com/japan-famitsu-sales-for-week-6-2020-february-03-february-09/" TargetMode="External"/><Relationship Id="rId1" Type="http://schemas.openxmlformats.org/officeDocument/2006/relationships/hyperlink" Target="https://www.gematsu.com/2020/02/famitsu-sales-2-3-20-2-9-20" TargetMode="Externa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2/19193008.html" TargetMode="External"/><Relationship Id="rId2" Type="http://schemas.openxmlformats.org/officeDocument/2006/relationships/hyperlink" Target="https://www.perfectly-nintendo.com/japan-famitsu-sales-for-week-7-2020-february-10-february-16/" TargetMode="External"/><Relationship Id="rId1" Type="http://schemas.openxmlformats.org/officeDocument/2006/relationships/hyperlink" Target="https://www.gematsu.com/2020/02/famitsu-sales-2-10-20-2-16-20" TargetMode="Externa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2/26193419.html" TargetMode="External"/><Relationship Id="rId2" Type="http://schemas.openxmlformats.org/officeDocument/2006/relationships/hyperlink" Target="https://www.perfectly-nintendo.com/japan-famitsu-sales-for-week-8-2020-february-17-february-23/" TargetMode="External"/><Relationship Id="rId1" Type="http://schemas.openxmlformats.org/officeDocument/2006/relationships/hyperlink" Target="https://www.gematsu.com/2020/02/famitsu-sales-2-17-20-2-23-20" TargetMode="Externa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3/04193901.html" TargetMode="External"/><Relationship Id="rId2" Type="http://schemas.openxmlformats.org/officeDocument/2006/relationships/hyperlink" Target="https://www.perfectly-nintendo.com/japan-famitsu-sales-for-week-9-2020-february-24-march-01/" TargetMode="External"/><Relationship Id="rId1" Type="http://schemas.openxmlformats.org/officeDocument/2006/relationships/hyperlink" Target="https://www.gematsu.com/2020/03/famitsu-sales-2-24-20-3-1-20" TargetMode="Externa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8CE4-06A5-8E4B-8C2C-3C8F8929192A}">
  <dimension ref="A1:H39"/>
  <sheetViews>
    <sheetView workbookViewId="0">
      <selection activeCell="H1" sqref="H1"/>
    </sheetView>
  </sheetViews>
  <sheetFormatPr baseColWidth="10" defaultRowHeight="16" x14ac:dyDescent="0.2"/>
  <cols>
    <col min="1" max="1" width="18.5" bestFit="1" customWidth="1"/>
    <col min="2" max="3" width="9.83203125" style="1" bestFit="1" customWidth="1"/>
    <col min="4" max="4" width="16.83203125" style="1" bestFit="1" customWidth="1"/>
    <col min="5" max="5" width="8.6640625" style="1" bestFit="1" customWidth="1"/>
    <col min="6" max="6" width="11.1640625" style="1" bestFit="1" customWidth="1"/>
    <col min="7" max="7" width="15.6640625" style="1" bestFit="1" customWidth="1"/>
    <col min="8" max="8" width="10.1640625" style="1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6">
        <v>284827</v>
      </c>
      <c r="C2" s="6">
        <v>234268</v>
      </c>
      <c r="D2" s="16">
        <f>(B2-C2)/C2</f>
        <v>0.21581692762135674</v>
      </c>
      <c r="E2" s="6">
        <v>225698</v>
      </c>
      <c r="F2" s="6">
        <v>284827</v>
      </c>
      <c r="G2" s="6">
        <v>225698</v>
      </c>
      <c r="H2" s="6">
        <f>H9+H10</f>
        <v>11668258</v>
      </c>
    </row>
    <row r="3" spans="1:8" x14ac:dyDescent="0.2">
      <c r="A3" s="10" t="s">
        <v>13</v>
      </c>
      <c r="B3" s="6">
        <v>58244</v>
      </c>
      <c r="C3" s="6">
        <v>81349</v>
      </c>
      <c r="D3" s="16">
        <f t="shared" ref="D3:D6" si="0">(B3-C3)/C3</f>
        <v>-0.28402315947338014</v>
      </c>
      <c r="E3" s="6">
        <v>132566</v>
      </c>
      <c r="F3" s="6">
        <v>58244</v>
      </c>
      <c r="G3" s="6">
        <v>132566</v>
      </c>
      <c r="H3" s="6">
        <f>H11+H12</f>
        <v>8806487</v>
      </c>
    </row>
    <row r="4" spans="1:8" x14ac:dyDescent="0.2">
      <c r="A4" s="10" t="s">
        <v>14</v>
      </c>
      <c r="B4" s="6">
        <v>4030</v>
      </c>
      <c r="C4" s="6">
        <v>3045</v>
      </c>
      <c r="D4" s="16">
        <f t="shared" si="0"/>
        <v>0.32348111658456485</v>
      </c>
      <c r="E4" s="6">
        <v>28969</v>
      </c>
      <c r="F4" s="6">
        <v>4030</v>
      </c>
      <c r="G4" s="6">
        <v>28969</v>
      </c>
      <c r="H4" s="6">
        <v>24500344</v>
      </c>
    </row>
    <row r="5" spans="1:8" x14ac:dyDescent="0.2">
      <c r="A5" s="8" t="s">
        <v>15</v>
      </c>
      <c r="B5" s="6">
        <v>112</v>
      </c>
      <c r="C5" s="6">
        <v>297</v>
      </c>
      <c r="D5" s="16">
        <f t="shared" si="0"/>
        <v>-0.62289562289562295</v>
      </c>
      <c r="E5" s="6">
        <v>257</v>
      </c>
      <c r="F5" s="6">
        <v>112</v>
      </c>
      <c r="G5" s="6">
        <v>257</v>
      </c>
      <c r="H5" s="6">
        <v>111356</v>
      </c>
    </row>
    <row r="6" spans="1:8" x14ac:dyDescent="0.2">
      <c r="A6" s="31" t="s">
        <v>16</v>
      </c>
      <c r="B6" s="32">
        <f>SUM(B2:B5)</f>
        <v>347213</v>
      </c>
      <c r="C6" s="32">
        <f t="shared" ref="C6:F6" si="1">SUM(C2:C5)</f>
        <v>318959</v>
      </c>
      <c r="D6" s="33">
        <f t="shared" si="0"/>
        <v>8.858191805216345E-2</v>
      </c>
      <c r="E6" s="32">
        <f>SUM(E2:E5)+3577</f>
        <v>391067</v>
      </c>
      <c r="F6" s="32">
        <f t="shared" si="1"/>
        <v>347213</v>
      </c>
      <c r="G6" s="32">
        <f>SUM(G2:G5)+3577</f>
        <v>391067</v>
      </c>
      <c r="H6" s="32">
        <f>SUM(H2:H5)</f>
        <v>45086445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18" t="s">
        <v>12</v>
      </c>
      <c r="B9" s="19">
        <v>177428</v>
      </c>
      <c r="C9" s="19">
        <v>141227</v>
      </c>
      <c r="D9" s="20">
        <f t="shared" ref="D9:D16" si="2">(B9-C9)/C9</f>
        <v>0.25633200450338817</v>
      </c>
      <c r="E9" s="19">
        <v>225698</v>
      </c>
      <c r="F9" s="19">
        <v>177428</v>
      </c>
      <c r="G9" s="19">
        <v>225698</v>
      </c>
      <c r="H9" s="21">
        <v>10515476</v>
      </c>
    </row>
    <row r="10" spans="1:8" x14ac:dyDescent="0.2">
      <c r="A10" s="22" t="s">
        <v>18</v>
      </c>
      <c r="B10" s="23">
        <v>107399</v>
      </c>
      <c r="C10" s="23">
        <v>93041</v>
      </c>
      <c r="D10" s="24">
        <f t="shared" si="2"/>
        <v>0.15431906363861095</v>
      </c>
      <c r="E10" s="23" t="s">
        <v>17</v>
      </c>
      <c r="F10" s="23">
        <v>107399</v>
      </c>
      <c r="G10" s="23" t="s">
        <v>17</v>
      </c>
      <c r="H10" s="25">
        <v>1152782</v>
      </c>
    </row>
    <row r="11" spans="1:8" x14ac:dyDescent="0.2">
      <c r="A11" s="18" t="s">
        <v>21</v>
      </c>
      <c r="B11" s="19">
        <v>30859</v>
      </c>
      <c r="C11" s="19">
        <v>22226</v>
      </c>
      <c r="D11" s="20">
        <f t="shared" si="2"/>
        <v>0.38841896877530818</v>
      </c>
      <c r="E11" s="19">
        <v>32158</v>
      </c>
      <c r="F11" s="19">
        <v>30859</v>
      </c>
      <c r="G11" s="19">
        <v>32158</v>
      </c>
      <c r="H11" s="21">
        <v>1425829</v>
      </c>
    </row>
    <row r="12" spans="1:8" x14ac:dyDescent="0.2">
      <c r="A12" s="26" t="s">
        <v>13</v>
      </c>
      <c r="B12" s="23">
        <v>27385</v>
      </c>
      <c r="C12" s="23">
        <v>59123</v>
      </c>
      <c r="D12" s="24">
        <f t="shared" si="2"/>
        <v>-0.53681308458637078</v>
      </c>
      <c r="E12" s="23">
        <v>100408</v>
      </c>
      <c r="F12" s="23">
        <v>27385</v>
      </c>
      <c r="G12" s="23">
        <v>100408</v>
      </c>
      <c r="H12" s="25">
        <v>7380658</v>
      </c>
    </row>
    <row r="13" spans="1:8" x14ac:dyDescent="0.2">
      <c r="A13" s="18" t="s">
        <v>22</v>
      </c>
      <c r="B13" s="19">
        <v>3933</v>
      </c>
      <c r="C13" s="19">
        <v>2875</v>
      </c>
      <c r="D13" s="20">
        <f t="shared" si="2"/>
        <v>0.36799999999999999</v>
      </c>
      <c r="E13" s="19">
        <v>25112</v>
      </c>
      <c r="F13" s="19">
        <v>3933</v>
      </c>
      <c r="G13" s="19">
        <v>25112</v>
      </c>
      <c r="H13" s="21">
        <v>1108346</v>
      </c>
    </row>
    <row r="14" spans="1:8" x14ac:dyDescent="0.2">
      <c r="A14" s="26" t="s">
        <v>23</v>
      </c>
      <c r="B14" s="23">
        <v>97</v>
      </c>
      <c r="C14" s="23">
        <v>170</v>
      </c>
      <c r="D14" s="24">
        <f t="shared" si="2"/>
        <v>-0.42941176470588233</v>
      </c>
      <c r="E14" s="23">
        <v>3441</v>
      </c>
      <c r="F14" s="23">
        <v>97</v>
      </c>
      <c r="G14" s="23">
        <v>3441</v>
      </c>
      <c r="H14" s="25">
        <v>5886012</v>
      </c>
    </row>
    <row r="15" spans="1:8" x14ac:dyDescent="0.2">
      <c r="A15" s="18" t="s">
        <v>19</v>
      </c>
      <c r="B15" s="19">
        <v>58</v>
      </c>
      <c r="C15" s="19">
        <v>195</v>
      </c>
      <c r="D15" s="20">
        <f t="shared" si="2"/>
        <v>-0.70256410256410251</v>
      </c>
      <c r="E15" s="19">
        <v>179</v>
      </c>
      <c r="F15" s="19">
        <v>58</v>
      </c>
      <c r="G15" s="19">
        <v>179</v>
      </c>
      <c r="H15" s="21">
        <v>18700</v>
      </c>
    </row>
    <row r="16" spans="1:8" x14ac:dyDescent="0.2">
      <c r="A16" s="27" t="s">
        <v>20</v>
      </c>
      <c r="B16" s="28">
        <v>54</v>
      </c>
      <c r="C16" s="28">
        <v>102</v>
      </c>
      <c r="D16" s="29">
        <f t="shared" si="2"/>
        <v>-0.47058823529411764</v>
      </c>
      <c r="E16" s="28">
        <v>78</v>
      </c>
      <c r="F16" s="28">
        <v>54</v>
      </c>
      <c r="G16" s="28">
        <v>78</v>
      </c>
      <c r="H16" s="30">
        <v>20656</v>
      </c>
    </row>
    <row r="17" spans="1:8" x14ac:dyDescent="0.2">
      <c r="A17" s="10"/>
      <c r="B17" s="6"/>
      <c r="C17" s="6"/>
      <c r="D17" s="6"/>
      <c r="E17" s="6"/>
      <c r="F17" s="6"/>
      <c r="G17" s="6"/>
      <c r="H17" s="6"/>
    </row>
    <row r="19" spans="1:8" x14ac:dyDescent="0.2">
      <c r="A19" s="1" t="s">
        <v>4</v>
      </c>
    </row>
    <row r="20" spans="1:8" x14ac:dyDescent="0.2">
      <c r="A20" s="9" t="s">
        <v>5</v>
      </c>
    </row>
    <row r="21" spans="1:8" x14ac:dyDescent="0.2">
      <c r="A21" s="9" t="s">
        <v>3</v>
      </c>
    </row>
    <row r="22" spans="1:8" x14ac:dyDescent="0.2">
      <c r="A22" s="9" t="s">
        <v>6</v>
      </c>
    </row>
    <row r="26" spans="1:8" x14ac:dyDescent="0.2">
      <c r="A26" s="10"/>
      <c r="B26" s="5"/>
      <c r="C26" s="6"/>
      <c r="D26" s="6"/>
      <c r="E26" s="6"/>
      <c r="F26" s="6"/>
      <c r="G26" s="6"/>
      <c r="H26" s="6"/>
    </row>
    <row r="27" spans="1:8" x14ac:dyDescent="0.2">
      <c r="A27" s="10"/>
      <c r="B27" s="6"/>
      <c r="C27" s="6"/>
      <c r="D27" s="7"/>
      <c r="E27" s="7"/>
      <c r="F27" s="6"/>
      <c r="G27" s="6"/>
      <c r="H27" s="6"/>
    </row>
    <row r="28" spans="1:8" x14ac:dyDescent="0.2">
      <c r="A28" s="10"/>
      <c r="B28" s="6"/>
      <c r="C28" s="6"/>
      <c r="D28" s="6"/>
      <c r="E28" s="6"/>
      <c r="F28" s="6"/>
      <c r="G28" s="6"/>
      <c r="H28" s="6"/>
    </row>
    <row r="29" spans="1:8" x14ac:dyDescent="0.2">
      <c r="A29" s="10"/>
      <c r="B29" s="5"/>
      <c r="C29" s="6"/>
      <c r="D29" s="7"/>
      <c r="E29" s="7"/>
      <c r="F29" s="6"/>
      <c r="G29" s="6"/>
      <c r="H29" s="6"/>
    </row>
    <row r="30" spans="1:8" x14ac:dyDescent="0.2">
      <c r="A30" s="10"/>
      <c r="B30" s="5"/>
      <c r="C30" s="6"/>
      <c r="D30" s="7"/>
      <c r="E30" s="7"/>
      <c r="F30" s="6"/>
      <c r="G30" s="6"/>
      <c r="H30" s="6"/>
    </row>
    <row r="31" spans="1:8" x14ac:dyDescent="0.2">
      <c r="A31" s="2"/>
    </row>
    <row r="32" spans="1:8" x14ac:dyDescent="0.2">
      <c r="A32" s="2"/>
      <c r="D32" s="6"/>
      <c r="E32" s="6"/>
      <c r="F32" s="6"/>
    </row>
    <row r="33" spans="1:6" x14ac:dyDescent="0.2">
      <c r="A33" s="2"/>
      <c r="D33" s="6"/>
      <c r="E33" s="6"/>
      <c r="F33" s="6"/>
    </row>
    <row r="34" spans="1:6" x14ac:dyDescent="0.2">
      <c r="A34" s="2"/>
      <c r="D34" s="6"/>
      <c r="E34" s="6"/>
      <c r="F34" s="6"/>
    </row>
    <row r="35" spans="1:6" x14ac:dyDescent="0.2">
      <c r="A35" s="2"/>
    </row>
    <row r="36" spans="1:6" x14ac:dyDescent="0.2">
      <c r="A36" s="2"/>
    </row>
    <row r="37" spans="1:6" x14ac:dyDescent="0.2">
      <c r="A37" s="2"/>
      <c r="E37" s="9"/>
    </row>
    <row r="38" spans="1:6" x14ac:dyDescent="0.2">
      <c r="A38" s="2"/>
      <c r="E38" s="9"/>
    </row>
    <row r="39" spans="1:6" x14ac:dyDescent="0.2">
      <c r="A39" s="2"/>
      <c r="E39" s="9"/>
    </row>
  </sheetData>
  <hyperlinks>
    <hyperlink ref="A22" r:id="rId1" xr:uid="{0DE96593-5A4E-C949-8AF6-F7D3E8036782}"/>
    <hyperlink ref="A21" r:id="rId2" xr:uid="{2717A3FC-EAD7-8E4E-BBE1-1B20EBF78CCA}"/>
    <hyperlink ref="A20" r:id="rId3" xr:uid="{5C8168DE-1A1F-114D-BE31-9BC61F8CC9CD}"/>
  </hyperlinks>
  <pageMargins left="0.7" right="0.7" top="0.75" bottom="0.75" header="0.3" footer="0.3"/>
  <ignoredErrors>
    <ignoredError sqref="D6" formula="1"/>
  </ignoredErrors>
  <tableParts count="2"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019B-99D9-6C40-AE65-FD97E682C45F}">
  <dimension ref="A1:H22"/>
  <sheetViews>
    <sheetView workbookViewId="0">
      <selection activeCell="H1" sqref="H1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50585</v>
      </c>
      <c r="C2" s="1">
        <v>53098</v>
      </c>
      <c r="D2" s="43">
        <f>(Table5545679156470[[#This Row],[This Week]]-Table5545679156470[[#This Row],[Last Week]])/Table5545679156470[[#This Row],[Last Week]]</f>
        <v>-4.7327582959810162E-2</v>
      </c>
      <c r="E2" s="1">
        <v>67624</v>
      </c>
      <c r="F2" s="1">
        <v>967941</v>
      </c>
      <c r="G2" s="1">
        <v>807081</v>
      </c>
      <c r="H2" s="1">
        <f>H9+H11</f>
        <v>12351372</v>
      </c>
    </row>
    <row r="3" spans="1:8" x14ac:dyDescent="0.2">
      <c r="A3" s="10" t="s">
        <v>13</v>
      </c>
      <c r="B3" s="1">
        <v>13771</v>
      </c>
      <c r="C3" s="1">
        <v>9583</v>
      </c>
      <c r="D3" s="43">
        <f>(Table5545679156470[[#This Row],[This Week]]-Table5545679156470[[#This Row],[Last Week]])/Table5545679156470[[#This Row],[Last Week]]</f>
        <v>0.43702389648335593</v>
      </c>
      <c r="E3" s="1">
        <v>29949</v>
      </c>
      <c r="F3" s="1">
        <v>128948</v>
      </c>
      <c r="G3" s="1">
        <v>360930</v>
      </c>
      <c r="H3" s="1">
        <f>H10+H12</f>
        <v>8877191</v>
      </c>
    </row>
    <row r="4" spans="1:8" x14ac:dyDescent="0.2">
      <c r="A4" s="10" t="s">
        <v>14</v>
      </c>
      <c r="B4" s="1">
        <v>1297</v>
      </c>
      <c r="C4" s="1">
        <v>1131</v>
      </c>
      <c r="D4" s="43">
        <f>(Table5545679156470[[#This Row],[This Week]]-Table5545679156470[[#This Row],[Last Week]])/Table5545679156470[[#This Row],[Last Week]]</f>
        <v>0.14677276746242263</v>
      </c>
      <c r="E4" s="1">
        <v>4276</v>
      </c>
      <c r="F4" s="1">
        <v>11846</v>
      </c>
      <c r="G4" s="1">
        <v>69966</v>
      </c>
      <c r="H4" s="1">
        <v>24507993</v>
      </c>
    </row>
    <row r="5" spans="1:8" x14ac:dyDescent="0.2">
      <c r="A5" s="8" t="s">
        <v>15</v>
      </c>
      <c r="B5" s="1">
        <v>89</v>
      </c>
      <c r="C5" s="1">
        <v>72</v>
      </c>
      <c r="D5" s="43">
        <f>(Table5545679156470[[#This Row],[This Week]]-Table5545679156470[[#This Row],[Last Week]])/Table5545679156470[[#This Row],[Last Week]]</f>
        <v>0.2361111111111111</v>
      </c>
      <c r="E5" s="1">
        <v>65</v>
      </c>
      <c r="F5" s="1">
        <v>723</v>
      </c>
      <c r="G5" s="1">
        <v>1386</v>
      </c>
      <c r="H5" s="1">
        <v>111967</v>
      </c>
    </row>
    <row r="6" spans="1:8" x14ac:dyDescent="0.2">
      <c r="A6" s="31" t="s">
        <v>16</v>
      </c>
      <c r="B6" s="32">
        <f>SUM(B2:B5)</f>
        <v>65742</v>
      </c>
      <c r="C6" s="32">
        <f>SUM(C2:C5)</f>
        <v>63884</v>
      </c>
      <c r="D6" s="46">
        <f>(Table5545679156470[[#This Row],[This Week]]-Table5545679156470[[#This Row],[Last Week]])/Table5545679156470[[#This Row],[Last Week]]</f>
        <v>2.9083964685993363E-2</v>
      </c>
      <c r="E6" s="32">
        <f>SUM(E2:E5)+6403</f>
        <v>108317</v>
      </c>
      <c r="F6" s="32">
        <f>SUM(F2:F5)</f>
        <v>1109458</v>
      </c>
      <c r="G6" s="32">
        <f>SUM(G2:G5)+27818</f>
        <v>1267181</v>
      </c>
      <c r="H6" s="32">
        <f>SUM(H2:H5)</f>
        <v>45848523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4" t="s">
        <v>18</v>
      </c>
      <c r="B9" s="1">
        <v>46161</v>
      </c>
      <c r="C9" s="1">
        <v>37784</v>
      </c>
      <c r="D9" s="43">
        <f>(Table515557810166571[[#This Row],[This Week]]-Table515557810166571[[#This Row],[Last Week]])/Table515557810166571[[#This Row],[Last Week]]</f>
        <v>0.22170760110099513</v>
      </c>
      <c r="E9" s="1" t="s">
        <v>17</v>
      </c>
      <c r="F9" s="1">
        <v>424843</v>
      </c>
      <c r="G9" s="1" t="s">
        <v>17</v>
      </c>
      <c r="H9" s="1">
        <v>1470226</v>
      </c>
    </row>
    <row r="10" spans="1:8" x14ac:dyDescent="0.2">
      <c r="A10" s="53" t="s">
        <v>13</v>
      </c>
      <c r="B10" s="1">
        <v>9584</v>
      </c>
      <c r="C10" s="1">
        <v>5946</v>
      </c>
      <c r="D10" s="43">
        <f>(Table515557810166571[[#This Row],[This Week]]-Table515557810166571[[#This Row],[Last Week]])/Table515557810166571[[#This Row],[Last Week]]</f>
        <v>0.61183989236461489</v>
      </c>
      <c r="E10" s="1">
        <v>22311</v>
      </c>
      <c r="F10" s="1">
        <v>72556</v>
      </c>
      <c r="G10" s="1">
        <v>231120</v>
      </c>
      <c r="H10" s="1">
        <v>7425829</v>
      </c>
    </row>
    <row r="11" spans="1:8" x14ac:dyDescent="0.2">
      <c r="A11" s="42" t="s">
        <v>12</v>
      </c>
      <c r="B11" s="1">
        <v>4424</v>
      </c>
      <c r="C11" s="1">
        <v>15314</v>
      </c>
      <c r="D11" s="43">
        <f>(Table515557810166571[[#This Row],[This Week]]-Table515557810166571[[#This Row],[Last Week]])/Table515557810166571[[#This Row],[Last Week]]</f>
        <v>-0.7111140133211441</v>
      </c>
      <c r="E11" s="1">
        <v>67624</v>
      </c>
      <c r="F11" s="1">
        <v>543098</v>
      </c>
      <c r="G11" s="1">
        <v>807081</v>
      </c>
      <c r="H11" s="1">
        <v>10881146</v>
      </c>
    </row>
    <row r="12" spans="1:8" x14ac:dyDescent="0.2">
      <c r="A12" t="s">
        <v>21</v>
      </c>
      <c r="B12" s="1">
        <v>4187</v>
      </c>
      <c r="C12" s="1">
        <v>3637</v>
      </c>
      <c r="D12" s="43">
        <f>(Table515557810166571[[#This Row],[This Week]]-Table515557810166571[[#This Row],[Last Week]])/Table515557810166571[[#This Row],[Last Week]]</f>
        <v>0.15122353588122078</v>
      </c>
      <c r="E12" s="1">
        <v>7638</v>
      </c>
      <c r="F12" s="1">
        <v>56392</v>
      </c>
      <c r="G12" s="1">
        <v>129810</v>
      </c>
      <c r="H12" s="1">
        <v>1451362</v>
      </c>
    </row>
    <row r="13" spans="1:8" x14ac:dyDescent="0.2">
      <c r="A13" s="38" t="s">
        <v>22</v>
      </c>
      <c r="B13" s="1">
        <v>1220</v>
      </c>
      <c r="C13" s="1">
        <v>1064</v>
      </c>
      <c r="D13" s="43">
        <f>(Table515557810166571[[#This Row],[This Week]]-Table515557810166571[[#This Row],[Last Week]])/Table515557810166571[[#This Row],[Last Week]]</f>
        <v>0.14661654135338345</v>
      </c>
      <c r="E13" s="1">
        <v>3197</v>
      </c>
      <c r="F13" s="1">
        <v>11194</v>
      </c>
      <c r="G13" s="1">
        <v>53916</v>
      </c>
      <c r="H13" s="1">
        <v>1115440</v>
      </c>
    </row>
    <row r="14" spans="1:8" x14ac:dyDescent="0.2">
      <c r="A14" s="38" t="s">
        <v>23</v>
      </c>
      <c r="B14" s="1">
        <v>77</v>
      </c>
      <c r="C14" s="1">
        <v>67</v>
      </c>
      <c r="D14" s="43">
        <f>(Table515557810166571[[#This Row],[This Week]]-Table515557810166571[[#This Row],[Last Week]])/Table515557810166571[[#This Row],[Last Week]]</f>
        <v>0.14925373134328357</v>
      </c>
      <c r="E14" s="1">
        <v>1079</v>
      </c>
      <c r="F14" s="1">
        <v>652</v>
      </c>
      <c r="G14" s="1">
        <v>14959</v>
      </c>
      <c r="H14" s="1">
        <v>5886567</v>
      </c>
    </row>
    <row r="15" spans="1:8" x14ac:dyDescent="0.2">
      <c r="A15" s="53" t="s">
        <v>20</v>
      </c>
      <c r="B15" s="1">
        <v>60</v>
      </c>
      <c r="C15" s="1">
        <v>35</v>
      </c>
      <c r="D15" s="43">
        <f>(Table515557810166571[[#This Row],[This Week]]-Table515557810166571[[#This Row],[Last Week]])/Table515557810166571[[#This Row],[Last Week]]</f>
        <v>0.7142857142857143</v>
      </c>
      <c r="E15" s="1">
        <v>19</v>
      </c>
      <c r="F15" s="1">
        <v>337</v>
      </c>
      <c r="G15" s="1">
        <v>285</v>
      </c>
      <c r="H15" s="1">
        <v>20939</v>
      </c>
    </row>
    <row r="16" spans="1:8" x14ac:dyDescent="0.2">
      <c r="A16" s="42" t="s">
        <v>19</v>
      </c>
      <c r="B16" s="1">
        <v>29</v>
      </c>
      <c r="C16" s="1">
        <v>37</v>
      </c>
      <c r="D16" s="43">
        <f>(Table515557810166571[[#This Row],[This Week]]-Table515557810166571[[#This Row],[Last Week]])/Table515557810166571[[#This Row],[Last Week]]</f>
        <v>-0.21621621621621623</v>
      </c>
      <c r="E16" s="1">
        <v>46</v>
      </c>
      <c r="F16" s="1">
        <v>386</v>
      </c>
      <c r="G16" s="1">
        <v>1101</v>
      </c>
      <c r="H16" s="1">
        <v>19028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phoneticPr fontId="5" type="noConversion"/>
  <hyperlinks>
    <hyperlink ref="A21" r:id="rId1" xr:uid="{ECC37109-45C1-0744-80C1-5F18B30F0C2F}"/>
    <hyperlink ref="A22" r:id="rId2" xr:uid="{7AD77D5F-E967-CE40-A450-8335504DFFD8}"/>
    <hyperlink ref="A20" r:id="rId3" xr:uid="{1AE298F1-C5C6-A344-9438-04D8FD22DA05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B2A0-5227-0048-BEE6-1E1EF9DFACEC}">
  <dimension ref="A1:H22"/>
  <sheetViews>
    <sheetView workbookViewId="0">
      <selection activeCell="H1" sqref="H1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57274</v>
      </c>
      <c r="C2" s="1">
        <v>50585</v>
      </c>
      <c r="D2" s="43">
        <f>(Table554567915647084[[#This Row],[This Week]]-Table554567915647084[[#This Row],[Last Week]])/Table554567915647084[[#This Row],[Last Week]]</f>
        <v>0.1322328753583078</v>
      </c>
      <c r="E2" s="1">
        <v>55478</v>
      </c>
      <c r="F2" s="1">
        <v>1025215</v>
      </c>
      <c r="G2" s="1">
        <v>862559</v>
      </c>
      <c r="H2" s="1">
        <f>H9+H10</f>
        <v>12408646</v>
      </c>
    </row>
    <row r="3" spans="1:8" x14ac:dyDescent="0.2">
      <c r="A3" s="10" t="s">
        <v>13</v>
      </c>
      <c r="B3" s="1">
        <v>14925</v>
      </c>
      <c r="C3" s="1">
        <v>13771</v>
      </c>
      <c r="D3" s="43">
        <f>(Table554567915647084[[#This Row],[This Week]]-Table554567915647084[[#This Row],[Last Week]])/Table554567915647084[[#This Row],[Last Week]]</f>
        <v>8.3799288359596255E-2</v>
      </c>
      <c r="E3" s="1">
        <v>29948</v>
      </c>
      <c r="F3" s="1">
        <v>143873</v>
      </c>
      <c r="G3" s="1">
        <v>390878</v>
      </c>
      <c r="H3" s="1">
        <f>H11+H12</f>
        <v>8892116</v>
      </c>
    </row>
    <row r="4" spans="1:8" x14ac:dyDescent="0.2">
      <c r="A4" s="10" t="s">
        <v>14</v>
      </c>
      <c r="B4" s="1">
        <v>1362</v>
      </c>
      <c r="C4" s="1">
        <v>1297</v>
      </c>
      <c r="D4" s="43">
        <f>(Table554567915647084[[#This Row],[This Week]]-Table554567915647084[[#This Row],[Last Week]])/Table554567915647084[[#This Row],[Last Week]]</f>
        <v>5.0115651503469548E-2</v>
      </c>
      <c r="E4" s="1">
        <v>4659</v>
      </c>
      <c r="F4" s="1">
        <v>13208</v>
      </c>
      <c r="G4" s="1">
        <v>74625</v>
      </c>
      <c r="H4" s="1">
        <v>24509355</v>
      </c>
    </row>
    <row r="5" spans="1:8" x14ac:dyDescent="0.2">
      <c r="A5" s="8" t="s">
        <v>15</v>
      </c>
      <c r="B5" s="1">
        <v>58</v>
      </c>
      <c r="C5" s="1">
        <v>89</v>
      </c>
      <c r="D5" s="43">
        <f>(Table554567915647084[[#This Row],[This Week]]-Table554567915647084[[#This Row],[Last Week]])/Table554567915647084[[#This Row],[Last Week]]</f>
        <v>-0.34831460674157305</v>
      </c>
      <c r="E5" s="1">
        <v>195</v>
      </c>
      <c r="F5" s="1">
        <v>781</v>
      </c>
      <c r="G5" s="1">
        <v>1581</v>
      </c>
      <c r="H5" s="1">
        <v>112025</v>
      </c>
    </row>
    <row r="6" spans="1:8" x14ac:dyDescent="0.2">
      <c r="A6" s="31" t="s">
        <v>16</v>
      </c>
      <c r="B6" s="32">
        <f>SUM(B2:B5)</f>
        <v>73619</v>
      </c>
      <c r="C6" s="32">
        <f>SUM(C2:C5)</f>
        <v>65742</v>
      </c>
      <c r="D6" s="46">
        <f>(Table554567915647084[[#This Row],[This Week]]-Table554567915647084[[#This Row],[Last Week]])/Table554567915647084[[#This Row],[Last Week]]</f>
        <v>0.11981685984606492</v>
      </c>
      <c r="E6" s="32">
        <f>SUM(E2:E5)+1706</f>
        <v>91986</v>
      </c>
      <c r="F6" s="32">
        <f>SUM(F2:F5)</f>
        <v>1183077</v>
      </c>
      <c r="G6" s="32">
        <f>SUM(G2:G5)+29524</f>
        <v>1359167</v>
      </c>
      <c r="H6" s="32">
        <f>SUM(H2:H5)</f>
        <v>45922142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4" t="s">
        <v>18</v>
      </c>
      <c r="B9" s="1">
        <v>45473</v>
      </c>
      <c r="C9" s="1">
        <v>46161</v>
      </c>
      <c r="D9" s="43">
        <f>(Table51555781016657185[[#This Row],[This Week]]-Table51555781016657185[[#This Row],[Last Week]])/Table51555781016657185[[#This Row],[Last Week]]</f>
        <v>-1.4904356491410498E-2</v>
      </c>
      <c r="E9" s="1" t="s">
        <v>17</v>
      </c>
      <c r="F9" s="1">
        <v>470316</v>
      </c>
      <c r="G9" s="1" t="s">
        <v>17</v>
      </c>
      <c r="H9" s="1">
        <v>1515699</v>
      </c>
    </row>
    <row r="10" spans="1:8" x14ac:dyDescent="0.2">
      <c r="A10" s="42" t="s">
        <v>12</v>
      </c>
      <c r="B10" s="1">
        <v>11801</v>
      </c>
      <c r="C10" s="1">
        <v>4424</v>
      </c>
      <c r="D10" s="43">
        <f>(Table51555781016657185[[#This Row],[This Week]]-Table51555781016657185[[#This Row],[Last Week]])/Table51555781016657185[[#This Row],[Last Week]]</f>
        <v>1.6674954792043399</v>
      </c>
      <c r="E10" s="1">
        <v>55478</v>
      </c>
      <c r="F10" s="1">
        <v>554899</v>
      </c>
      <c r="G10" s="1">
        <v>862559</v>
      </c>
      <c r="H10" s="1">
        <v>10892947</v>
      </c>
    </row>
    <row r="11" spans="1:8" x14ac:dyDescent="0.2">
      <c r="A11" s="53" t="s">
        <v>13</v>
      </c>
      <c r="B11" s="1">
        <v>10516</v>
      </c>
      <c r="C11" s="1">
        <v>9584</v>
      </c>
      <c r="D11" s="43">
        <f>(Table51555781016657185[[#This Row],[This Week]]-Table51555781016657185[[#This Row],[Last Week]])/Table51555781016657185[[#This Row],[Last Week]]</f>
        <v>9.7245409015025042E-2</v>
      </c>
      <c r="E11" s="1">
        <v>21165</v>
      </c>
      <c r="F11" s="1">
        <v>83072</v>
      </c>
      <c r="G11" s="1">
        <v>252285</v>
      </c>
      <c r="H11" s="1">
        <v>7436345</v>
      </c>
    </row>
    <row r="12" spans="1:8" x14ac:dyDescent="0.2">
      <c r="A12" t="s">
        <v>21</v>
      </c>
      <c r="B12" s="1">
        <v>4409</v>
      </c>
      <c r="C12" s="1">
        <v>4187</v>
      </c>
      <c r="D12" s="43">
        <f>(Table51555781016657185[[#This Row],[This Week]]-Table51555781016657185[[#This Row],[Last Week]])/Table51555781016657185[[#This Row],[Last Week]]</f>
        <v>5.3021256269405299E-2</v>
      </c>
      <c r="E12" s="1">
        <v>8783</v>
      </c>
      <c r="F12" s="1">
        <v>60801</v>
      </c>
      <c r="G12" s="1">
        <v>138593</v>
      </c>
      <c r="H12" s="1">
        <v>1455771</v>
      </c>
    </row>
    <row r="13" spans="1:8" x14ac:dyDescent="0.2">
      <c r="A13" s="38" t="s">
        <v>22</v>
      </c>
      <c r="B13" s="1">
        <v>1265</v>
      </c>
      <c r="C13" s="1">
        <v>1220</v>
      </c>
      <c r="D13" s="43">
        <f>(Table51555781016657185[[#This Row],[This Week]]-Table51555781016657185[[#This Row],[Last Week]])/Table51555781016657185[[#This Row],[Last Week]]</f>
        <v>3.6885245901639344E-2</v>
      </c>
      <c r="E13" s="1">
        <v>3845</v>
      </c>
      <c r="F13" s="1">
        <v>12459</v>
      </c>
      <c r="G13" s="1">
        <v>57761</v>
      </c>
      <c r="H13" s="1">
        <v>1116705</v>
      </c>
    </row>
    <row r="14" spans="1:8" x14ac:dyDescent="0.2">
      <c r="A14" s="38" t="s">
        <v>23</v>
      </c>
      <c r="B14" s="1">
        <v>97</v>
      </c>
      <c r="C14" s="1">
        <v>77</v>
      </c>
      <c r="D14" s="43">
        <f>(Table51555781016657185[[#This Row],[This Week]]-Table51555781016657185[[#This Row],[Last Week]])/Table51555781016657185[[#This Row],[Last Week]]</f>
        <v>0.25974025974025972</v>
      </c>
      <c r="E14" s="1">
        <v>814</v>
      </c>
      <c r="F14" s="1">
        <v>749</v>
      </c>
      <c r="G14" s="1">
        <v>15773</v>
      </c>
      <c r="H14" s="1">
        <v>5886664</v>
      </c>
    </row>
    <row r="15" spans="1:8" x14ac:dyDescent="0.2">
      <c r="A15" s="42" t="s">
        <v>19</v>
      </c>
      <c r="B15" s="1">
        <v>31</v>
      </c>
      <c r="C15" s="1">
        <v>29</v>
      </c>
      <c r="D15" s="43">
        <f>(Table51555781016657185[[#This Row],[This Week]]-Table51555781016657185[[#This Row],[Last Week]])/Table51555781016657185[[#This Row],[Last Week]]</f>
        <v>6.8965517241379309E-2</v>
      </c>
      <c r="E15" s="1">
        <v>139</v>
      </c>
      <c r="F15" s="1">
        <v>417</v>
      </c>
      <c r="G15" s="1">
        <v>1240</v>
      </c>
      <c r="H15" s="1">
        <v>19059</v>
      </c>
    </row>
    <row r="16" spans="1:8" x14ac:dyDescent="0.2">
      <c r="A16" s="53" t="s">
        <v>20</v>
      </c>
      <c r="B16" s="1">
        <v>27</v>
      </c>
      <c r="C16" s="1">
        <v>60</v>
      </c>
      <c r="D16" s="43">
        <f>(Table51555781016657185[[#This Row],[This Week]]-Table51555781016657185[[#This Row],[Last Week]])/Table51555781016657185[[#This Row],[Last Week]]</f>
        <v>-0.55000000000000004</v>
      </c>
      <c r="E16" s="1">
        <v>56</v>
      </c>
      <c r="F16" s="1">
        <v>364</v>
      </c>
      <c r="G16" s="1">
        <v>341</v>
      </c>
      <c r="H16" s="1">
        <v>20966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665E8952-9431-5547-878A-6CB7AD9B5631}"/>
    <hyperlink ref="A22" r:id="rId2" xr:uid="{0BCC0748-0F51-4340-9E41-E1422B133CA8}"/>
    <hyperlink ref="A20" r:id="rId3" xr:uid="{1D921856-FA66-BE4E-AFFE-BA60B093C6E8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006-103C-7E4A-9C0B-E123FC8723DD}">
  <dimension ref="A1:H22"/>
  <sheetViews>
    <sheetView workbookViewId="0">
      <selection activeCell="H1" sqref="H1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392576</v>
      </c>
      <c r="C2" s="1">
        <v>57274</v>
      </c>
      <c r="D2" s="43">
        <f>(Table55456791564708453[[#This Row],[This Week]]-Table55456791564708453[[#This Row],[Last Week]])/Table55456791564708453[[#This Row],[Last Week]]</f>
        <v>5.8543492684289555</v>
      </c>
      <c r="E2" s="1">
        <v>56812</v>
      </c>
      <c r="F2" s="1">
        <v>1417791</v>
      </c>
      <c r="G2" s="1">
        <v>919371</v>
      </c>
      <c r="H2" s="1">
        <f>H9+H10</f>
        <v>12801222</v>
      </c>
    </row>
    <row r="3" spans="1:8" x14ac:dyDescent="0.2">
      <c r="A3" s="10" t="s">
        <v>13</v>
      </c>
      <c r="B3" s="1">
        <v>15393</v>
      </c>
      <c r="C3" s="1">
        <v>14925</v>
      </c>
      <c r="D3" s="43">
        <f>(Table55456791564708453[[#This Row],[This Week]]-Table55456791564708453[[#This Row],[Last Week]])/Table55456791564708453[[#This Row],[Last Week]]</f>
        <v>3.1356783919597987E-2</v>
      </c>
      <c r="E3" s="1">
        <v>29746</v>
      </c>
      <c r="F3" s="1">
        <v>159266</v>
      </c>
      <c r="G3" s="1">
        <v>420624</v>
      </c>
      <c r="H3" s="1">
        <f>H11+H12</f>
        <v>8907509</v>
      </c>
    </row>
    <row r="4" spans="1:8" x14ac:dyDescent="0.2">
      <c r="A4" s="10" t="s">
        <v>14</v>
      </c>
      <c r="B4" s="1">
        <v>1022</v>
      </c>
      <c r="C4" s="1">
        <v>1362</v>
      </c>
      <c r="D4" s="43">
        <f>(Table55456791564708453[[#This Row],[This Week]]-Table55456791564708453[[#This Row],[Last Week]])/Table55456791564708453[[#This Row],[Last Week]]</f>
        <v>-0.24963289280469897</v>
      </c>
      <c r="E4" s="1">
        <v>6819</v>
      </c>
      <c r="F4" s="1">
        <v>14230</v>
      </c>
      <c r="G4" s="1">
        <v>81444</v>
      </c>
      <c r="H4" s="1">
        <v>24510377</v>
      </c>
    </row>
    <row r="5" spans="1:8" x14ac:dyDescent="0.2">
      <c r="A5" s="8" t="s">
        <v>15</v>
      </c>
      <c r="B5" s="1">
        <v>311</v>
      </c>
      <c r="C5" s="1">
        <v>58</v>
      </c>
      <c r="D5" s="43">
        <f>(Table55456791564708453[[#This Row],[This Week]]-Table55456791564708453[[#This Row],[Last Week]])/Table55456791564708453[[#This Row],[Last Week]]</f>
        <v>4.3620689655172411</v>
      </c>
      <c r="E5" s="1">
        <v>96</v>
      </c>
      <c r="F5" s="1">
        <v>1092</v>
      </c>
      <c r="G5" s="1">
        <v>1677</v>
      </c>
      <c r="H5" s="1">
        <v>112336</v>
      </c>
    </row>
    <row r="6" spans="1:8" x14ac:dyDescent="0.2">
      <c r="A6" s="31" t="s">
        <v>16</v>
      </c>
      <c r="B6" s="32">
        <f>SUM(B2:B5)</f>
        <v>409302</v>
      </c>
      <c r="C6" s="32">
        <f>SUM(C2:C5)</f>
        <v>73619</v>
      </c>
      <c r="D6" s="46">
        <f>(Table55456791564708453[[#This Row],[This Week]]-Table55456791564708453[[#This Row],[Last Week]])/Table55456791564708453[[#This Row],[Last Week]]</f>
        <v>4.5597332210434809</v>
      </c>
      <c r="E6" s="32">
        <f>SUM(E2:E5)+821</f>
        <v>94294</v>
      </c>
      <c r="F6" s="32">
        <f>SUM(F2:F5)</f>
        <v>1592379</v>
      </c>
      <c r="G6" s="32">
        <f>SUM(G2:G5)+30345</f>
        <v>1453461</v>
      </c>
      <c r="H6" s="32">
        <f>SUM(H2:H5)</f>
        <v>46331444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4" t="s">
        <v>18</v>
      </c>
      <c r="B9" s="1">
        <v>263103</v>
      </c>
      <c r="C9" s="1">
        <v>45473</v>
      </c>
      <c r="D9" s="43">
        <f>(Table5155578101665718558[[#This Row],[This Week]]-Table5155578101665718558[[#This Row],[Last Week]])/Table5155578101665718558[[#This Row],[Last Week]]</f>
        <v>4.7859169177314014</v>
      </c>
      <c r="E9" s="1" t="s">
        <v>17</v>
      </c>
      <c r="F9" s="1">
        <v>733419</v>
      </c>
      <c r="G9" s="1" t="s">
        <v>17</v>
      </c>
      <c r="H9" s="1">
        <v>1778802</v>
      </c>
    </row>
    <row r="10" spans="1:8" x14ac:dyDescent="0.2">
      <c r="A10" s="42" t="s">
        <v>12</v>
      </c>
      <c r="B10" s="1">
        <v>129473</v>
      </c>
      <c r="C10" s="1">
        <v>11801</v>
      </c>
      <c r="D10" s="43">
        <f>(Table5155578101665718558[[#This Row],[This Week]]-Table5155578101665718558[[#This Row],[Last Week]])/Table5155578101665718558[[#This Row],[Last Week]]</f>
        <v>9.9713583594610622</v>
      </c>
      <c r="E10" s="1">
        <v>56812</v>
      </c>
      <c r="F10" s="1">
        <v>684372</v>
      </c>
      <c r="G10" s="1">
        <v>919371</v>
      </c>
      <c r="H10" s="1">
        <v>11022420</v>
      </c>
    </row>
    <row r="11" spans="1:8" x14ac:dyDescent="0.2">
      <c r="A11" s="53" t="s">
        <v>13</v>
      </c>
      <c r="B11" s="1">
        <v>11156</v>
      </c>
      <c r="C11" s="1">
        <v>10516</v>
      </c>
      <c r="D11" s="43">
        <f>(Table5155578101665718558[[#This Row],[This Week]]-Table5155578101665718558[[#This Row],[Last Week]])/Table5155578101665718558[[#This Row],[Last Week]]</f>
        <v>6.0859642449600605E-2</v>
      </c>
      <c r="E11" s="1">
        <v>20859</v>
      </c>
      <c r="F11" s="1">
        <v>94228</v>
      </c>
      <c r="G11" s="1">
        <v>273144</v>
      </c>
      <c r="H11" s="1">
        <v>7447501</v>
      </c>
    </row>
    <row r="12" spans="1:8" x14ac:dyDescent="0.2">
      <c r="A12" s="53" t="s">
        <v>21</v>
      </c>
      <c r="B12" s="1">
        <v>4237</v>
      </c>
      <c r="C12" s="1">
        <v>4409</v>
      </c>
      <c r="D12" s="43">
        <f>(Table5155578101665718558[[#This Row],[This Week]]-Table5155578101665718558[[#This Row],[Last Week]])/Table5155578101665718558[[#This Row],[Last Week]]</f>
        <v>-3.9011113631208891E-2</v>
      </c>
      <c r="E12" s="1">
        <v>8887</v>
      </c>
      <c r="F12" s="1">
        <v>65038</v>
      </c>
      <c r="G12" s="1">
        <v>147480</v>
      </c>
      <c r="H12" s="1">
        <v>1460008</v>
      </c>
    </row>
    <row r="13" spans="1:8" x14ac:dyDescent="0.2">
      <c r="A13" s="55" t="s">
        <v>22</v>
      </c>
      <c r="B13" s="1">
        <v>896</v>
      </c>
      <c r="C13" s="1">
        <v>1265</v>
      </c>
      <c r="D13" s="43">
        <f>(Table5155578101665718558[[#This Row],[This Week]]-Table5155578101665718558[[#This Row],[Last Week]])/Table5155578101665718558[[#This Row],[Last Week]]</f>
        <v>-0.29169960474308299</v>
      </c>
      <c r="E13" s="1">
        <v>5912</v>
      </c>
      <c r="F13" s="1">
        <v>13355</v>
      </c>
      <c r="G13" s="1">
        <v>63673</v>
      </c>
      <c r="H13" s="1">
        <v>1117601</v>
      </c>
    </row>
    <row r="14" spans="1:8" x14ac:dyDescent="0.2">
      <c r="A14" s="42" t="s">
        <v>19</v>
      </c>
      <c r="B14" s="1">
        <v>281</v>
      </c>
      <c r="C14" s="1">
        <v>31</v>
      </c>
      <c r="D14" s="43">
        <f>(Table5155578101665718558[[#This Row],[This Week]]-Table5155578101665718558[[#This Row],[Last Week]])/Table5155578101665718558[[#This Row],[Last Week]]</f>
        <v>8.064516129032258</v>
      </c>
      <c r="E14" s="1">
        <v>67</v>
      </c>
      <c r="F14" s="1">
        <v>698</v>
      </c>
      <c r="G14" s="1">
        <v>1307</v>
      </c>
      <c r="H14" s="1">
        <v>19340</v>
      </c>
    </row>
    <row r="15" spans="1:8" x14ac:dyDescent="0.2">
      <c r="A15" s="42" t="s">
        <v>23</v>
      </c>
      <c r="B15" s="1">
        <v>126</v>
      </c>
      <c r="C15" s="1">
        <v>97</v>
      </c>
      <c r="D15" s="43">
        <f>(Table5155578101665718558[[#This Row],[This Week]]-Table5155578101665718558[[#This Row],[Last Week]])/Table5155578101665718558[[#This Row],[Last Week]]</f>
        <v>0.29896907216494845</v>
      </c>
      <c r="E15" s="1">
        <v>907</v>
      </c>
      <c r="F15" s="1">
        <v>875</v>
      </c>
      <c r="G15" s="1">
        <v>16680</v>
      </c>
      <c r="H15" s="1">
        <v>5886790</v>
      </c>
    </row>
    <row r="16" spans="1:8" x14ac:dyDescent="0.2">
      <c r="A16" s="53" t="s">
        <v>20</v>
      </c>
      <c r="B16" s="1">
        <v>30</v>
      </c>
      <c r="C16" s="1">
        <v>27</v>
      </c>
      <c r="D16" s="43">
        <f>(Table5155578101665718558[[#This Row],[This Week]]-Table5155578101665718558[[#This Row],[Last Week]])/Table5155578101665718558[[#This Row],[Last Week]]</f>
        <v>0.1111111111111111</v>
      </c>
      <c r="E16" s="1">
        <v>29</v>
      </c>
      <c r="F16" s="1">
        <v>394</v>
      </c>
      <c r="G16" s="1">
        <v>370</v>
      </c>
      <c r="H16" s="1">
        <v>20996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C06300B2-3B49-3C47-87AD-D50E34194EA6}"/>
    <hyperlink ref="A22" r:id="rId2" xr:uid="{1FCDE1D7-D92A-744C-96EF-48D834092B5A}"/>
    <hyperlink ref="A20" r:id="rId3" xr:uid="{9B4C49F1-7748-4B4B-9897-18E7B52D9BC7}"/>
  </hyperlinks>
  <pageMargins left="0.7" right="0.7" top="0.75" bottom="0.75" header="0.3" footer="0.3"/>
  <tableParts count="2"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83F7-0E69-B346-9BA7-1D033D12875F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282561</v>
      </c>
      <c r="C2" s="1">
        <v>392576</v>
      </c>
      <c r="D2" s="43">
        <f>(Table5545679156470845375[[#This Row],[This Week]]-Table5545679156470845375[[#This Row],[Last Week]])/Table5545679156470845375[[#This Row],[Last Week]]</f>
        <v>-0.28023873084447343</v>
      </c>
      <c r="E2" s="1">
        <v>49852</v>
      </c>
      <c r="F2" s="1">
        <v>1700352</v>
      </c>
      <c r="G2" s="1">
        <v>969223</v>
      </c>
      <c r="H2" s="1">
        <f>H9+H10</f>
        <v>13083783</v>
      </c>
    </row>
    <row r="3" spans="1:8" x14ac:dyDescent="0.2">
      <c r="A3" s="10" t="s">
        <v>13</v>
      </c>
      <c r="B3" s="1">
        <v>10820</v>
      </c>
      <c r="C3" s="1">
        <v>15393</v>
      </c>
      <c r="D3" s="43">
        <f>(Table5545679156470845375[[#This Row],[This Week]]-Table5545679156470845375[[#This Row],[Last Week]])/Table5545679156470845375[[#This Row],[Last Week]]</f>
        <v>-0.2970830897161047</v>
      </c>
      <c r="E3" s="1">
        <v>23863</v>
      </c>
      <c r="F3" s="1">
        <v>170086</v>
      </c>
      <c r="G3" s="1">
        <v>444487</v>
      </c>
      <c r="H3" s="1">
        <f>H11+H12</f>
        <v>8918329</v>
      </c>
    </row>
    <row r="4" spans="1:8" x14ac:dyDescent="0.2">
      <c r="A4" s="10" t="s">
        <v>14</v>
      </c>
      <c r="B4" s="1">
        <v>940</v>
      </c>
      <c r="C4" s="1">
        <v>1022</v>
      </c>
      <c r="D4" s="43">
        <f>(Table5545679156470845375[[#This Row],[This Week]]-Table5545679156470845375[[#This Row],[Last Week]])/Table5545679156470845375[[#This Row],[Last Week]]</f>
        <v>-8.0234833659491189E-2</v>
      </c>
      <c r="E4" s="1">
        <v>5056</v>
      </c>
      <c r="F4" s="1">
        <v>15170</v>
      </c>
      <c r="G4" s="1">
        <v>8650</v>
      </c>
      <c r="H4" s="1">
        <v>24511317</v>
      </c>
    </row>
    <row r="5" spans="1:8" x14ac:dyDescent="0.2">
      <c r="A5" s="8" t="s">
        <v>15</v>
      </c>
      <c r="B5" s="1">
        <v>310</v>
      </c>
      <c r="C5" s="1">
        <v>311</v>
      </c>
      <c r="D5" s="43">
        <f>(Table5545679156470845375[[#This Row],[This Week]]-Table5545679156470845375[[#This Row],[Last Week]])/Table5545679156470845375[[#This Row],[Last Week]]</f>
        <v>-3.2154340836012861E-3</v>
      </c>
      <c r="E5" s="1">
        <v>92</v>
      </c>
      <c r="F5" s="1">
        <v>1402</v>
      </c>
      <c r="G5" s="1">
        <v>1769</v>
      </c>
      <c r="H5" s="1">
        <v>112648</v>
      </c>
    </row>
    <row r="6" spans="1:8" x14ac:dyDescent="0.2">
      <c r="A6" s="31" t="s">
        <v>16</v>
      </c>
      <c r="B6" s="32">
        <f>SUM(B2:B5)</f>
        <v>294631</v>
      </c>
      <c r="C6" s="32">
        <f>SUM(C2:C5)</f>
        <v>409302</v>
      </c>
      <c r="D6" s="46">
        <f>(Table5545679156470845375[[#This Row],[This Week]]-Table5545679156470845375[[#This Row],[Last Week]])/Table5545679156470845375[[#This Row],[Last Week]]</f>
        <v>-0.28016232512912226</v>
      </c>
      <c r="E6" s="32">
        <f>SUM(E2:E5)+717</f>
        <v>79580</v>
      </c>
      <c r="F6" s="32">
        <f>SUM(F2:F5)</f>
        <v>1887010</v>
      </c>
      <c r="G6" s="32">
        <f>SUM(G2:G5)+108912</f>
        <v>1533041</v>
      </c>
      <c r="H6" s="32">
        <f>SUM(H2:H5)</f>
        <v>46626077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4" t="s">
        <v>18</v>
      </c>
      <c r="B9" s="1">
        <v>230671</v>
      </c>
      <c r="C9" s="1">
        <v>263103</v>
      </c>
      <c r="D9" s="43">
        <f>(Table515557810166571855876[[#This Row],[This Week]]-Table515557810166571855876[[#This Row],[Last Week]])/Table515557810166571855876[[#This Row],[Last Week]]</f>
        <v>-0.12326731356160896</v>
      </c>
      <c r="E9" s="1" t="s">
        <v>17</v>
      </c>
      <c r="F9" s="1">
        <v>964090</v>
      </c>
      <c r="G9" s="1" t="s">
        <v>17</v>
      </c>
      <c r="H9" s="1">
        <v>2009473</v>
      </c>
    </row>
    <row r="10" spans="1:8" x14ac:dyDescent="0.2">
      <c r="A10" s="42" t="s">
        <v>12</v>
      </c>
      <c r="B10" s="1">
        <v>51890</v>
      </c>
      <c r="C10" s="1">
        <v>129473</v>
      </c>
      <c r="D10" s="43">
        <f>(Table515557810166571855876[[#This Row],[This Week]]-Table515557810166571855876[[#This Row],[Last Week]])/Table515557810166571855876[[#This Row],[Last Week]]</f>
        <v>-0.59922145930039472</v>
      </c>
      <c r="E10" s="1">
        <v>49852</v>
      </c>
      <c r="F10" s="1">
        <v>736262</v>
      </c>
      <c r="G10" s="1">
        <v>969223</v>
      </c>
      <c r="H10" s="1">
        <v>11074310</v>
      </c>
    </row>
    <row r="11" spans="1:8" x14ac:dyDescent="0.2">
      <c r="A11" s="53" t="s">
        <v>13</v>
      </c>
      <c r="B11" s="1">
        <v>7388</v>
      </c>
      <c r="C11" s="1">
        <v>11156</v>
      </c>
      <c r="D11" s="43">
        <f>(Table515557810166571855876[[#This Row],[This Week]]-Table515557810166571855876[[#This Row],[Last Week]])/Table515557810166571855876[[#This Row],[Last Week]]</f>
        <v>-0.33775546790964506</v>
      </c>
      <c r="E11" s="1">
        <v>17286</v>
      </c>
      <c r="F11" s="1">
        <v>101616</v>
      </c>
      <c r="G11" s="1">
        <v>290430</v>
      </c>
      <c r="H11" s="1">
        <v>7454889</v>
      </c>
    </row>
    <row r="12" spans="1:8" x14ac:dyDescent="0.2">
      <c r="A12" s="53" t="s">
        <v>21</v>
      </c>
      <c r="B12" s="1">
        <v>3432</v>
      </c>
      <c r="C12" s="1">
        <v>4237</v>
      </c>
      <c r="D12" s="43">
        <f>(Table515557810166571855876[[#This Row],[This Week]]-Table515557810166571855876[[#This Row],[Last Week]])/Table515557810166571855876[[#This Row],[Last Week]]</f>
        <v>-0.18999291951852726</v>
      </c>
      <c r="E12" s="1">
        <v>6577</v>
      </c>
      <c r="F12" s="1">
        <v>68470</v>
      </c>
      <c r="G12" s="1">
        <v>154057</v>
      </c>
      <c r="H12" s="1">
        <v>1463440</v>
      </c>
    </row>
    <row r="13" spans="1:8" x14ac:dyDescent="0.2">
      <c r="A13" s="55" t="s">
        <v>22</v>
      </c>
      <c r="B13" s="1">
        <v>895</v>
      </c>
      <c r="C13" s="1">
        <v>896</v>
      </c>
      <c r="D13" s="43">
        <f>(Table515557810166571855876[[#This Row],[This Week]]-Table515557810166571855876[[#This Row],[Last Week]])/Table515557810166571855876[[#This Row],[Last Week]]</f>
        <v>-1.1160714285714285E-3</v>
      </c>
      <c r="E13" s="1">
        <v>4291</v>
      </c>
      <c r="F13" s="1">
        <v>14250</v>
      </c>
      <c r="G13" s="1">
        <v>67964</v>
      </c>
      <c r="H13" s="1">
        <v>1118496</v>
      </c>
    </row>
    <row r="14" spans="1:8" x14ac:dyDescent="0.2">
      <c r="A14" s="42" t="s">
        <v>19</v>
      </c>
      <c r="B14" s="1">
        <v>236</v>
      </c>
      <c r="C14" s="1">
        <v>281</v>
      </c>
      <c r="D14" s="43">
        <f>(Table515557810166571855876[[#This Row],[This Week]]-Table515557810166571855876[[#This Row],[Last Week]])/Table515557810166571855876[[#This Row],[Last Week]]</f>
        <v>-0.16014234875444841</v>
      </c>
      <c r="E14" s="1">
        <v>64</v>
      </c>
      <c r="F14" s="1">
        <v>934</v>
      </c>
      <c r="G14" s="1">
        <v>1371</v>
      </c>
      <c r="H14" s="1">
        <v>19576</v>
      </c>
    </row>
    <row r="15" spans="1:8" x14ac:dyDescent="0.2">
      <c r="A15" s="53" t="s">
        <v>20</v>
      </c>
      <c r="B15" s="1">
        <v>74</v>
      </c>
      <c r="C15" s="1">
        <v>30</v>
      </c>
      <c r="D15" s="43">
        <f>(Table515557810166571855876[[#This Row],[This Week]]-Table515557810166571855876[[#This Row],[Last Week]])/Table515557810166571855876[[#This Row],[Last Week]]</f>
        <v>1.4666666666666666</v>
      </c>
      <c r="E15" s="1">
        <v>28</v>
      </c>
      <c r="F15" s="1">
        <v>468</v>
      </c>
      <c r="G15" s="1">
        <v>398</v>
      </c>
      <c r="H15" s="1">
        <v>21070</v>
      </c>
    </row>
    <row r="16" spans="1:8" x14ac:dyDescent="0.2">
      <c r="A16" s="26" t="s">
        <v>23</v>
      </c>
      <c r="B16" s="1">
        <v>45</v>
      </c>
      <c r="C16" s="1">
        <v>126</v>
      </c>
      <c r="D16" s="43">
        <f>(Table515557810166571855876[[#This Row],[This Week]]-Table515557810166571855876[[#This Row],[Last Week]])/Table515557810166571855876[[#This Row],[Last Week]]</f>
        <v>-0.6428571428571429</v>
      </c>
      <c r="E16" s="1">
        <v>765</v>
      </c>
      <c r="F16" s="1">
        <v>920</v>
      </c>
      <c r="G16" s="1">
        <v>17445</v>
      </c>
      <c r="H16" s="1">
        <v>5886835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84C27ABF-D692-4D45-BC22-BFD106B84F47}"/>
    <hyperlink ref="A22" r:id="rId2" xr:uid="{2A4A800F-63DA-2746-9973-C38280FFAD22}"/>
    <hyperlink ref="A20" r:id="rId3" xr:uid="{8A1EFA33-D12E-3045-BFE5-E0F37571EB25}"/>
  </hyperlinks>
  <pageMargins left="0.7" right="0.7" top="0.75" bottom="0.75" header="0.3" footer="0.3"/>
  <tableParts count="2"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63D5-2F05-9F4A-B337-E149CCADB4AA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154640</v>
      </c>
      <c r="C2" s="1">
        <v>282561</v>
      </c>
      <c r="D2" s="43">
        <f>(Table5545679156470845369[[#This Row],[This Week]]-Table5545679156470845369[[#This Row],[Last Week]])/Table5545679156470845369[[#This Row],[Last Week]]</f>
        <v>-0.45271994365818352</v>
      </c>
      <c r="E2" s="1">
        <v>46850</v>
      </c>
      <c r="F2" s="1">
        <v>1854992</v>
      </c>
      <c r="G2" s="1">
        <v>1016073</v>
      </c>
      <c r="H2" s="6">
        <f>H9+H10</f>
        <v>13238423</v>
      </c>
    </row>
    <row r="3" spans="1:8" x14ac:dyDescent="0.2">
      <c r="A3" s="10" t="s">
        <v>13</v>
      </c>
      <c r="B3" s="1">
        <v>19535</v>
      </c>
      <c r="C3" s="1">
        <v>10820</v>
      </c>
      <c r="D3" s="43">
        <f>(Table5545679156470845369[[#This Row],[This Week]]-Table5545679156470845369[[#This Row],[Last Week]])/Table5545679156470845369[[#This Row],[Last Week]]</f>
        <v>0.80545286506469504</v>
      </c>
      <c r="E3" s="1">
        <v>13854</v>
      </c>
      <c r="F3" s="1">
        <v>189621</v>
      </c>
      <c r="G3" s="1">
        <v>458341</v>
      </c>
      <c r="H3" s="6">
        <f>H11+H12</f>
        <v>8937864</v>
      </c>
    </row>
    <row r="4" spans="1:8" x14ac:dyDescent="0.2">
      <c r="A4" s="10" t="s">
        <v>14</v>
      </c>
      <c r="B4" s="1">
        <v>1230</v>
      </c>
      <c r="C4" s="1">
        <v>940</v>
      </c>
      <c r="D4" s="43">
        <f>(Table5545679156470845369[[#This Row],[This Week]]-Table5545679156470845369[[#This Row],[Last Week]])/Table5545679156470845369[[#This Row],[Last Week]]</f>
        <v>0.30851063829787234</v>
      </c>
      <c r="E4" s="1">
        <v>4388</v>
      </c>
      <c r="F4" s="1">
        <v>1640</v>
      </c>
      <c r="G4" s="1">
        <v>90888</v>
      </c>
      <c r="H4" s="1">
        <v>24512547</v>
      </c>
    </row>
    <row r="5" spans="1:8" x14ac:dyDescent="0.2">
      <c r="A5" s="8" t="s">
        <v>15</v>
      </c>
      <c r="B5" s="1">
        <v>51</v>
      </c>
      <c r="C5" s="1">
        <v>310</v>
      </c>
      <c r="D5" s="43">
        <f>(Table5545679156470845369[[#This Row],[This Week]]-Table5545679156470845369[[#This Row],[Last Week]])/Table5545679156470845369[[#This Row],[Last Week]]</f>
        <v>-0.8354838709677419</v>
      </c>
      <c r="E5" s="1">
        <v>93</v>
      </c>
      <c r="F5" s="1">
        <v>1453</v>
      </c>
      <c r="G5" s="1">
        <v>1862</v>
      </c>
      <c r="H5" s="1">
        <v>112699</v>
      </c>
    </row>
    <row r="6" spans="1:8" x14ac:dyDescent="0.2">
      <c r="A6" s="31" t="s">
        <v>16</v>
      </c>
      <c r="B6" s="32">
        <f>SUM(B2:B5)</f>
        <v>175456</v>
      </c>
      <c r="C6" s="32">
        <f>SUM(C2:C5)</f>
        <v>294631</v>
      </c>
      <c r="D6" s="46">
        <f>(Table5545679156470845369[[#This Row],[This Week]]-Table5545679156470845369[[#This Row],[Last Week]])/Table5545679156470845369[[#This Row],[Last Week]]</f>
        <v>-0.40448900489086348</v>
      </c>
      <c r="E6" s="32">
        <f>SUM(E2:E5)+482</f>
        <v>65667</v>
      </c>
      <c r="F6" s="32">
        <f>SUM(F2:F5)</f>
        <v>2047706</v>
      </c>
      <c r="G6" s="32">
        <f>SUM(G2:G5)+31544</f>
        <v>1598708</v>
      </c>
      <c r="H6" s="32">
        <f>SUM(H2:H5)</f>
        <v>46801533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4" t="s">
        <v>18</v>
      </c>
      <c r="B9" s="1">
        <v>100084</v>
      </c>
      <c r="C9" s="1">
        <v>230671</v>
      </c>
      <c r="D9" s="43">
        <f>(Table515557810166571855872[[#This Row],[This Week]]-Table515557810166571855872[[#This Row],[Last Week]])/Table515557810166571855872[[#This Row],[Last Week]]</f>
        <v>-0.56611797755244486</v>
      </c>
      <c r="E9" s="1" t="s">
        <v>17</v>
      </c>
      <c r="F9" s="1">
        <v>1064174</v>
      </c>
      <c r="G9" s="1" t="s">
        <v>17</v>
      </c>
      <c r="H9" s="1">
        <v>2109557</v>
      </c>
    </row>
    <row r="10" spans="1:8" x14ac:dyDescent="0.2">
      <c r="A10" s="42" t="s">
        <v>12</v>
      </c>
      <c r="B10" s="1">
        <v>54556</v>
      </c>
      <c r="C10" s="1">
        <v>51890</v>
      </c>
      <c r="D10" s="43">
        <f>(Table515557810166571855872[[#This Row],[This Week]]-Table515557810166571855872[[#This Row],[Last Week]])/Table515557810166571855872[[#This Row],[Last Week]]</f>
        <v>5.1377914819811139E-2</v>
      </c>
      <c r="E10" s="1">
        <v>46850</v>
      </c>
      <c r="F10" s="1">
        <v>790818</v>
      </c>
      <c r="G10" s="1">
        <v>1016073</v>
      </c>
      <c r="H10" s="1">
        <v>11128866</v>
      </c>
    </row>
    <row r="11" spans="1:8" x14ac:dyDescent="0.2">
      <c r="A11" s="53" t="s">
        <v>13</v>
      </c>
      <c r="B11" s="1">
        <v>13419</v>
      </c>
      <c r="C11" s="1">
        <v>7388</v>
      </c>
      <c r="D11" s="43">
        <f>(Table515557810166571855872[[#This Row],[This Week]]-Table515557810166571855872[[#This Row],[Last Week]])/Table515557810166571855872[[#This Row],[Last Week]]</f>
        <v>0.81632376827287489</v>
      </c>
      <c r="E11" s="1">
        <v>8347</v>
      </c>
      <c r="F11" s="1">
        <v>115035</v>
      </c>
      <c r="G11" s="1">
        <v>298777</v>
      </c>
      <c r="H11" s="1">
        <v>7468308</v>
      </c>
    </row>
    <row r="12" spans="1:8" x14ac:dyDescent="0.2">
      <c r="A12" s="53" t="s">
        <v>21</v>
      </c>
      <c r="B12" s="1">
        <v>6116</v>
      </c>
      <c r="C12" s="1">
        <v>3432</v>
      </c>
      <c r="D12" s="43">
        <f>(Table515557810166571855872[[#This Row],[This Week]]-Table515557810166571855872[[#This Row],[Last Week]])/Table515557810166571855872[[#This Row],[Last Week]]</f>
        <v>0.78205128205128205</v>
      </c>
      <c r="E12" s="1">
        <v>5507</v>
      </c>
      <c r="F12" s="1">
        <v>74586</v>
      </c>
      <c r="G12" s="1">
        <v>159564</v>
      </c>
      <c r="H12" s="1">
        <v>1469556</v>
      </c>
    </row>
    <row r="13" spans="1:8" x14ac:dyDescent="0.2">
      <c r="A13" s="55" t="s">
        <v>22</v>
      </c>
      <c r="B13" s="1">
        <v>1172</v>
      </c>
      <c r="C13" s="1">
        <v>895</v>
      </c>
      <c r="D13" s="43">
        <f>(Table515557810166571855872[[#This Row],[This Week]]-Table515557810166571855872[[#This Row],[Last Week]])/Table515557810166571855872[[#This Row],[Last Week]]</f>
        <v>0.30949720670391062</v>
      </c>
      <c r="E13" s="1">
        <v>3469</v>
      </c>
      <c r="F13" s="1">
        <v>15422</v>
      </c>
      <c r="G13" s="1">
        <v>71433</v>
      </c>
      <c r="H13" s="1">
        <v>1119668</v>
      </c>
    </row>
    <row r="14" spans="1:8" x14ac:dyDescent="0.2">
      <c r="A14" s="26" t="s">
        <v>23</v>
      </c>
      <c r="B14" s="1">
        <v>58</v>
      </c>
      <c r="C14" s="1">
        <v>45</v>
      </c>
      <c r="D14" s="43">
        <f>(Table515557810166571855872[[#This Row],[This Week]]-Table515557810166571855872[[#This Row],[Last Week]])/Table515557810166571855872[[#This Row],[Last Week]]</f>
        <v>0.28888888888888886</v>
      </c>
      <c r="E14" s="1">
        <v>919</v>
      </c>
      <c r="F14" s="1">
        <v>978</v>
      </c>
      <c r="G14" s="1">
        <v>18364</v>
      </c>
      <c r="H14" s="1">
        <v>5886893</v>
      </c>
    </row>
    <row r="15" spans="1:8" x14ac:dyDescent="0.2">
      <c r="A15" s="53" t="s">
        <v>20</v>
      </c>
      <c r="B15" s="1">
        <v>28</v>
      </c>
      <c r="C15" s="1">
        <v>74</v>
      </c>
      <c r="D15" s="43">
        <f>(Table515557810166571855872[[#This Row],[This Week]]-Table515557810166571855872[[#This Row],[Last Week]])/Table515557810166571855872[[#This Row],[Last Week]]</f>
        <v>-0.6216216216216216</v>
      </c>
      <c r="E15" s="1">
        <v>33</v>
      </c>
      <c r="F15" s="1">
        <v>496</v>
      </c>
      <c r="G15" s="1">
        <v>431</v>
      </c>
      <c r="H15" s="1">
        <v>93098</v>
      </c>
    </row>
    <row r="16" spans="1:8" x14ac:dyDescent="0.2">
      <c r="A16" s="42" t="s">
        <v>19</v>
      </c>
      <c r="B16" s="1">
        <v>23</v>
      </c>
      <c r="C16" s="1">
        <v>236</v>
      </c>
      <c r="D16" s="43">
        <f>(Table515557810166571855872[[#This Row],[This Week]]-Table515557810166571855872[[#This Row],[Last Week]])/Table515557810166571855872[[#This Row],[Last Week]]</f>
        <v>-0.90254237288135597</v>
      </c>
      <c r="E16" s="1">
        <v>60</v>
      </c>
      <c r="F16" s="1">
        <v>957</v>
      </c>
      <c r="G16" s="1">
        <v>1431</v>
      </c>
      <c r="H16" s="1">
        <v>19599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2458B42D-97D4-6049-83CD-A71FE5AA43F0}"/>
    <hyperlink ref="A22" r:id="rId2" xr:uid="{8EF12298-D2B0-A949-9B05-DE0EFEA0C3A8}"/>
    <hyperlink ref="A20" r:id="rId3" xr:uid="{61897BF5-D683-324E-A890-8117781D6D87}"/>
  </hyperlinks>
  <pageMargins left="0.7" right="0.7" top="0.75" bottom="0.75" header="0.3" footer="0.3"/>
  <tableParts count="2">
    <tablePart r:id="rId4"/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E527A-2EB1-DB4B-8FF3-48055AE62162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57" t="s">
        <v>13</v>
      </c>
      <c r="B2" s="58">
        <v>79059</v>
      </c>
      <c r="C2" s="58">
        <v>19535</v>
      </c>
      <c r="D2" s="43">
        <f>(Table5545679156470845373[[#This Row],[This Week]]-Table5545679156470845373[[#This Row],[Last Week]])/Table5545679156470845373[[#This Row],[Last Week]]</f>
        <v>3.0470437675966213</v>
      </c>
      <c r="E2" s="58">
        <v>11793</v>
      </c>
      <c r="F2" s="58">
        <v>268680</v>
      </c>
      <c r="G2" s="58">
        <v>470134</v>
      </c>
      <c r="H2" s="7">
        <f>H9+H11</f>
        <v>9016923</v>
      </c>
    </row>
    <row r="3" spans="1:8" x14ac:dyDescent="0.2">
      <c r="A3" s="8" t="s">
        <v>12</v>
      </c>
      <c r="B3" s="7">
        <v>25313</v>
      </c>
      <c r="C3" s="7">
        <v>154640</v>
      </c>
      <c r="D3" s="43">
        <f>(Table5545679156470845373[[#This Row],[This Week]]-Table5545679156470845373[[#This Row],[Last Week]])/Table5545679156470845373[[#This Row],[Last Week]]</f>
        <v>-0.83631013967925505</v>
      </c>
      <c r="E3" s="7">
        <v>54101</v>
      </c>
      <c r="F3" s="7">
        <v>1880305</v>
      </c>
      <c r="G3" s="7">
        <v>1070174</v>
      </c>
      <c r="H3" s="7">
        <f>H10+H12</f>
        <v>13263736</v>
      </c>
    </row>
    <row r="4" spans="1:8" x14ac:dyDescent="0.2">
      <c r="A4" s="10" t="s">
        <v>14</v>
      </c>
      <c r="B4" s="7">
        <v>1614</v>
      </c>
      <c r="C4" s="7">
        <v>1230</v>
      </c>
      <c r="D4" s="43">
        <f>(Table5545679156470845373[[#This Row],[This Week]]-Table5545679156470845373[[#This Row],[Last Week]])/Table5545679156470845373[[#This Row],[Last Week]]</f>
        <v>0.31219512195121951</v>
      </c>
      <c r="E4" s="7">
        <v>3340</v>
      </c>
      <c r="F4" s="7">
        <v>18014</v>
      </c>
      <c r="G4" s="7">
        <v>94228</v>
      </c>
      <c r="H4" s="7">
        <v>24514161</v>
      </c>
    </row>
    <row r="5" spans="1:8" x14ac:dyDescent="0.2">
      <c r="A5" s="8" t="s">
        <v>15</v>
      </c>
      <c r="B5" s="7">
        <v>34</v>
      </c>
      <c r="C5" s="7">
        <v>51</v>
      </c>
      <c r="D5" s="43">
        <f>(Table5545679156470845373[[#This Row],[This Week]]-Table5545679156470845373[[#This Row],[Last Week]])/Table5545679156470845373[[#This Row],[Last Week]]</f>
        <v>-0.33333333333333331</v>
      </c>
      <c r="E5" s="7">
        <v>66</v>
      </c>
      <c r="F5" s="7">
        <v>1487</v>
      </c>
      <c r="G5" s="7">
        <v>1928</v>
      </c>
      <c r="H5" s="7">
        <v>112733</v>
      </c>
    </row>
    <row r="6" spans="1:8" x14ac:dyDescent="0.2">
      <c r="A6" s="31" t="s">
        <v>16</v>
      </c>
      <c r="B6" s="32">
        <f>SUM(B2:B5)</f>
        <v>106020</v>
      </c>
      <c r="C6" s="32">
        <f>SUM(C2:C5)</f>
        <v>175456</v>
      </c>
      <c r="D6" s="46">
        <f>(Table5545679156470845373[[#This Row],[This Week]]-Table5545679156470845373[[#This Row],[Last Week]])/Table5545679156470845373[[#This Row],[Last Week]]</f>
        <v>-0.39574594200255336</v>
      </c>
      <c r="E6" s="32">
        <f>SUM(E2:E5)+575</f>
        <v>69875</v>
      </c>
      <c r="F6" s="32">
        <f>SUM(F2:F5)</f>
        <v>2168486</v>
      </c>
      <c r="G6" s="32">
        <f>SUM(G2:G5)+32119</f>
        <v>1668583</v>
      </c>
      <c r="H6" s="32">
        <f>SUM(H2:H5)</f>
        <v>46907553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53" t="s">
        <v>13</v>
      </c>
      <c r="B9" s="1">
        <v>60721</v>
      </c>
      <c r="C9" s="1">
        <v>13419</v>
      </c>
      <c r="D9" s="43">
        <f>(Table515557810166571855874[[#This Row],[This Week]]-Table515557810166571855874[[#This Row],[Last Week]])/Table515557810166571855874[[#This Row],[Last Week]]</f>
        <v>3.5250018630300319</v>
      </c>
      <c r="E9" s="1">
        <v>6662</v>
      </c>
      <c r="F9" s="1">
        <v>175756</v>
      </c>
      <c r="G9" s="1">
        <v>305439</v>
      </c>
      <c r="H9" s="1">
        <v>7529029</v>
      </c>
    </row>
    <row r="10" spans="1:8" x14ac:dyDescent="0.2">
      <c r="A10" s="42" t="s">
        <v>12</v>
      </c>
      <c r="B10" s="1">
        <v>19429</v>
      </c>
      <c r="C10" s="1">
        <v>54556</v>
      </c>
      <c r="D10" s="43">
        <f>(Table515557810166571855874[[#This Row],[This Week]]-Table515557810166571855874[[#This Row],[Last Week]])/Table515557810166571855874[[#This Row],[Last Week]]</f>
        <v>-0.64387051836644915</v>
      </c>
      <c r="E10" s="1">
        <v>54101</v>
      </c>
      <c r="F10" s="1">
        <v>810247</v>
      </c>
      <c r="G10" s="1">
        <v>1070174</v>
      </c>
      <c r="H10" s="1">
        <v>11148295</v>
      </c>
    </row>
    <row r="11" spans="1:8" x14ac:dyDescent="0.2">
      <c r="A11" s="53" t="s">
        <v>21</v>
      </c>
      <c r="B11" s="1">
        <v>18338</v>
      </c>
      <c r="C11" s="1">
        <v>6116</v>
      </c>
      <c r="D11" s="43">
        <f>(Table515557810166571855874[[#This Row],[This Week]]-Table515557810166571855874[[#This Row],[Last Week]])/Table515557810166571855874[[#This Row],[Last Week]]</f>
        <v>1.99836494440811</v>
      </c>
      <c r="E11" s="1">
        <v>5131</v>
      </c>
      <c r="F11" s="1">
        <v>92924</v>
      </c>
      <c r="G11" s="1">
        <v>164695</v>
      </c>
      <c r="H11" s="1">
        <v>1487894</v>
      </c>
    </row>
    <row r="12" spans="1:8" x14ac:dyDescent="0.2">
      <c r="A12" s="44" t="s">
        <v>18</v>
      </c>
      <c r="B12" s="1">
        <v>5884</v>
      </c>
      <c r="C12" s="1">
        <v>100084</v>
      </c>
      <c r="D12" s="43">
        <f>(Table515557810166571855874[[#This Row],[This Week]]-Table515557810166571855874[[#This Row],[Last Week]])/Table515557810166571855874[[#This Row],[Last Week]]</f>
        <v>-0.94120938411734145</v>
      </c>
      <c r="E12" s="1" t="s">
        <v>17</v>
      </c>
      <c r="F12" s="1">
        <v>1070058</v>
      </c>
      <c r="G12" s="1" t="s">
        <v>17</v>
      </c>
      <c r="H12" s="1">
        <v>2115441</v>
      </c>
    </row>
    <row r="13" spans="1:8" x14ac:dyDescent="0.2">
      <c r="A13" s="55" t="s">
        <v>22</v>
      </c>
      <c r="B13" s="1">
        <v>1517</v>
      </c>
      <c r="C13" s="1">
        <v>1172</v>
      </c>
      <c r="D13" s="43">
        <f>(Table515557810166571855874[[#This Row],[This Week]]-Table515557810166571855874[[#This Row],[Last Week]])/Table515557810166571855874[[#This Row],[Last Week]]</f>
        <v>0.29436860068259385</v>
      </c>
      <c r="E13" s="1">
        <v>2676</v>
      </c>
      <c r="F13" s="1">
        <v>16939</v>
      </c>
      <c r="G13" s="1">
        <v>74109</v>
      </c>
      <c r="H13" s="1">
        <v>1121185</v>
      </c>
    </row>
    <row r="14" spans="1:8" x14ac:dyDescent="0.2">
      <c r="A14" s="26" t="s">
        <v>23</v>
      </c>
      <c r="B14" s="1">
        <v>97</v>
      </c>
      <c r="C14" s="1">
        <v>58</v>
      </c>
      <c r="D14" s="43">
        <f>(Table515557810166571855874[[#This Row],[This Week]]-Table515557810166571855874[[#This Row],[Last Week]])/Table515557810166571855874[[#This Row],[Last Week]]</f>
        <v>0.67241379310344829</v>
      </c>
      <c r="E14" s="1">
        <v>664</v>
      </c>
      <c r="F14" s="1">
        <v>1075</v>
      </c>
      <c r="G14" s="1">
        <v>19028</v>
      </c>
      <c r="H14" s="1">
        <v>5886990</v>
      </c>
    </row>
    <row r="15" spans="1:8" x14ac:dyDescent="0.2">
      <c r="A15" s="42" t="s">
        <v>19</v>
      </c>
      <c r="B15" s="1">
        <v>18</v>
      </c>
      <c r="C15" s="1">
        <v>23</v>
      </c>
      <c r="D15" s="43">
        <f>(Table515557810166571855874[[#This Row],[This Week]]-Table515557810166571855874[[#This Row],[Last Week]])/Table515557810166571855874[[#This Row],[Last Week]]</f>
        <v>-0.21739130434782608</v>
      </c>
      <c r="E15" s="1">
        <v>47</v>
      </c>
      <c r="F15" s="1">
        <v>975</v>
      </c>
      <c r="G15" s="1">
        <v>1478</v>
      </c>
      <c r="H15" s="1">
        <v>19617</v>
      </c>
    </row>
    <row r="16" spans="1:8" x14ac:dyDescent="0.2">
      <c r="A16" s="53" t="s">
        <v>20</v>
      </c>
      <c r="B16" s="1">
        <v>16</v>
      </c>
      <c r="C16" s="1">
        <v>28</v>
      </c>
      <c r="D16" s="43">
        <f>(Table515557810166571855874[[#This Row],[This Week]]-Table515557810166571855874[[#This Row],[Last Week]])/Table515557810166571855874[[#This Row],[Last Week]]</f>
        <v>-0.42857142857142855</v>
      </c>
      <c r="E16" s="1">
        <v>19</v>
      </c>
      <c r="F16" s="1">
        <v>512</v>
      </c>
      <c r="G16" s="1">
        <v>450</v>
      </c>
      <c r="H16" s="1">
        <v>21114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7C680B73-2061-7446-B5CD-655628F536D2}"/>
    <hyperlink ref="A21" r:id="rId2" xr:uid="{BA06BCDE-75A6-3542-BDC7-87793A2C9D4D}"/>
    <hyperlink ref="A20" r:id="rId3" xr:uid="{5DBFCD59-EFAC-9748-8352-6AEBB99EBD35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0A79-D0C6-1145-81F5-A18BE0084F56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57" t="s">
        <v>13</v>
      </c>
      <c r="B2" s="1">
        <v>34500</v>
      </c>
      <c r="C2" s="1">
        <v>79059</v>
      </c>
      <c r="D2" s="43">
        <f>(Table554567915647084537379[[#This Row],[This Week]]-Table554567915647084537379[[#This Row],[Last Week]])/Table554567915647084537379[[#This Row],[Last Week]]</f>
        <v>-0.56361704549766634</v>
      </c>
      <c r="E2" s="1">
        <v>11363</v>
      </c>
      <c r="F2" s="1">
        <v>303180</v>
      </c>
      <c r="G2" s="1">
        <v>481497</v>
      </c>
      <c r="H2" s="7">
        <f>H9+H11</f>
        <v>9051423</v>
      </c>
    </row>
    <row r="3" spans="1:8" x14ac:dyDescent="0.2">
      <c r="A3" s="8" t="s">
        <v>12</v>
      </c>
      <c r="B3" s="1">
        <v>27874</v>
      </c>
      <c r="C3" s="1">
        <v>25313</v>
      </c>
      <c r="D3" s="43">
        <f>(Table554567915647084537379[[#This Row],[This Week]]-Table554567915647084537379[[#This Row],[Last Week]])/Table554567915647084537379[[#This Row],[Last Week]]</f>
        <v>0.10117331015683641</v>
      </c>
      <c r="E3" s="1">
        <v>40338</v>
      </c>
      <c r="F3" s="1">
        <v>1908179</v>
      </c>
      <c r="G3" s="1">
        <v>1110512</v>
      </c>
      <c r="H3" s="7">
        <f>H10+H12</f>
        <v>13291610</v>
      </c>
    </row>
    <row r="4" spans="1:8" x14ac:dyDescent="0.2">
      <c r="A4" s="10" t="s">
        <v>14</v>
      </c>
      <c r="B4" s="1">
        <v>1571</v>
      </c>
      <c r="C4" s="1">
        <v>1614</v>
      </c>
      <c r="D4" s="43">
        <f>(Table554567915647084537379[[#This Row],[This Week]]-Table554567915647084537379[[#This Row],[Last Week]])/Table554567915647084537379[[#This Row],[Last Week]]</f>
        <v>-2.6641883519206939E-2</v>
      </c>
      <c r="E4" s="1">
        <v>3232</v>
      </c>
      <c r="F4" s="1">
        <v>19585</v>
      </c>
      <c r="G4" s="1">
        <v>97460</v>
      </c>
      <c r="H4" s="1">
        <v>24515732</v>
      </c>
    </row>
    <row r="5" spans="1:8" x14ac:dyDescent="0.2">
      <c r="A5" s="8" t="s">
        <v>15</v>
      </c>
      <c r="B5" s="1">
        <v>53</v>
      </c>
      <c r="C5" s="1">
        <v>34</v>
      </c>
      <c r="D5" s="43">
        <f>(Table554567915647084537379[[#This Row],[This Week]]-Table554567915647084537379[[#This Row],[Last Week]])/Table554567915647084537379[[#This Row],[Last Week]]</f>
        <v>0.55882352941176472</v>
      </c>
      <c r="E5" s="1">
        <v>83</v>
      </c>
      <c r="F5" s="1">
        <v>1540</v>
      </c>
      <c r="G5" s="1">
        <v>2011</v>
      </c>
      <c r="H5" s="1">
        <v>112786</v>
      </c>
    </row>
    <row r="6" spans="1:8" x14ac:dyDescent="0.2">
      <c r="A6" s="31" t="s">
        <v>16</v>
      </c>
      <c r="B6" s="32">
        <f>SUM(B2:B5)</f>
        <v>63998</v>
      </c>
      <c r="C6" s="32">
        <f>SUM(C2:C5)</f>
        <v>106020</v>
      </c>
      <c r="D6" s="46">
        <f>(Table554567915647084537379[[#This Row],[This Week]]-Table554567915647084537379[[#This Row],[Last Week]])/Table554567915647084537379[[#This Row],[Last Week]]</f>
        <v>-0.39635917751367666</v>
      </c>
      <c r="E6" s="32">
        <f>SUM(E2:E5)+571</f>
        <v>55587</v>
      </c>
      <c r="F6" s="32">
        <f>SUM(F2:F5)</f>
        <v>2232484</v>
      </c>
      <c r="G6" s="32">
        <f>SUM(G2:G5)+32690</f>
        <v>1724170</v>
      </c>
      <c r="H6" s="32">
        <f>SUM(H2:H5)</f>
        <v>46971551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53" t="s">
        <v>13</v>
      </c>
      <c r="B9" s="1">
        <v>23606</v>
      </c>
      <c r="C9" s="1">
        <v>60721</v>
      </c>
      <c r="D9" s="43">
        <f>(Table51555781016657185587480[[#This Row],[This Week]]-Table51555781016657185587480[[#This Row],[Last Week]])/Table51555781016657185587480[[#This Row],[Last Week]]</f>
        <v>-0.61123828658948309</v>
      </c>
      <c r="E9" s="1">
        <v>6702</v>
      </c>
      <c r="F9" s="1">
        <v>199362</v>
      </c>
      <c r="G9" s="1">
        <v>312141</v>
      </c>
      <c r="H9" s="1">
        <v>7552635</v>
      </c>
    </row>
    <row r="10" spans="1:8" x14ac:dyDescent="0.2">
      <c r="A10" s="42" t="s">
        <v>12</v>
      </c>
      <c r="B10" s="1">
        <v>19273</v>
      </c>
      <c r="C10" s="1">
        <v>19429</v>
      </c>
      <c r="D10" s="43">
        <f>(Table51555781016657185587480[[#This Row],[This Week]]-Table51555781016657185587480[[#This Row],[Last Week]])/Table51555781016657185587480[[#This Row],[Last Week]]</f>
        <v>-8.0292346492356788E-3</v>
      </c>
      <c r="E10" s="1">
        <v>40338</v>
      </c>
      <c r="F10" s="1">
        <v>829520</v>
      </c>
      <c r="G10" s="1">
        <v>1110512</v>
      </c>
      <c r="H10" s="1">
        <v>11167568</v>
      </c>
    </row>
    <row r="11" spans="1:8" x14ac:dyDescent="0.2">
      <c r="A11" s="53" t="s">
        <v>21</v>
      </c>
      <c r="B11" s="1">
        <v>10894</v>
      </c>
      <c r="C11" s="1">
        <v>18338</v>
      </c>
      <c r="D11" s="43">
        <f>(Table51555781016657185587480[[#This Row],[This Week]]-Table51555781016657185587480[[#This Row],[Last Week]])/Table51555781016657185587480[[#This Row],[Last Week]]</f>
        <v>-0.40593303522739665</v>
      </c>
      <c r="E11" s="1">
        <v>4661</v>
      </c>
      <c r="F11" s="1">
        <v>103818</v>
      </c>
      <c r="G11" s="1">
        <v>169356</v>
      </c>
      <c r="H11" s="1">
        <v>1498788</v>
      </c>
    </row>
    <row r="12" spans="1:8" x14ac:dyDescent="0.2">
      <c r="A12" s="44" t="s">
        <v>18</v>
      </c>
      <c r="B12" s="1">
        <v>8601</v>
      </c>
      <c r="C12" s="1">
        <v>5884</v>
      </c>
      <c r="D12" s="43">
        <f>(Table51555781016657185587480[[#This Row],[This Week]]-Table51555781016657185587480[[#This Row],[Last Week]])/Table51555781016657185587480[[#This Row],[Last Week]]</f>
        <v>0.46176070700203942</v>
      </c>
      <c r="E12" s="1" t="s">
        <v>17</v>
      </c>
      <c r="F12" s="1">
        <v>1078659</v>
      </c>
      <c r="G12" s="1" t="s">
        <v>17</v>
      </c>
      <c r="H12" s="1">
        <v>2124042</v>
      </c>
    </row>
    <row r="13" spans="1:8" x14ac:dyDescent="0.2">
      <c r="A13" s="55" t="s">
        <v>22</v>
      </c>
      <c r="B13" s="1">
        <v>1457</v>
      </c>
      <c r="C13" s="1">
        <v>1517</v>
      </c>
      <c r="D13" s="43">
        <f>(Table51555781016657185587480[[#This Row],[This Week]]-Table51555781016657185587480[[#This Row],[Last Week]])/Table51555781016657185587480[[#This Row],[Last Week]]</f>
        <v>-3.9551746868820042E-2</v>
      </c>
      <c r="E13" s="1">
        <v>2600</v>
      </c>
      <c r="F13" s="1">
        <v>18396</v>
      </c>
      <c r="G13" s="1">
        <v>76709</v>
      </c>
      <c r="H13" s="1">
        <v>1122642</v>
      </c>
    </row>
    <row r="14" spans="1:8" x14ac:dyDescent="0.2">
      <c r="A14" s="26" t="s">
        <v>23</v>
      </c>
      <c r="B14" s="1">
        <v>114</v>
      </c>
      <c r="C14" s="1">
        <v>97</v>
      </c>
      <c r="D14" s="43">
        <f>(Table51555781016657185587480[[#This Row],[This Week]]-Table51555781016657185587480[[#This Row],[Last Week]])/Table51555781016657185587480[[#This Row],[Last Week]]</f>
        <v>0.17525773195876287</v>
      </c>
      <c r="E14" s="1">
        <v>632</v>
      </c>
      <c r="F14" s="1">
        <v>1189</v>
      </c>
      <c r="G14" s="1">
        <v>19660</v>
      </c>
      <c r="H14" s="1">
        <v>5887104</v>
      </c>
    </row>
    <row r="15" spans="1:8" x14ac:dyDescent="0.2">
      <c r="A15" s="53" t="s">
        <v>20</v>
      </c>
      <c r="B15" s="1">
        <v>31</v>
      </c>
      <c r="C15" s="1">
        <v>16</v>
      </c>
      <c r="D15" s="43">
        <f>(Table51555781016657185587480[[#This Row],[This Week]]-Table51555781016657185587480[[#This Row],[Last Week]])/Table51555781016657185587480[[#This Row],[Last Week]]</f>
        <v>0.9375</v>
      </c>
      <c r="E15" s="1">
        <v>39</v>
      </c>
      <c r="F15" s="1">
        <v>543</v>
      </c>
      <c r="G15" s="1">
        <v>489</v>
      </c>
      <c r="H15" s="1">
        <v>21145</v>
      </c>
    </row>
    <row r="16" spans="1:8" x14ac:dyDescent="0.2">
      <c r="A16" s="42" t="s">
        <v>19</v>
      </c>
      <c r="B16" s="1">
        <v>22</v>
      </c>
      <c r="C16" s="1">
        <v>18</v>
      </c>
      <c r="D16" s="43">
        <f>(Table51555781016657185587480[[#This Row],[This Week]]-Table51555781016657185587480[[#This Row],[Last Week]])/Table51555781016657185587480[[#This Row],[Last Week]]</f>
        <v>0.22222222222222221</v>
      </c>
      <c r="E16" s="1">
        <v>44</v>
      </c>
      <c r="F16" s="1">
        <v>997</v>
      </c>
      <c r="G16" s="1">
        <v>1522</v>
      </c>
      <c r="H16" s="1">
        <v>19639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B613260D-86A2-EF43-A294-FD971FF0BC6B}"/>
    <hyperlink ref="A21" r:id="rId2" xr:uid="{EBD5C3E3-0A82-9E44-8BA4-1DAE38EE2749}"/>
    <hyperlink ref="A20" r:id="rId3" xr:uid="{C60DA9D4-D8C1-9A43-979C-B800D700932C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F5AA-DC7F-8944-9D80-819947291C31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107104</v>
      </c>
      <c r="C2" s="1">
        <v>27875</v>
      </c>
      <c r="D2" s="43">
        <f>(Table554567915647084537581[[#This Row],[This Week]]-Table554567915647084537581[[#This Row],[Last Week]])/Table554567915647084537581[[#This Row],[Last Week]]</f>
        <v>2.8422959641255607</v>
      </c>
      <c r="E2" s="1">
        <v>42108</v>
      </c>
      <c r="F2" s="1">
        <v>2015284</v>
      </c>
      <c r="G2" s="1">
        <v>1152620</v>
      </c>
      <c r="H2" s="1">
        <f>H9+H10</f>
        <v>13398715</v>
      </c>
    </row>
    <row r="3" spans="1:8" x14ac:dyDescent="0.2">
      <c r="A3" s="10" t="s">
        <v>13</v>
      </c>
      <c r="B3" s="1">
        <v>33056</v>
      </c>
      <c r="C3" s="1">
        <v>34500</v>
      </c>
      <c r="D3" s="43">
        <f>(Table554567915647084537581[[#This Row],[This Week]]-Table554567915647084537581[[#This Row],[Last Week]])/Table554567915647084537581[[#This Row],[Last Week]]</f>
        <v>-4.1855072463768114E-2</v>
      </c>
      <c r="E3" s="1">
        <v>14167</v>
      </c>
      <c r="F3" s="1">
        <v>336236</v>
      </c>
      <c r="G3" s="1">
        <v>495664</v>
      </c>
      <c r="H3" s="1">
        <f>H11+H12</f>
        <v>9084479</v>
      </c>
    </row>
    <row r="4" spans="1:8" x14ac:dyDescent="0.2">
      <c r="A4" s="10" t="s">
        <v>14</v>
      </c>
      <c r="B4" s="1">
        <v>1784</v>
      </c>
      <c r="C4" s="1">
        <v>1571</v>
      </c>
      <c r="D4" s="43">
        <f>(Table554567915647084537581[[#This Row],[This Week]]-Table554567915647084537581[[#This Row],[Last Week]])/Table554567915647084537581[[#This Row],[Last Week]]</f>
        <v>0.13558243157224698</v>
      </c>
      <c r="E4" s="1">
        <v>4580</v>
      </c>
      <c r="F4" s="1">
        <v>21369</v>
      </c>
      <c r="G4" s="1">
        <v>102040</v>
      </c>
      <c r="H4" s="1">
        <v>24517516</v>
      </c>
    </row>
    <row r="5" spans="1:8" x14ac:dyDescent="0.2">
      <c r="A5" s="8" t="s">
        <v>15</v>
      </c>
      <c r="B5" s="1">
        <v>242</v>
      </c>
      <c r="C5" s="1">
        <v>53</v>
      </c>
      <c r="D5" s="43">
        <f>(Table554567915647084537581[[#This Row],[This Week]]-Table554567915647084537581[[#This Row],[Last Week]])/Table554567915647084537581[[#This Row],[Last Week]]</f>
        <v>3.5660377358490565</v>
      </c>
      <c r="E5" s="1">
        <v>155</v>
      </c>
      <c r="F5" s="1">
        <v>1782</v>
      </c>
      <c r="G5" s="1">
        <v>2166</v>
      </c>
      <c r="H5" s="1">
        <v>113028</v>
      </c>
    </row>
    <row r="6" spans="1:8" x14ac:dyDescent="0.2">
      <c r="A6" s="31" t="s">
        <v>16</v>
      </c>
      <c r="B6" s="32">
        <f>SUM(B2:B5)</f>
        <v>142186</v>
      </c>
      <c r="C6" s="32">
        <f>SUM(C2:C5)</f>
        <v>63999</v>
      </c>
      <c r="D6" s="46">
        <f>(Table554567915647084537581[[#This Row],[This Week]]-Table554567915647084537581[[#This Row],[Last Week]])/Table554567915647084537581[[#This Row],[Last Week]]</f>
        <v>1.2216909639213114</v>
      </c>
      <c r="E6" s="32">
        <f>SUM(E2:E5)+536</f>
        <v>61546</v>
      </c>
      <c r="F6" s="32">
        <f>SUM(F2:F5)</f>
        <v>2374671</v>
      </c>
      <c r="G6" s="32">
        <f>SUM(G2:G5)+33226</f>
        <v>1785716</v>
      </c>
      <c r="H6" s="32">
        <f>SUM(H2:H5)</f>
        <v>47113738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66609</v>
      </c>
      <c r="C9" s="1">
        <v>19274</v>
      </c>
      <c r="D9" s="43">
        <f>(Table51555781016657185587682[[#This Row],[This Week]]-Table51555781016657185587682[[#This Row],[Last Week]])/Table51555781016657185587682[[#This Row],[Last Week]]</f>
        <v>2.4558991387361213</v>
      </c>
      <c r="E9" s="1">
        <v>42108</v>
      </c>
      <c r="F9" s="1">
        <v>896130</v>
      </c>
      <c r="G9" s="1">
        <v>1152620</v>
      </c>
      <c r="H9" s="1">
        <v>11234178</v>
      </c>
    </row>
    <row r="10" spans="1:8" x14ac:dyDescent="0.2">
      <c r="A10" s="44" t="s">
        <v>18</v>
      </c>
      <c r="B10" s="1">
        <v>40495</v>
      </c>
      <c r="C10" s="1">
        <v>8601</v>
      </c>
      <c r="D10" s="43">
        <f>(Table51555781016657185587682[[#This Row],[This Week]]-Table51555781016657185587682[[#This Row],[Last Week]])/Table51555781016657185587682[[#This Row],[Last Week]]</f>
        <v>3.7081734682013718</v>
      </c>
      <c r="E10" s="1" t="s">
        <v>17</v>
      </c>
      <c r="F10" s="1">
        <v>1119154</v>
      </c>
      <c r="G10" s="1" t="s">
        <v>17</v>
      </c>
      <c r="H10" s="1">
        <v>2164537</v>
      </c>
    </row>
    <row r="11" spans="1:8" x14ac:dyDescent="0.2">
      <c r="A11" s="44" t="s">
        <v>13</v>
      </c>
      <c r="B11" s="1">
        <v>18123</v>
      </c>
      <c r="C11" s="1">
        <v>23606</v>
      </c>
      <c r="D11" s="43">
        <f>(Table51555781016657185587682[[#This Row],[This Week]]-Table51555781016657185587682[[#This Row],[Last Week]])/Table51555781016657185587682[[#This Row],[Last Week]]</f>
        <v>-0.23227145640938746</v>
      </c>
      <c r="E11" s="1">
        <v>8786</v>
      </c>
      <c r="F11" s="1">
        <v>217485</v>
      </c>
      <c r="G11" s="1">
        <v>320927</v>
      </c>
      <c r="H11" s="1">
        <v>7570758</v>
      </c>
    </row>
    <row r="12" spans="1:8" x14ac:dyDescent="0.2">
      <c r="A12" s="44" t="s">
        <v>21</v>
      </c>
      <c r="B12" s="1">
        <v>14933</v>
      </c>
      <c r="C12" s="1">
        <v>10894</v>
      </c>
      <c r="D12" s="43">
        <f>(Table51555781016657185587682[[#This Row],[This Week]]-Table51555781016657185587682[[#This Row],[Last Week]])/Table51555781016657185587682[[#This Row],[Last Week]]</f>
        <v>0.37075454378557005</v>
      </c>
      <c r="E12" s="1">
        <v>5381</v>
      </c>
      <c r="F12" s="1">
        <v>118751</v>
      </c>
      <c r="G12" s="1">
        <v>174737</v>
      </c>
      <c r="H12" s="1">
        <v>1513721</v>
      </c>
    </row>
    <row r="13" spans="1:8" x14ac:dyDescent="0.2">
      <c r="A13" s="42" t="s">
        <v>22</v>
      </c>
      <c r="B13" s="1">
        <v>1690</v>
      </c>
      <c r="C13" s="1">
        <v>1457</v>
      </c>
      <c r="D13" s="43">
        <f>(Table51555781016657185587682[[#This Row],[This Week]]-Table51555781016657185587682[[#This Row],[Last Week]])/Table51555781016657185587682[[#This Row],[Last Week]]</f>
        <v>0.15991763898421413</v>
      </c>
      <c r="E13" s="1">
        <v>3927</v>
      </c>
      <c r="F13" s="1">
        <v>20086</v>
      </c>
      <c r="G13" s="1">
        <v>80636</v>
      </c>
      <c r="H13" s="1">
        <v>1124332</v>
      </c>
    </row>
    <row r="14" spans="1:8" x14ac:dyDescent="0.2">
      <c r="A14" s="42" t="s">
        <v>19</v>
      </c>
      <c r="B14" s="1">
        <v>177</v>
      </c>
      <c r="C14" s="1">
        <v>22</v>
      </c>
      <c r="D14" s="43">
        <f>(Table51555781016657185587682[[#This Row],[This Week]]-Table51555781016657185587682[[#This Row],[Last Week]])/Table51555781016657185587682[[#This Row],[Last Week]]</f>
        <v>7.0454545454545459</v>
      </c>
      <c r="E14" s="1">
        <v>103</v>
      </c>
      <c r="F14" s="1">
        <v>1174</v>
      </c>
      <c r="G14" s="1">
        <v>1625</v>
      </c>
      <c r="H14" s="1">
        <v>19816</v>
      </c>
    </row>
    <row r="15" spans="1:8" x14ac:dyDescent="0.2">
      <c r="A15" s="38" t="s">
        <v>23</v>
      </c>
      <c r="B15" s="1">
        <v>94</v>
      </c>
      <c r="C15" s="1">
        <v>114</v>
      </c>
      <c r="D15" s="43">
        <f>(Table51555781016657185587682[[#This Row],[This Week]]-Table51555781016657185587682[[#This Row],[Last Week]])/Table51555781016657185587682[[#This Row],[Last Week]]</f>
        <v>-0.17543859649122806</v>
      </c>
      <c r="E15" s="1">
        <v>653</v>
      </c>
      <c r="F15" s="1">
        <v>1283</v>
      </c>
      <c r="G15" s="1">
        <v>20313</v>
      </c>
      <c r="H15" s="1">
        <v>5887198</v>
      </c>
    </row>
    <row r="16" spans="1:8" x14ac:dyDescent="0.2">
      <c r="A16" s="59" t="s">
        <v>20</v>
      </c>
      <c r="B16" s="1">
        <v>65</v>
      </c>
      <c r="C16" s="1">
        <v>31</v>
      </c>
      <c r="D16" s="43">
        <f>(Table51555781016657185587682[[#This Row],[This Week]]-Table51555781016657185587682[[#This Row],[Last Week]])/Table51555781016657185587682[[#This Row],[Last Week]]</f>
        <v>1.096774193548387</v>
      </c>
      <c r="E16" s="1">
        <v>52</v>
      </c>
      <c r="F16" s="1">
        <v>608</v>
      </c>
      <c r="G16" s="1">
        <v>541</v>
      </c>
      <c r="H16" s="1">
        <v>21210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476B8C5A-2EC0-734B-AC3F-8618C60619A2}"/>
    <hyperlink ref="A21" r:id="rId2" xr:uid="{549A924B-3135-6147-9589-E23499EFD015}"/>
    <hyperlink ref="A20" r:id="rId3" xr:uid="{0C92BB4C-8939-0B4C-9E24-DC6C73F2A81A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2B3B-1310-924B-8C94-275426A35064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115043</v>
      </c>
      <c r="C2" s="1">
        <v>107104</v>
      </c>
      <c r="D2" s="43">
        <f>(Table55456791564708453758187[[#This Row],[This Week]]-Table55456791564708453758187[[#This Row],[Last Week]])/Table55456791564708453758187[[#This Row],[Last Week]]</f>
        <v>7.4124215715566183E-2</v>
      </c>
      <c r="E2" s="1">
        <v>53096</v>
      </c>
      <c r="F2" s="1">
        <v>2130326</v>
      </c>
      <c r="G2" s="1">
        <v>1205716</v>
      </c>
      <c r="H2" s="1">
        <f>H9+H10</f>
        <v>13513757</v>
      </c>
    </row>
    <row r="3" spans="1:8" x14ac:dyDescent="0.2">
      <c r="A3" s="10" t="s">
        <v>13</v>
      </c>
      <c r="B3" s="1">
        <v>24335</v>
      </c>
      <c r="C3" s="1">
        <v>33056</v>
      </c>
      <c r="D3" s="43">
        <f>(Table55456791564708453758187[[#This Row],[This Week]]-Table55456791564708453758187[[#This Row],[Last Week]])/Table55456791564708453758187[[#This Row],[Last Week]]</f>
        <v>-0.26382502420135528</v>
      </c>
      <c r="E3" s="1">
        <v>18739</v>
      </c>
      <c r="F3" s="1">
        <v>360571</v>
      </c>
      <c r="G3" s="1">
        <v>514403</v>
      </c>
      <c r="H3" s="1">
        <f>H11+H12</f>
        <v>9108814</v>
      </c>
    </row>
    <row r="4" spans="1:8" x14ac:dyDescent="0.2">
      <c r="A4" s="10" t="s">
        <v>14</v>
      </c>
      <c r="B4" s="1">
        <v>1704</v>
      </c>
      <c r="C4" s="1">
        <v>1784</v>
      </c>
      <c r="D4" s="43">
        <f>(Table55456791564708453758187[[#This Row],[This Week]]-Table55456791564708453758187[[#This Row],[Last Week]])/Table55456791564708453758187[[#This Row],[Last Week]]</f>
        <v>-4.4843049327354258E-2</v>
      </c>
      <c r="E4" s="1">
        <v>6824</v>
      </c>
      <c r="F4" s="1">
        <v>23073</v>
      </c>
      <c r="G4" s="1">
        <v>108864</v>
      </c>
      <c r="H4" s="1">
        <v>24519220</v>
      </c>
    </row>
    <row r="5" spans="1:8" x14ac:dyDescent="0.2">
      <c r="A5" s="8" t="s">
        <v>15</v>
      </c>
      <c r="B5" s="1">
        <v>215</v>
      </c>
      <c r="C5" s="1">
        <v>242</v>
      </c>
      <c r="D5" s="43">
        <f>(Table55456791564708453758187[[#This Row],[This Week]]-Table55456791564708453758187[[#This Row],[Last Week]])/Table55456791564708453758187[[#This Row],[Last Week]]</f>
        <v>-0.1115702479338843</v>
      </c>
      <c r="E5" s="1">
        <v>206</v>
      </c>
      <c r="F5" s="1">
        <v>1997</v>
      </c>
      <c r="G5" s="1">
        <v>2372</v>
      </c>
      <c r="H5" s="1">
        <v>113243</v>
      </c>
    </row>
    <row r="6" spans="1:8" x14ac:dyDescent="0.2">
      <c r="A6" s="31" t="s">
        <v>16</v>
      </c>
      <c r="B6" s="32">
        <f>SUM(B2:B5)</f>
        <v>141297</v>
      </c>
      <c r="C6" s="32">
        <f>SUM(C2:C5)</f>
        <v>142186</v>
      </c>
      <c r="D6" s="46">
        <f>(Table55456791564708453758187[[#This Row],[This Week]]-Table55456791564708453758187[[#This Row],[Last Week]])/Table55456791564708453758187[[#This Row],[Last Week]]</f>
        <v>-6.2523736514143446E-3</v>
      </c>
      <c r="E6" s="32">
        <f>SUM(E2:E5)+581</f>
        <v>79446</v>
      </c>
      <c r="F6" s="32">
        <f>SUM(F2:F5)</f>
        <v>2515967</v>
      </c>
      <c r="G6" s="32">
        <f>SUM(G2:G5)+33807</f>
        <v>1865162</v>
      </c>
      <c r="H6" s="32">
        <f>SUM(H2:H5)</f>
        <v>47255034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86150</v>
      </c>
      <c r="C9" s="1">
        <v>66609</v>
      </c>
      <c r="D9" s="43">
        <f>(Table5155578101665718558768288[[#This Row],[This Week]]-Table5155578101665718558768288[[#This Row],[Last Week]])/Table5155578101665718558768288[[#This Row],[Last Week]]</f>
        <v>0.29336876398084344</v>
      </c>
      <c r="E9" s="1">
        <v>53096</v>
      </c>
      <c r="F9" s="1">
        <v>982279</v>
      </c>
      <c r="G9" s="1">
        <v>1205716</v>
      </c>
      <c r="H9" s="1">
        <v>11320327</v>
      </c>
    </row>
    <row r="10" spans="1:8" x14ac:dyDescent="0.2">
      <c r="A10" s="44" t="s">
        <v>18</v>
      </c>
      <c r="B10" s="1">
        <v>28893</v>
      </c>
      <c r="C10" s="1">
        <v>40495</v>
      </c>
      <c r="D10" s="43">
        <f>(Table5155578101665718558768288[[#This Row],[This Week]]-Table5155578101665718558768288[[#This Row],[Last Week]])/Table5155578101665718558768288[[#This Row],[Last Week]]</f>
        <v>-0.28650450672922584</v>
      </c>
      <c r="E10" s="1" t="s">
        <v>17</v>
      </c>
      <c r="F10" s="1">
        <v>1148047</v>
      </c>
      <c r="G10" s="1" t="s">
        <v>17</v>
      </c>
      <c r="H10" s="1">
        <v>2193430</v>
      </c>
    </row>
    <row r="11" spans="1:8" x14ac:dyDescent="0.2">
      <c r="A11" s="44" t="s">
        <v>13</v>
      </c>
      <c r="B11" s="1">
        <v>12339</v>
      </c>
      <c r="C11" s="1">
        <v>18123</v>
      </c>
      <c r="D11" s="43">
        <f>(Table5155578101665718558768288[[#This Row],[This Week]]-Table5155578101665718558768288[[#This Row],[Last Week]])/Table5155578101665718558768288[[#This Row],[Last Week]]</f>
        <v>-0.31915245820228438</v>
      </c>
      <c r="E11" s="1">
        <v>11316</v>
      </c>
      <c r="F11" s="1">
        <v>229824</v>
      </c>
      <c r="G11" s="1">
        <v>332243</v>
      </c>
      <c r="H11" s="1">
        <v>7583097</v>
      </c>
    </row>
    <row r="12" spans="1:8" x14ac:dyDescent="0.2">
      <c r="A12" s="44" t="s">
        <v>21</v>
      </c>
      <c r="B12" s="1">
        <v>11996</v>
      </c>
      <c r="C12" s="1">
        <v>14933</v>
      </c>
      <c r="D12" s="43">
        <f>(Table5155578101665718558768288[[#This Row],[This Week]]-Table5155578101665718558768288[[#This Row],[Last Week]])/Table5155578101665718558768288[[#This Row],[Last Week]]</f>
        <v>-0.19667849728788589</v>
      </c>
      <c r="E12" s="1">
        <v>7423</v>
      </c>
      <c r="F12" s="1">
        <v>130747</v>
      </c>
      <c r="G12" s="1">
        <v>182160</v>
      </c>
      <c r="H12" s="1">
        <v>1525717</v>
      </c>
    </row>
    <row r="13" spans="1:8" x14ac:dyDescent="0.2">
      <c r="A13" s="42" t="s">
        <v>22</v>
      </c>
      <c r="B13" s="1">
        <v>1590</v>
      </c>
      <c r="C13" s="1">
        <v>1690</v>
      </c>
      <c r="D13" s="43">
        <f>(Table5155578101665718558768288[[#This Row],[This Week]]-Table5155578101665718558768288[[#This Row],[Last Week]])/Table5155578101665718558768288[[#This Row],[Last Week]]</f>
        <v>-5.9171597633136092E-2</v>
      </c>
      <c r="E13" s="1">
        <v>5820</v>
      </c>
      <c r="F13" s="1">
        <v>21676</v>
      </c>
      <c r="G13" s="1">
        <v>86456</v>
      </c>
      <c r="H13" s="1">
        <v>1125922</v>
      </c>
    </row>
    <row r="14" spans="1:8" x14ac:dyDescent="0.2">
      <c r="A14" s="42" t="s">
        <v>19</v>
      </c>
      <c r="B14" s="1">
        <v>181</v>
      </c>
      <c r="C14" s="1">
        <v>177</v>
      </c>
      <c r="D14" s="43">
        <f>(Table5155578101665718558768288[[#This Row],[This Week]]-Table5155578101665718558768288[[#This Row],[Last Week]])/Table5155578101665718558768288[[#This Row],[Last Week]]</f>
        <v>2.2598870056497175E-2</v>
      </c>
      <c r="E14" s="1">
        <v>94</v>
      </c>
      <c r="F14" s="1">
        <v>1355</v>
      </c>
      <c r="G14" s="1">
        <v>1719</v>
      </c>
      <c r="H14" s="1">
        <v>19997</v>
      </c>
    </row>
    <row r="15" spans="1:8" x14ac:dyDescent="0.2">
      <c r="A15" s="38" t="s">
        <v>23</v>
      </c>
      <c r="B15" s="1">
        <v>114</v>
      </c>
      <c r="C15" s="1">
        <v>94</v>
      </c>
      <c r="D15" s="43">
        <f>(Table5155578101665718558768288[[#This Row],[This Week]]-Table5155578101665718558768288[[#This Row],[Last Week]])/Table5155578101665718558768288[[#This Row],[Last Week]]</f>
        <v>0.21276595744680851</v>
      </c>
      <c r="E15" s="1">
        <v>1004</v>
      </c>
      <c r="F15" s="1">
        <v>1397</v>
      </c>
      <c r="G15" s="1">
        <v>21317</v>
      </c>
      <c r="H15" s="1">
        <v>5887312</v>
      </c>
    </row>
    <row r="16" spans="1:8" x14ac:dyDescent="0.2">
      <c r="A16" s="59" t="s">
        <v>20</v>
      </c>
      <c r="B16" s="1">
        <v>34</v>
      </c>
      <c r="C16" s="1">
        <v>65</v>
      </c>
      <c r="D16" s="43">
        <f>(Table5155578101665718558768288[[#This Row],[This Week]]-Table5155578101665718558768288[[#This Row],[Last Week]])/Table5155578101665718558768288[[#This Row],[Last Week]]</f>
        <v>-0.47692307692307695</v>
      </c>
      <c r="E16" s="1">
        <v>112</v>
      </c>
      <c r="F16" s="1">
        <v>642</v>
      </c>
      <c r="G16" s="1">
        <v>653</v>
      </c>
      <c r="H16" s="1">
        <v>21244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4EFE0623-0948-D643-843D-456B48EFA756}"/>
    <hyperlink ref="A21" r:id="rId2" xr:uid="{1DB09DE7-C7B7-CA48-8450-A0B2BC3C3B43}"/>
    <hyperlink ref="A20" r:id="rId3" xr:uid="{C6F584B9-A3CA-8840-A19B-3990E88C5DFC}"/>
  </hyperlinks>
  <pageMargins left="0.7" right="0.7" top="0.75" bottom="0.75" header="0.3" footer="0.3"/>
  <tableParts count="2"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8DAE-8F0D-EB40-8601-493A1636DE57}">
  <dimension ref="A1:H22"/>
  <sheetViews>
    <sheetView workbookViewId="0">
      <selection activeCell="A29" sqref="A29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42420</v>
      </c>
      <c r="C2" s="1">
        <v>115043</v>
      </c>
      <c r="D2" s="43">
        <f>(Table5545679156470845375818791[[#This Row],[This Week]]-Table5545679156470845375818791[[#This Row],[Last Week]])/Table5545679156470845375818791[[#This Row],[Last Week]]</f>
        <v>-0.63126830837165238</v>
      </c>
      <c r="E2" s="1">
        <v>30375</v>
      </c>
      <c r="F2" s="1">
        <v>2172746</v>
      </c>
      <c r="G2" s="1">
        <v>1236091</v>
      </c>
      <c r="H2" s="1">
        <f>H9+H10</f>
        <v>13556177</v>
      </c>
    </row>
    <row r="3" spans="1:8" x14ac:dyDescent="0.2">
      <c r="A3" s="10" t="s">
        <v>13</v>
      </c>
      <c r="B3" s="1">
        <v>8143</v>
      </c>
      <c r="C3" s="1">
        <v>24335</v>
      </c>
      <c r="D3" s="43">
        <f>(Table5545679156470845375818791[[#This Row],[This Week]]-Table5545679156470845375818791[[#This Row],[Last Week]])/Table5545679156470845375818791[[#This Row],[Last Week]]</f>
        <v>-0.66537908362440934</v>
      </c>
      <c r="E3" s="1">
        <v>11264</v>
      </c>
      <c r="F3" s="1">
        <v>368714</v>
      </c>
      <c r="G3" s="1">
        <v>525667</v>
      </c>
      <c r="H3" s="1">
        <f>H11+H12</f>
        <v>9116957</v>
      </c>
    </row>
    <row r="4" spans="1:8" x14ac:dyDescent="0.2">
      <c r="A4" s="10" t="s">
        <v>14</v>
      </c>
      <c r="B4" s="1">
        <v>1718</v>
      </c>
      <c r="C4" s="1">
        <v>1704</v>
      </c>
      <c r="D4" s="43">
        <f>(Table5545679156470845375818791[[#This Row],[This Week]]-Table5545679156470845375818791[[#This Row],[Last Week]])/Table5545679156470845375818791[[#This Row],[Last Week]]</f>
        <v>8.2159624413145546E-3</v>
      </c>
      <c r="E4" s="1">
        <v>3527</v>
      </c>
      <c r="F4" s="1">
        <v>24791</v>
      </c>
      <c r="G4" s="1">
        <v>112391</v>
      </c>
      <c r="H4" s="1">
        <v>24520938</v>
      </c>
    </row>
    <row r="5" spans="1:8" x14ac:dyDescent="0.2">
      <c r="A5" s="8" t="s">
        <v>15</v>
      </c>
      <c r="B5" s="1">
        <v>35</v>
      </c>
      <c r="C5" s="1">
        <v>215</v>
      </c>
      <c r="D5" s="43">
        <f>(Table5545679156470845375818791[[#This Row],[This Week]]-Table5545679156470845375818791[[#This Row],[Last Week]])/Table5545679156470845375818791[[#This Row],[Last Week]]</f>
        <v>-0.83720930232558144</v>
      </c>
      <c r="E5" s="1">
        <v>176</v>
      </c>
      <c r="F5" s="1">
        <v>2032</v>
      </c>
      <c r="G5" s="1">
        <v>2548</v>
      </c>
      <c r="H5" s="1">
        <v>113278</v>
      </c>
    </row>
    <row r="6" spans="1:8" x14ac:dyDescent="0.2">
      <c r="A6" s="31" t="s">
        <v>16</v>
      </c>
      <c r="B6" s="32">
        <f>SUM(B2:B5)</f>
        <v>52316</v>
      </c>
      <c r="C6" s="32">
        <f>SUM(C2:C5)</f>
        <v>141297</v>
      </c>
      <c r="D6" s="46">
        <f>(Table5545679156470845375818791[[#This Row],[This Week]]-Table5545679156470845375818791[[#This Row],[Last Week]])/Table5545679156470845375818791[[#This Row],[Last Week]]</f>
        <v>-0.62974443901852128</v>
      </c>
      <c r="E6" s="32">
        <f>SUM(E2:E5)+507</f>
        <v>45849</v>
      </c>
      <c r="F6" s="32">
        <f>SUM(F2:F5)</f>
        <v>2568283</v>
      </c>
      <c r="G6" s="32">
        <f>SUM(G2:G5)+34314</f>
        <v>1911011</v>
      </c>
      <c r="H6" s="32">
        <f>SUM(H2:H5)</f>
        <v>47307350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31337</v>
      </c>
      <c r="C9" s="1">
        <v>86150</v>
      </c>
      <c r="D9" s="43">
        <f>(Table515557810166571855876828892[[#This Row],[This Week]]-Table515557810166571855876828892[[#This Row],[Last Week]])/Table515557810166571855876828892[[#This Row],[Last Week]]</f>
        <v>-0.636250725478816</v>
      </c>
      <c r="E9" s="1">
        <v>30375</v>
      </c>
      <c r="F9" s="1">
        <v>1013616</v>
      </c>
      <c r="G9" s="1">
        <v>1236091</v>
      </c>
      <c r="H9" s="1">
        <v>11351664</v>
      </c>
    </row>
    <row r="10" spans="1:8" x14ac:dyDescent="0.2">
      <c r="A10" s="44" t="s">
        <v>18</v>
      </c>
      <c r="B10" s="1">
        <v>11083</v>
      </c>
      <c r="C10" s="1">
        <v>28893</v>
      </c>
      <c r="D10" s="43">
        <f>(Table515557810166571855876828892[[#This Row],[This Week]]-Table515557810166571855876828892[[#This Row],[Last Week]])/Table515557810166571855876828892[[#This Row],[Last Week]]</f>
        <v>-0.61641227979095281</v>
      </c>
      <c r="E10" s="1" t="s">
        <v>17</v>
      </c>
      <c r="F10" s="1">
        <v>1159130</v>
      </c>
      <c r="G10" s="1" t="s">
        <v>17</v>
      </c>
      <c r="H10" s="1">
        <v>2204513</v>
      </c>
    </row>
    <row r="11" spans="1:8" x14ac:dyDescent="0.2">
      <c r="A11" s="54" t="s">
        <v>21</v>
      </c>
      <c r="B11" s="1">
        <v>4802</v>
      </c>
      <c r="C11" s="1">
        <v>11996</v>
      </c>
      <c r="D11" s="43">
        <f>(Table515557810166571855876828892[[#This Row],[This Week]]-Table515557810166571855876828892[[#This Row],[Last Week]])/Table515557810166571855876828892[[#This Row],[Last Week]]</f>
        <v>-0.59969989996665551</v>
      </c>
      <c r="E11" s="1">
        <v>4934</v>
      </c>
      <c r="F11" s="1">
        <v>135549</v>
      </c>
      <c r="G11" s="1">
        <v>187094</v>
      </c>
      <c r="H11" s="1">
        <v>1530519</v>
      </c>
    </row>
    <row r="12" spans="1:8" x14ac:dyDescent="0.2">
      <c r="A12" s="22" t="s">
        <v>13</v>
      </c>
      <c r="B12" s="1">
        <v>3341</v>
      </c>
      <c r="C12" s="1">
        <v>12339</v>
      </c>
      <c r="D12" s="43">
        <f>(Table515557810166571855876828892[[#This Row],[This Week]]-Table515557810166571855876828892[[#This Row],[Last Week]])/Table515557810166571855876828892[[#This Row],[Last Week]]</f>
        <v>-0.72923251479050166</v>
      </c>
      <c r="E12" s="1">
        <v>6330</v>
      </c>
      <c r="F12" s="1">
        <v>233165</v>
      </c>
      <c r="G12" s="1">
        <v>338573</v>
      </c>
      <c r="H12" s="1">
        <v>7586438</v>
      </c>
    </row>
    <row r="13" spans="1:8" x14ac:dyDescent="0.2">
      <c r="A13" s="18" t="s">
        <v>22</v>
      </c>
      <c r="B13" s="1">
        <v>1576</v>
      </c>
      <c r="C13" s="1">
        <v>1590</v>
      </c>
      <c r="D13" s="43">
        <f>(Table515557810166571855876828892[[#This Row],[This Week]]-Table515557810166571855876828892[[#This Row],[Last Week]])/Table515557810166571855876828892[[#This Row],[Last Week]]</f>
        <v>-8.8050314465408803E-3</v>
      </c>
      <c r="E13" s="1">
        <v>3020</v>
      </c>
      <c r="F13" s="1">
        <v>23252</v>
      </c>
      <c r="G13" s="1">
        <v>89476</v>
      </c>
      <c r="H13" s="1">
        <v>1127498</v>
      </c>
    </row>
    <row r="14" spans="1:8" x14ac:dyDescent="0.2">
      <c r="A14" s="26" t="s">
        <v>23</v>
      </c>
      <c r="B14" s="1">
        <v>142</v>
      </c>
      <c r="C14" s="1">
        <v>114</v>
      </c>
      <c r="D14" s="43">
        <f>(Table515557810166571855876828892[[#This Row],[This Week]]-Table515557810166571855876828892[[#This Row],[Last Week]])/Table515557810166571855876828892[[#This Row],[Last Week]]</f>
        <v>0.24561403508771928</v>
      </c>
      <c r="E14" s="1">
        <v>507</v>
      </c>
      <c r="F14" s="1">
        <v>1539</v>
      </c>
      <c r="G14" s="1">
        <v>21824</v>
      </c>
      <c r="H14" s="1">
        <v>5887454</v>
      </c>
    </row>
    <row r="15" spans="1:8" x14ac:dyDescent="0.2">
      <c r="A15" s="38" t="s">
        <v>19</v>
      </c>
      <c r="B15" s="1">
        <v>22</v>
      </c>
      <c r="C15" s="1">
        <v>181</v>
      </c>
      <c r="D15" s="43">
        <f>(Table515557810166571855876828892[[#This Row],[This Week]]-Table515557810166571855876828892[[#This Row],[Last Week]])/Table515557810166571855876828892[[#This Row],[Last Week]]</f>
        <v>-0.87845303867403313</v>
      </c>
      <c r="E15" s="1">
        <v>102</v>
      </c>
      <c r="F15" s="1">
        <v>1377</v>
      </c>
      <c r="G15" s="1">
        <v>1821</v>
      </c>
      <c r="H15" s="1">
        <v>20019</v>
      </c>
    </row>
    <row r="16" spans="1:8" x14ac:dyDescent="0.2">
      <c r="A16" s="53" t="s">
        <v>20</v>
      </c>
      <c r="B16" s="1">
        <v>13</v>
      </c>
      <c r="C16" s="1">
        <v>34</v>
      </c>
      <c r="D16" s="43">
        <f>(Table515557810166571855876828892[[#This Row],[This Week]]-Table515557810166571855876828892[[#This Row],[Last Week]])/Table515557810166571855876828892[[#This Row],[Last Week]]</f>
        <v>-0.61764705882352944</v>
      </c>
      <c r="E16" s="1">
        <v>74</v>
      </c>
      <c r="F16" s="1">
        <v>655</v>
      </c>
      <c r="G16" s="1">
        <v>727</v>
      </c>
      <c r="H16" s="1">
        <v>21257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709A42FC-7A47-9F48-B46D-DE19F2A8ADD4}"/>
    <hyperlink ref="A21" r:id="rId2" xr:uid="{30BF202A-0E6A-B74C-A4AB-48E98BBE8CB8}"/>
    <hyperlink ref="A20" r:id="rId3" xr:uid="{1DC10AE6-7626-2A41-A6CE-E11B6F618E8D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9D9A-DD4A-7B43-B677-4AC6A156B305}">
  <dimension ref="A1:H41"/>
  <sheetViews>
    <sheetView workbookViewId="0">
      <selection activeCell="H1" sqref="H1"/>
    </sheetView>
  </sheetViews>
  <sheetFormatPr baseColWidth="10" defaultRowHeight="16" x14ac:dyDescent="0.2"/>
  <cols>
    <col min="1" max="1" width="18.5" style="37" bestFit="1" customWidth="1"/>
    <col min="2" max="3" width="9.83203125" style="37" bestFit="1" customWidth="1"/>
    <col min="4" max="4" width="16.83203125" style="37" bestFit="1" customWidth="1"/>
    <col min="5" max="5" width="8.6640625" style="38" bestFit="1" customWidth="1"/>
    <col min="6" max="6" width="11.1640625" style="38" bestFit="1" customWidth="1"/>
    <col min="7" max="7" width="15.6640625" style="37" bestFit="1" customWidth="1"/>
    <col min="8" max="8" width="10.1640625" style="37" bestFit="1" customWidth="1"/>
    <col min="9" max="16384" width="10.83203125" style="37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47">
        <v>116301</v>
      </c>
      <c r="C2" s="38">
        <v>284827</v>
      </c>
      <c r="D2" s="16">
        <f>(B2-C2)/C2</f>
        <v>-0.59167845744960978</v>
      </c>
      <c r="E2" s="38">
        <v>83136</v>
      </c>
      <c r="F2" s="38">
        <v>401128</v>
      </c>
      <c r="G2" s="38">
        <v>308834</v>
      </c>
      <c r="H2" s="38">
        <f>H9+H10</f>
        <v>11784559</v>
      </c>
    </row>
    <row r="3" spans="1:8" x14ac:dyDescent="0.2">
      <c r="A3" s="10" t="s">
        <v>13</v>
      </c>
      <c r="B3" s="47">
        <v>7359</v>
      </c>
      <c r="C3" s="38">
        <v>58244</v>
      </c>
      <c r="D3" s="16">
        <f t="shared" ref="D3:D6" si="0">(B3-C3)/C3</f>
        <v>-0.87365222168807088</v>
      </c>
      <c r="E3" s="38">
        <v>17188</v>
      </c>
      <c r="F3" s="38">
        <v>65603</v>
      </c>
      <c r="G3" s="38">
        <v>149754</v>
      </c>
      <c r="H3" s="38">
        <f>H11+H12</f>
        <v>8813846</v>
      </c>
    </row>
    <row r="4" spans="1:8" x14ac:dyDescent="0.2">
      <c r="A4" s="10" t="s">
        <v>14</v>
      </c>
      <c r="B4" s="47">
        <v>943</v>
      </c>
      <c r="C4" s="38">
        <v>4030</v>
      </c>
      <c r="D4" s="16">
        <f t="shared" si="0"/>
        <v>-0.76600496277915631</v>
      </c>
      <c r="E4" s="38">
        <v>5493</v>
      </c>
      <c r="F4" s="38">
        <v>4973</v>
      </c>
      <c r="G4" s="38">
        <v>34462</v>
      </c>
      <c r="H4" s="38">
        <v>24501287</v>
      </c>
    </row>
    <row r="5" spans="1:8" x14ac:dyDescent="0.2">
      <c r="A5" s="8" t="s">
        <v>15</v>
      </c>
      <c r="B5" s="47">
        <v>133</v>
      </c>
      <c r="C5" s="38">
        <v>112</v>
      </c>
      <c r="D5" s="16">
        <f t="shared" si="0"/>
        <v>0.1875</v>
      </c>
      <c r="E5" s="38">
        <v>180</v>
      </c>
      <c r="F5" s="38">
        <v>245</v>
      </c>
      <c r="G5" s="38">
        <v>437</v>
      </c>
      <c r="H5" s="38">
        <v>111489</v>
      </c>
    </row>
    <row r="6" spans="1:8" x14ac:dyDescent="0.2">
      <c r="A6" s="48" t="s">
        <v>16</v>
      </c>
      <c r="B6" s="49">
        <f>SUM(B2:B5)</f>
        <v>124736</v>
      </c>
      <c r="C6" s="49">
        <f>SUM(C2:C5)</f>
        <v>347213</v>
      </c>
      <c r="D6" s="50">
        <f t="shared" si="0"/>
        <v>-0.64075077834067273</v>
      </c>
      <c r="E6" s="49">
        <f>SUM(E2:E5)+1701</f>
        <v>107698</v>
      </c>
      <c r="F6" s="49">
        <f>SUM(F2:F5)</f>
        <v>471949</v>
      </c>
      <c r="G6" s="49">
        <f>SUM(G2:G5)+5278</f>
        <v>498765</v>
      </c>
      <c r="H6" s="49">
        <f>SUM(H2:H5)</f>
        <v>45211181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38">
        <v>75348</v>
      </c>
      <c r="C9" s="38">
        <v>177428</v>
      </c>
      <c r="D9" s="43">
        <f>(Table5155[[#This Row],[This Week]]-Table5155[[#This Row],[Last Week]])/Table5155[[#This Row],[Last Week]]</f>
        <v>-0.57533196564240141</v>
      </c>
      <c r="E9" s="38">
        <v>83136</v>
      </c>
      <c r="F9" s="38">
        <v>252776</v>
      </c>
      <c r="G9" s="38">
        <v>308834</v>
      </c>
      <c r="H9" s="38">
        <v>10590824</v>
      </c>
    </row>
    <row r="10" spans="1:8" x14ac:dyDescent="0.2">
      <c r="A10" s="44" t="s">
        <v>18</v>
      </c>
      <c r="B10" s="38">
        <v>40953</v>
      </c>
      <c r="C10" s="38">
        <v>107399</v>
      </c>
      <c r="D10" s="43">
        <f>(Table5155[[#This Row],[This Week]]-Table5155[[#This Row],[Last Week]])/Table5155[[#This Row],[Last Week]]</f>
        <v>-0.61868360040596282</v>
      </c>
      <c r="E10" s="38" t="s">
        <v>17</v>
      </c>
      <c r="F10" s="38">
        <v>148352</v>
      </c>
      <c r="G10" s="38" t="s">
        <v>17</v>
      </c>
      <c r="H10" s="38">
        <v>1193735</v>
      </c>
    </row>
    <row r="11" spans="1:8" x14ac:dyDescent="0.2">
      <c r="A11" s="42" t="s">
        <v>13</v>
      </c>
      <c r="B11" s="38">
        <v>4447</v>
      </c>
      <c r="C11" s="38">
        <v>27385</v>
      </c>
      <c r="D11" s="43">
        <f>(Table5155[[#This Row],[This Week]]-Table5155[[#This Row],[Last Week]])/Table5155[[#This Row],[Last Week]]</f>
        <v>-0.83761183129450434</v>
      </c>
      <c r="E11" s="38">
        <v>10167</v>
      </c>
      <c r="F11" s="38">
        <v>31832</v>
      </c>
      <c r="G11" s="38">
        <v>110575</v>
      </c>
      <c r="H11" s="38">
        <v>7385105</v>
      </c>
    </row>
    <row r="12" spans="1:8" x14ac:dyDescent="0.2">
      <c r="A12" s="42" t="s">
        <v>21</v>
      </c>
      <c r="B12" s="38">
        <v>2912</v>
      </c>
      <c r="C12" s="38">
        <v>30859</v>
      </c>
      <c r="D12" s="43">
        <f>(Table5155[[#This Row],[This Week]]-Table5155[[#This Row],[Last Week]])/Table5155[[#This Row],[Last Week]]</f>
        <v>-0.90563530898603328</v>
      </c>
      <c r="E12" s="38">
        <v>7021</v>
      </c>
      <c r="F12" s="38">
        <v>33771</v>
      </c>
      <c r="G12" s="38">
        <v>39179</v>
      </c>
      <c r="H12" s="38">
        <v>1428741</v>
      </c>
    </row>
    <row r="13" spans="1:8" x14ac:dyDescent="0.2">
      <c r="A13" s="42" t="s">
        <v>22</v>
      </c>
      <c r="B13" s="38">
        <v>858</v>
      </c>
      <c r="C13" s="38">
        <v>3933</v>
      </c>
      <c r="D13" s="43">
        <f>(Table5155[[#This Row],[This Week]]-Table5155[[#This Row],[Last Week]])/Table5155[[#This Row],[Last Week]]</f>
        <v>-0.78184591914569035</v>
      </c>
      <c r="E13" s="38">
        <v>3505</v>
      </c>
      <c r="F13" s="38">
        <v>4791</v>
      </c>
      <c r="G13" s="38">
        <v>28617</v>
      </c>
      <c r="H13" s="38">
        <v>1109204</v>
      </c>
    </row>
    <row r="14" spans="1:8" x14ac:dyDescent="0.2">
      <c r="A14" s="42" t="s">
        <v>19</v>
      </c>
      <c r="B14" s="38">
        <v>102</v>
      </c>
      <c r="C14" s="38">
        <v>58</v>
      </c>
      <c r="D14" s="43">
        <f>(Table5155[[#This Row],[This Week]]-Table5155[[#This Row],[Last Week]])/Table5155[[#This Row],[Last Week]]</f>
        <v>0.75862068965517238</v>
      </c>
      <c r="E14" s="38">
        <v>138</v>
      </c>
      <c r="F14" s="38">
        <v>160</v>
      </c>
      <c r="G14" s="38">
        <v>317</v>
      </c>
      <c r="H14" s="38">
        <v>18802</v>
      </c>
    </row>
    <row r="15" spans="1:8" x14ac:dyDescent="0.2">
      <c r="A15" s="42" t="s">
        <v>23</v>
      </c>
      <c r="B15" s="38">
        <v>85</v>
      </c>
      <c r="C15" s="38">
        <v>97</v>
      </c>
      <c r="D15" s="43">
        <f>(Table5155[[#This Row],[This Week]]-Table5155[[#This Row],[Last Week]])/Table5155[[#This Row],[Last Week]]</f>
        <v>-0.12371134020618557</v>
      </c>
      <c r="E15" s="38">
        <v>1765</v>
      </c>
      <c r="F15" s="38">
        <v>182</v>
      </c>
      <c r="G15" s="38">
        <v>5206</v>
      </c>
      <c r="H15" s="38">
        <v>5886097</v>
      </c>
    </row>
    <row r="16" spans="1:8" x14ac:dyDescent="0.2">
      <c r="A16" s="45" t="s">
        <v>20</v>
      </c>
      <c r="B16" s="38">
        <v>31</v>
      </c>
      <c r="C16" s="38">
        <v>54</v>
      </c>
      <c r="D16" s="43">
        <f>(Table5155[[#This Row],[This Week]]-Table5155[[#This Row],[Last Week]])/Table5155[[#This Row],[Last Week]]</f>
        <v>-0.42592592592592593</v>
      </c>
      <c r="E16" s="38">
        <v>42</v>
      </c>
      <c r="F16" s="38">
        <v>85</v>
      </c>
      <c r="G16" s="38">
        <v>120</v>
      </c>
      <c r="H16" s="38">
        <v>20687</v>
      </c>
    </row>
    <row r="17" spans="1:8" x14ac:dyDescent="0.2">
      <c r="A17" s="17"/>
      <c r="B17" s="17"/>
      <c r="H17" s="39"/>
    </row>
    <row r="18" spans="1:8" x14ac:dyDescent="0.2">
      <c r="A18" s="17"/>
      <c r="B18" s="17"/>
      <c r="H18" s="39"/>
    </row>
    <row r="19" spans="1:8" x14ac:dyDescent="0.2">
      <c r="A19" s="3" t="s">
        <v>4</v>
      </c>
      <c r="B19" s="17"/>
      <c r="H19" s="39"/>
    </row>
    <row r="20" spans="1:8" x14ac:dyDescent="0.2">
      <c r="A20" s="51" t="s">
        <v>5</v>
      </c>
      <c r="B20" s="17"/>
      <c r="H20" s="39"/>
    </row>
    <row r="21" spans="1:8" x14ac:dyDescent="0.2">
      <c r="A21" s="51" t="s">
        <v>3</v>
      </c>
      <c r="B21" s="17"/>
      <c r="H21" s="39"/>
    </row>
    <row r="22" spans="1:8" x14ac:dyDescent="0.2">
      <c r="A22" s="51" t="s">
        <v>6</v>
      </c>
      <c r="B22" s="17"/>
      <c r="H22" s="39"/>
    </row>
    <row r="23" spans="1:8" x14ac:dyDescent="0.2">
      <c r="A23" s="17"/>
      <c r="H23" s="39"/>
    </row>
    <row r="24" spans="1:8" x14ac:dyDescent="0.2">
      <c r="A24" s="17"/>
      <c r="B24" s="17"/>
      <c r="H24" s="39"/>
    </row>
    <row r="25" spans="1:8" x14ac:dyDescent="0.2">
      <c r="A25" s="17"/>
      <c r="B25" s="17"/>
      <c r="H25" s="39"/>
    </row>
    <row r="26" spans="1:8" x14ac:dyDescent="0.2">
      <c r="A26" s="17"/>
      <c r="B26" s="17"/>
      <c r="H26" s="39"/>
    </row>
    <row r="27" spans="1:8" x14ac:dyDescent="0.2">
      <c r="A27" s="17"/>
      <c r="B27" s="17"/>
      <c r="H27" s="39"/>
    </row>
    <row r="28" spans="1:8" x14ac:dyDescent="0.2">
      <c r="A28" s="17"/>
      <c r="B28" s="17"/>
      <c r="H28" s="39"/>
    </row>
    <row r="29" spans="1:8" x14ac:dyDescent="0.2">
      <c r="A29" s="17"/>
      <c r="B29" s="17"/>
      <c r="H29" s="39"/>
    </row>
    <row r="30" spans="1:8" x14ac:dyDescent="0.2">
      <c r="A30" s="17"/>
      <c r="B30" s="17"/>
      <c r="H30" s="39"/>
    </row>
    <row r="31" spans="1:8" x14ac:dyDescent="0.2">
      <c r="A31" s="17"/>
      <c r="B31" s="17"/>
      <c r="H31" s="39"/>
    </row>
    <row r="32" spans="1:8" x14ac:dyDescent="0.2">
      <c r="A32" s="17"/>
      <c r="B32" s="17"/>
    </row>
    <row r="33" spans="1:5" x14ac:dyDescent="0.2">
      <c r="A33" s="17"/>
      <c r="B33" s="17"/>
      <c r="D33" s="38"/>
    </row>
    <row r="34" spans="1:5" x14ac:dyDescent="0.2">
      <c r="A34" s="17"/>
      <c r="B34" s="17"/>
    </row>
    <row r="35" spans="1:5" x14ac:dyDescent="0.2">
      <c r="A35" s="17"/>
      <c r="B35" s="17"/>
      <c r="D35" s="38"/>
    </row>
    <row r="36" spans="1:5" x14ac:dyDescent="0.2">
      <c r="A36" s="17"/>
      <c r="B36" s="17"/>
      <c r="D36" s="40"/>
      <c r="E36" s="41"/>
    </row>
    <row r="37" spans="1:5" x14ac:dyDescent="0.2">
      <c r="A37" s="17"/>
      <c r="B37" s="17"/>
    </row>
    <row r="38" spans="1:5" x14ac:dyDescent="0.2">
      <c r="A38" s="17"/>
      <c r="B38" s="17"/>
    </row>
    <row r="39" spans="1:5" x14ac:dyDescent="0.2">
      <c r="A39" s="17"/>
      <c r="B39" s="17"/>
      <c r="D39" s="52"/>
    </row>
    <row r="40" spans="1:5" x14ac:dyDescent="0.2">
      <c r="A40" s="17"/>
      <c r="B40" s="17"/>
      <c r="D40" s="52"/>
    </row>
    <row r="41" spans="1:5" x14ac:dyDescent="0.2">
      <c r="D41" s="52"/>
    </row>
  </sheetData>
  <hyperlinks>
    <hyperlink ref="A21" r:id="rId1" xr:uid="{6018539D-DB07-3F4E-BFC3-25A128BCFE88}"/>
    <hyperlink ref="A22" r:id="rId2" xr:uid="{0E6499C8-9A67-5B4F-A029-17FDC833890F}"/>
    <hyperlink ref="A20" r:id="rId3" xr:uid="{FBDD2C37-933E-3B49-B376-7131D832BC43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2F90-2955-CD4F-B964-55E9C3E12DE2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38380</v>
      </c>
      <c r="C2" s="1">
        <v>42420</v>
      </c>
      <c r="D2" s="43">
        <f>(Table5545679156470845375818795[[#This Row],[This Week]]-Table5545679156470845375818795[[#This Row],[Last Week]])/Table5545679156470845375818795[[#This Row],[Last Week]]</f>
        <v>-9.5238095238095233E-2</v>
      </c>
      <c r="E2" s="1">
        <v>32564</v>
      </c>
      <c r="F2" s="1">
        <v>2211126</v>
      </c>
      <c r="G2" s="1">
        <v>1268655</v>
      </c>
      <c r="H2" s="1">
        <f>H9+H10</f>
        <v>13594557</v>
      </c>
    </row>
    <row r="3" spans="1:8" x14ac:dyDescent="0.2">
      <c r="A3" s="10" t="s">
        <v>13</v>
      </c>
      <c r="B3" s="1">
        <v>6241</v>
      </c>
      <c r="C3" s="1">
        <v>8143</v>
      </c>
      <c r="D3" s="43">
        <f>(Table5545679156470845375818795[[#This Row],[This Week]]-Table5545679156470845375818795[[#This Row],[Last Week]])/Table5545679156470845375818795[[#This Row],[Last Week]]</f>
        <v>-0.23357484956404273</v>
      </c>
      <c r="E3" s="1">
        <v>9560</v>
      </c>
      <c r="F3" s="1">
        <v>374955</v>
      </c>
      <c r="G3" s="1">
        <v>535227</v>
      </c>
      <c r="H3" s="1">
        <f>H11+H12</f>
        <v>9123198</v>
      </c>
    </row>
    <row r="4" spans="1:8" x14ac:dyDescent="0.2">
      <c r="A4" s="10" t="s">
        <v>14</v>
      </c>
      <c r="B4" s="1">
        <v>1028</v>
      </c>
      <c r="C4" s="1">
        <v>1718</v>
      </c>
      <c r="D4" s="43">
        <f>(Table5545679156470845375818795[[#This Row],[This Week]]-Table5545679156470845375818795[[#This Row],[Last Week]])/Table5545679156470845375818795[[#This Row],[Last Week]]</f>
        <v>-0.40162980209545984</v>
      </c>
      <c r="E4" s="1">
        <v>2529</v>
      </c>
      <c r="F4" s="1">
        <v>25819</v>
      </c>
      <c r="G4" s="1">
        <v>114920</v>
      </c>
      <c r="H4" s="1">
        <v>24521966</v>
      </c>
    </row>
    <row r="5" spans="1:8" x14ac:dyDescent="0.2">
      <c r="A5" s="8" t="s">
        <v>15</v>
      </c>
      <c r="B5" s="1">
        <v>32</v>
      </c>
      <c r="C5" s="1">
        <v>35</v>
      </c>
      <c r="D5" s="43">
        <f>(Table5545679156470845375818795[[#This Row],[This Week]]-Table5545679156470845375818795[[#This Row],[Last Week]])/Table5545679156470845375818795[[#This Row],[Last Week]]</f>
        <v>-8.5714285714285715E-2</v>
      </c>
      <c r="E5" s="1">
        <v>112</v>
      </c>
      <c r="F5" s="1">
        <v>2064</v>
      </c>
      <c r="G5" s="1">
        <v>2660</v>
      </c>
      <c r="H5" s="1">
        <v>113310</v>
      </c>
    </row>
    <row r="6" spans="1:8" x14ac:dyDescent="0.2">
      <c r="A6" s="31" t="s">
        <v>16</v>
      </c>
      <c r="B6" s="32">
        <f>SUM(B2:B5)</f>
        <v>45681</v>
      </c>
      <c r="C6" s="32">
        <f>SUM(C2:C5)</f>
        <v>52316</v>
      </c>
      <c r="D6" s="46">
        <f>(Table5545679156470845375818795[[#This Row],[This Week]]-Table5545679156470845375818795[[#This Row],[Last Week]])/Table5545679156470845375818795[[#This Row],[Last Week]]</f>
        <v>-0.12682544537044116</v>
      </c>
      <c r="E6" s="32">
        <f>SUM(E2:E5)+290</f>
        <v>45055</v>
      </c>
      <c r="F6" s="32">
        <f>SUM(F2:F5)</f>
        <v>2613964</v>
      </c>
      <c r="G6" s="32">
        <f>SUM(G2:G5)+34604</f>
        <v>1956066</v>
      </c>
      <c r="H6" s="32">
        <f>SUM(H2:H5)</f>
        <v>47353031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27897</v>
      </c>
      <c r="C9" s="1">
        <v>31337</v>
      </c>
      <c r="D9" s="43">
        <f>(Table515557810166571855876828896[[#This Row],[This Week]]-Table515557810166571855876828896[[#This Row],[Last Week]])/Table515557810166571855876828896[[#This Row],[Last Week]]</f>
        <v>-0.1097743881035198</v>
      </c>
      <c r="E9" s="1">
        <v>32564</v>
      </c>
      <c r="F9" s="1">
        <v>1041513</v>
      </c>
      <c r="G9" s="1">
        <v>1268655</v>
      </c>
      <c r="H9" s="1">
        <v>11379561</v>
      </c>
    </row>
    <row r="10" spans="1:8" x14ac:dyDescent="0.2">
      <c r="A10" s="44" t="s">
        <v>18</v>
      </c>
      <c r="B10" s="1">
        <v>10483</v>
      </c>
      <c r="C10" s="1">
        <v>11083</v>
      </c>
      <c r="D10" s="43">
        <f>(Table515557810166571855876828896[[#This Row],[This Week]]-Table515557810166571855876828896[[#This Row],[Last Week]])/Table515557810166571855876828896[[#This Row],[Last Week]]</f>
        <v>-5.4136966525309034E-2</v>
      </c>
      <c r="E10" s="1" t="s">
        <v>17</v>
      </c>
      <c r="F10" s="1">
        <v>1169613</v>
      </c>
      <c r="G10" s="1" t="s">
        <v>17</v>
      </c>
      <c r="H10" s="1">
        <v>2214996</v>
      </c>
    </row>
    <row r="11" spans="1:8" x14ac:dyDescent="0.2">
      <c r="A11" s="54" t="s">
        <v>21</v>
      </c>
      <c r="B11" s="1">
        <v>4235</v>
      </c>
      <c r="C11" s="1">
        <v>4802</v>
      </c>
      <c r="D11" s="43">
        <f>(Table515557810166571855876828896[[#This Row],[This Week]]-Table515557810166571855876828896[[#This Row],[Last Week]])/Table515557810166571855876828896[[#This Row],[Last Week]]</f>
        <v>-0.11807580174927114</v>
      </c>
      <c r="E11" s="1">
        <v>3988</v>
      </c>
      <c r="F11" s="1">
        <v>139784</v>
      </c>
      <c r="G11" s="1">
        <v>191082</v>
      </c>
      <c r="H11" s="1">
        <v>1534754</v>
      </c>
    </row>
    <row r="12" spans="1:8" x14ac:dyDescent="0.2">
      <c r="A12" s="22" t="s">
        <v>13</v>
      </c>
      <c r="B12" s="1">
        <v>2006</v>
      </c>
      <c r="C12" s="1">
        <v>3341</v>
      </c>
      <c r="D12" s="43">
        <f>(Table515557810166571855876828896[[#This Row],[This Week]]-Table515557810166571855876828896[[#This Row],[Last Week]])/Table515557810166571855876828896[[#This Row],[Last Week]]</f>
        <v>-0.39958096378329844</v>
      </c>
      <c r="E12" s="1">
        <v>5572</v>
      </c>
      <c r="F12" s="1">
        <v>235171</v>
      </c>
      <c r="G12" s="1">
        <v>344145</v>
      </c>
      <c r="H12" s="1">
        <v>7588444</v>
      </c>
    </row>
    <row r="13" spans="1:8" x14ac:dyDescent="0.2">
      <c r="A13" s="18" t="s">
        <v>22</v>
      </c>
      <c r="B13" s="1">
        <v>955</v>
      </c>
      <c r="C13" s="1">
        <v>1576</v>
      </c>
      <c r="D13" s="43">
        <f>(Table515557810166571855876828896[[#This Row],[This Week]]-Table515557810166571855876828896[[#This Row],[Last Week]])/Table515557810166571855876828896[[#This Row],[Last Week]]</f>
        <v>-0.39403553299492383</v>
      </c>
      <c r="E13" s="1">
        <v>2160</v>
      </c>
      <c r="F13" s="1">
        <v>24207</v>
      </c>
      <c r="G13" s="1">
        <v>91636</v>
      </c>
      <c r="H13" s="1">
        <v>1128453</v>
      </c>
    </row>
    <row r="14" spans="1:8" x14ac:dyDescent="0.2">
      <c r="A14" s="26" t="s">
        <v>23</v>
      </c>
      <c r="B14" s="1">
        <v>73</v>
      </c>
      <c r="C14" s="1">
        <v>142</v>
      </c>
      <c r="D14" s="43">
        <f>(Table515557810166571855876828896[[#This Row],[This Week]]-Table515557810166571855876828896[[#This Row],[Last Week]])/Table515557810166571855876828896[[#This Row],[Last Week]]</f>
        <v>-0.4859154929577465</v>
      </c>
      <c r="E14" s="1">
        <v>369</v>
      </c>
      <c r="F14" s="1">
        <v>1612</v>
      </c>
      <c r="G14" s="1">
        <v>22193</v>
      </c>
      <c r="H14" s="1">
        <v>5887527</v>
      </c>
    </row>
    <row r="15" spans="1:8" x14ac:dyDescent="0.2">
      <c r="A15" s="38" t="s">
        <v>19</v>
      </c>
      <c r="B15" s="1">
        <v>20</v>
      </c>
      <c r="C15" s="1">
        <v>22</v>
      </c>
      <c r="D15" s="43">
        <f>(Table515557810166571855876828896[[#This Row],[This Week]]-Table515557810166571855876828896[[#This Row],[Last Week]])/Table515557810166571855876828896[[#This Row],[Last Week]]</f>
        <v>-9.0909090909090912E-2</v>
      </c>
      <c r="E15" s="1">
        <v>60</v>
      </c>
      <c r="F15" s="1">
        <v>1397</v>
      </c>
      <c r="G15" s="1">
        <v>1881</v>
      </c>
      <c r="H15" s="1">
        <v>20039</v>
      </c>
    </row>
    <row r="16" spans="1:8" x14ac:dyDescent="0.2">
      <c r="A16" s="53" t="s">
        <v>20</v>
      </c>
      <c r="B16" s="1">
        <v>12</v>
      </c>
      <c r="C16" s="1">
        <v>13</v>
      </c>
      <c r="D16" s="43">
        <f>(Table515557810166571855876828896[[#This Row],[This Week]]-Table515557810166571855876828896[[#This Row],[Last Week]])/Table515557810166571855876828896[[#This Row],[Last Week]]</f>
        <v>-7.6923076923076927E-2</v>
      </c>
      <c r="E16" s="1">
        <v>52</v>
      </c>
      <c r="F16" s="1">
        <v>667</v>
      </c>
      <c r="G16" s="1">
        <v>779</v>
      </c>
      <c r="H16" s="1">
        <v>21269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33323A65-373C-FE45-B022-476C2154BED6}"/>
    <hyperlink ref="A21" r:id="rId2" xr:uid="{96512C33-160C-5D4A-BA5D-DFA4301E32BC}"/>
    <hyperlink ref="A20" r:id="rId3" xr:uid="{BF7D6423-9754-5145-B2AF-4F448DAF3D00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0079-B35A-714E-B7B7-4FFDFF7E2239}">
  <dimension ref="A1:H22"/>
  <sheetViews>
    <sheetView workbookViewId="0">
      <selection activeCell="A22" sqref="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52557</v>
      </c>
      <c r="C2" s="1">
        <v>38380</v>
      </c>
      <c r="D2" s="43">
        <f>(Table5545679156470845375818799[[#This Row],[This Week]]-Table5545679156470845375818799[[#This Row],[Last Week]])/Table5545679156470845375818799[[#This Row],[Last Week]]</f>
        <v>0.36938509640437728</v>
      </c>
      <c r="E2" s="1">
        <v>25918</v>
      </c>
      <c r="F2" s="1">
        <v>2263683</v>
      </c>
      <c r="G2" s="1">
        <v>1294573</v>
      </c>
      <c r="H2" s="1">
        <f>H9+H10</f>
        <v>13647114</v>
      </c>
    </row>
    <row r="3" spans="1:8" x14ac:dyDescent="0.2">
      <c r="A3" s="10" t="s">
        <v>13</v>
      </c>
      <c r="B3" s="1">
        <v>3771</v>
      </c>
      <c r="C3" s="1">
        <v>6241</v>
      </c>
      <c r="D3" s="43">
        <f>(Table5545679156470845375818799[[#This Row],[This Week]]-Table5545679156470845375818799[[#This Row],[Last Week]])/Table5545679156470845375818799[[#This Row],[Last Week]]</f>
        <v>-0.39576990866848261</v>
      </c>
      <c r="E3" s="1">
        <v>9642</v>
      </c>
      <c r="F3" s="1">
        <v>378726</v>
      </c>
      <c r="G3" s="1">
        <v>544869</v>
      </c>
      <c r="H3" s="1">
        <f>H11+H13</f>
        <v>9126969</v>
      </c>
    </row>
    <row r="4" spans="1:8" x14ac:dyDescent="0.2">
      <c r="A4" s="10" t="s">
        <v>14</v>
      </c>
      <c r="B4" s="1">
        <v>2084</v>
      </c>
      <c r="C4" s="1">
        <v>1028</v>
      </c>
      <c r="D4" s="43">
        <f>(Table5545679156470845375818799[[#This Row],[This Week]]-Table5545679156470845375818799[[#This Row],[Last Week]])/Table5545679156470845375818799[[#This Row],[Last Week]]</f>
        <v>1.027237354085603</v>
      </c>
      <c r="E4" s="1">
        <v>2595</v>
      </c>
      <c r="F4" s="1">
        <v>27903</v>
      </c>
      <c r="G4" s="1">
        <v>117515</v>
      </c>
      <c r="H4" s="1">
        <v>24524050</v>
      </c>
    </row>
    <row r="5" spans="1:8" x14ac:dyDescent="0.2">
      <c r="A5" s="8" t="s">
        <v>15</v>
      </c>
      <c r="B5" s="1">
        <v>223</v>
      </c>
      <c r="C5" s="1">
        <v>32</v>
      </c>
      <c r="D5" s="43">
        <f>(Table5545679156470845375818799[[#This Row],[This Week]]-Table5545679156470845375818799[[#This Row],[Last Week]])/Table5545679156470845375818799[[#This Row],[Last Week]]</f>
        <v>5.96875</v>
      </c>
      <c r="E5" s="1">
        <v>92</v>
      </c>
      <c r="F5" s="1">
        <v>2287</v>
      </c>
      <c r="G5" s="1">
        <v>2752</v>
      </c>
      <c r="H5" s="1">
        <v>113533</v>
      </c>
    </row>
    <row r="6" spans="1:8" x14ac:dyDescent="0.2">
      <c r="A6" s="31" t="s">
        <v>16</v>
      </c>
      <c r="B6" s="32">
        <f>SUM(B2:B5)</f>
        <v>58635</v>
      </c>
      <c r="C6" s="32">
        <f>SUM(C2:C5)</f>
        <v>45681</v>
      </c>
      <c r="D6" s="46">
        <f>(Table5545679156470845375818799[[#This Row],[This Week]]-Table5545679156470845375818799[[#This Row],[Last Week]])/Table5545679156470845375818799[[#This Row],[Last Week]]</f>
        <v>0.2835752282130426</v>
      </c>
      <c r="E6" s="32">
        <f>SUM(E2:E5)+314</f>
        <v>38561</v>
      </c>
      <c r="F6" s="32">
        <f>SUM(F2:F5)</f>
        <v>2672599</v>
      </c>
      <c r="G6" s="32">
        <f>SUM(G2:G5)+34918</f>
        <v>1994627</v>
      </c>
      <c r="H6" s="32">
        <f>SUM(H2:H5)</f>
        <v>47411666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35352</v>
      </c>
      <c r="C9" s="1">
        <v>27897</v>
      </c>
      <c r="D9" s="43">
        <f>(Table5155578101665718558768288100[[#This Row],[This Week]]-Table5155578101665718558768288100[[#This Row],[Last Week]])/Table5155578101665718558768288100[[#This Row],[Last Week]]</f>
        <v>0.26723303581030217</v>
      </c>
      <c r="E9" s="1">
        <v>25918</v>
      </c>
      <c r="F9" s="1">
        <v>1076865</v>
      </c>
      <c r="G9" s="1">
        <v>1294573</v>
      </c>
      <c r="H9" s="1">
        <v>11414913</v>
      </c>
    </row>
    <row r="10" spans="1:8" x14ac:dyDescent="0.2">
      <c r="A10" s="44" t="s">
        <v>18</v>
      </c>
      <c r="B10" s="1">
        <v>17205</v>
      </c>
      <c r="C10" s="1">
        <v>10483</v>
      </c>
      <c r="D10" s="43">
        <f>(Table5155578101665718558768288100[[#This Row],[This Week]]-Table5155578101665718558768288100[[#This Row],[Last Week]])/Table5155578101665718558768288100[[#This Row],[Last Week]]</f>
        <v>0.64122865591910716</v>
      </c>
      <c r="E10" s="1" t="s">
        <v>17</v>
      </c>
      <c r="F10" s="1">
        <v>1186818</v>
      </c>
      <c r="G10" s="1" t="s">
        <v>17</v>
      </c>
      <c r="H10" s="1">
        <v>2232201</v>
      </c>
    </row>
    <row r="11" spans="1:8" x14ac:dyDescent="0.2">
      <c r="A11" s="44" t="s">
        <v>21</v>
      </c>
      <c r="B11" s="1">
        <v>2823</v>
      </c>
      <c r="C11" s="1">
        <v>4235</v>
      </c>
      <c r="D11" s="43">
        <f>(Table5155578101665718558768288100[[#This Row],[This Week]]-Table5155578101665718558768288100[[#This Row],[Last Week]])/Table5155578101665718558768288100[[#This Row],[Last Week]]</f>
        <v>-0.33341204250295159</v>
      </c>
      <c r="E11" s="1">
        <v>4080</v>
      </c>
      <c r="F11" s="1">
        <v>142607</v>
      </c>
      <c r="G11" s="1">
        <v>195162</v>
      </c>
      <c r="H11" s="1">
        <v>1537577</v>
      </c>
    </row>
    <row r="12" spans="1:8" x14ac:dyDescent="0.2">
      <c r="A12" s="42" t="s">
        <v>22</v>
      </c>
      <c r="B12" s="1">
        <v>2041</v>
      </c>
      <c r="C12" s="1">
        <v>955</v>
      </c>
      <c r="D12" s="43">
        <f>(Table5155578101665718558768288100[[#This Row],[This Week]]-Table5155578101665718558768288100[[#This Row],[Last Week]])/Table5155578101665718558768288100[[#This Row],[Last Week]]</f>
        <v>1.1371727748691098</v>
      </c>
      <c r="E12" s="1">
        <v>2081</v>
      </c>
      <c r="F12" s="1">
        <v>26248</v>
      </c>
      <c r="G12" s="1">
        <v>93717</v>
      </c>
      <c r="H12" s="1">
        <v>1130494</v>
      </c>
    </row>
    <row r="13" spans="1:8" x14ac:dyDescent="0.2">
      <c r="A13" s="44" t="s">
        <v>13</v>
      </c>
      <c r="B13" s="1">
        <v>948</v>
      </c>
      <c r="C13" s="1">
        <v>2006</v>
      </c>
      <c r="D13" s="43">
        <f>(Table5155578101665718558768288100[[#This Row],[This Week]]-Table5155578101665718558768288100[[#This Row],[Last Week]])/Table5155578101665718558768288100[[#This Row],[Last Week]]</f>
        <v>-0.52741774675972086</v>
      </c>
      <c r="E13" s="1">
        <v>5562</v>
      </c>
      <c r="F13" s="1">
        <v>236119</v>
      </c>
      <c r="G13" s="1">
        <v>349707</v>
      </c>
      <c r="H13" s="1">
        <v>7589392</v>
      </c>
    </row>
    <row r="14" spans="1:8" x14ac:dyDescent="0.2">
      <c r="A14" s="42" t="s">
        <v>19</v>
      </c>
      <c r="B14" s="1">
        <v>205</v>
      </c>
      <c r="C14" s="1">
        <v>20</v>
      </c>
      <c r="D14" s="43">
        <f>(Table5155578101665718558768288100[[#This Row],[This Week]]-Table5155578101665718558768288100[[#This Row],[Last Week]])/Table5155578101665718558768288100[[#This Row],[Last Week]]</f>
        <v>9.25</v>
      </c>
      <c r="E14" s="1">
        <v>53</v>
      </c>
      <c r="F14" s="1">
        <v>1602</v>
      </c>
      <c r="G14" s="1">
        <v>1934</v>
      </c>
      <c r="H14" s="1">
        <v>20244</v>
      </c>
    </row>
    <row r="15" spans="1:8" x14ac:dyDescent="0.2">
      <c r="A15" s="38" t="s">
        <v>23</v>
      </c>
      <c r="B15" s="1">
        <v>43</v>
      </c>
      <c r="C15" s="1">
        <v>73</v>
      </c>
      <c r="D15" s="43">
        <f>(Table5155578101665718558768288100[[#This Row],[This Week]]-Table5155578101665718558768288100[[#This Row],[Last Week]])/Table5155578101665718558768288100[[#This Row],[Last Week]]</f>
        <v>-0.41095890410958902</v>
      </c>
      <c r="E15" s="1">
        <v>514</v>
      </c>
      <c r="F15" s="1">
        <v>1655</v>
      </c>
      <c r="G15" s="1">
        <v>22707</v>
      </c>
      <c r="H15" s="1">
        <v>5887570</v>
      </c>
    </row>
    <row r="16" spans="1:8" x14ac:dyDescent="0.2">
      <c r="A16" s="59" t="s">
        <v>20</v>
      </c>
      <c r="B16" s="1">
        <v>18</v>
      </c>
      <c r="C16" s="1">
        <v>12</v>
      </c>
      <c r="D16" s="43">
        <f>(Table5155578101665718558768288100[[#This Row],[This Week]]-Table5155578101665718558768288100[[#This Row],[Last Week]])/Table5155578101665718558768288100[[#This Row],[Last Week]]</f>
        <v>0.5</v>
      </c>
      <c r="E16" s="1">
        <v>39</v>
      </c>
      <c r="F16" s="1">
        <v>685</v>
      </c>
      <c r="G16" s="1">
        <v>818</v>
      </c>
      <c r="H16" s="1">
        <v>21287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3F56BEF5-4B5D-B046-A521-2AF7527ED109}"/>
    <hyperlink ref="A21" r:id="rId2" xr:uid="{66530093-0E5A-7744-ACD4-2057C9A3CBDB}"/>
    <hyperlink ref="A20" r:id="rId3" xr:uid="{25FC05A7-D9FC-BC46-BC8A-D7D27C84B89D}"/>
  </hyperlinks>
  <pageMargins left="0.7" right="0.7" top="0.75" bottom="0.75" header="0.3" footer="0.3"/>
  <tableParts count="2">
    <tablePart r:id="rId4"/>
    <tablePart r:id="rId5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FF8D-12A9-F445-874D-F8C6444F775E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107593</v>
      </c>
      <c r="C2" s="1">
        <v>52557</v>
      </c>
      <c r="D2" s="43">
        <f>(Table55456791564708453758187103[[#This Row],[This Week]]-Table55456791564708453758187103[[#This Row],[Last Week]])/Table55456791564708453758187103[[#This Row],[Last Week]]</f>
        <v>1.0471678368247808</v>
      </c>
      <c r="E2" s="1">
        <v>33154</v>
      </c>
      <c r="F2" s="1">
        <v>2371276</v>
      </c>
      <c r="G2" s="1">
        <v>1327727</v>
      </c>
      <c r="H2" s="1">
        <f>H9+H10</f>
        <v>13754707</v>
      </c>
    </row>
    <row r="3" spans="1:8" x14ac:dyDescent="0.2">
      <c r="A3" s="10" t="s">
        <v>13</v>
      </c>
      <c r="B3" s="1">
        <v>5867</v>
      </c>
      <c r="C3" s="1">
        <v>3771</v>
      </c>
      <c r="D3" s="43">
        <f>(Table55456791564708453758187103[[#This Row],[This Week]]-Table55456791564708453758187103[[#This Row],[Last Week]])/Table55456791564708453758187103[[#This Row],[Last Week]]</f>
        <v>0.55582073720498537</v>
      </c>
      <c r="E3" s="1">
        <v>8982</v>
      </c>
      <c r="F3" s="1">
        <v>384593</v>
      </c>
      <c r="G3" s="1">
        <v>553851</v>
      </c>
      <c r="H3" s="1">
        <f>H11+H12</f>
        <v>9132836</v>
      </c>
    </row>
    <row r="4" spans="1:8" x14ac:dyDescent="0.2">
      <c r="A4" s="10" t="s">
        <v>14</v>
      </c>
      <c r="B4" s="1">
        <v>1157</v>
      </c>
      <c r="C4" s="1">
        <v>2084</v>
      </c>
      <c r="D4" s="43">
        <f>(Table55456791564708453758187103[[#This Row],[This Week]]-Table55456791564708453758187103[[#This Row],[Last Week]])/Table55456791564708453758187103[[#This Row],[Last Week]]</f>
        <v>-0.44481765834932824</v>
      </c>
      <c r="E4" s="1">
        <v>2255</v>
      </c>
      <c r="F4" s="1">
        <v>29060</v>
      </c>
      <c r="G4" s="1">
        <v>119770</v>
      </c>
      <c r="H4" s="1">
        <v>24525207</v>
      </c>
    </row>
    <row r="5" spans="1:8" x14ac:dyDescent="0.2">
      <c r="A5" s="8" t="s">
        <v>15</v>
      </c>
      <c r="B5" s="1">
        <v>185</v>
      </c>
      <c r="C5" s="1">
        <v>223</v>
      </c>
      <c r="D5" s="43">
        <f>(Table55456791564708453758187103[[#This Row],[This Week]]-Table55456791564708453758187103[[#This Row],[Last Week]])/Table55456791564708453758187103[[#This Row],[Last Week]]</f>
        <v>-0.17040358744394618</v>
      </c>
      <c r="E5" s="1">
        <v>91</v>
      </c>
      <c r="F5" s="1">
        <v>2472</v>
      </c>
      <c r="G5" s="1">
        <v>2843</v>
      </c>
      <c r="H5" s="1">
        <v>113718</v>
      </c>
    </row>
    <row r="6" spans="1:8" x14ac:dyDescent="0.2">
      <c r="A6" s="31" t="s">
        <v>16</v>
      </c>
      <c r="B6" s="32">
        <f>SUM(B2:B5)</f>
        <v>114802</v>
      </c>
      <c r="C6" s="32">
        <f>SUM(C2:C5)</f>
        <v>58635</v>
      </c>
      <c r="D6" s="46">
        <f>(Table55456791564708453758187103[[#This Row],[This Week]]-Table55456791564708453758187103[[#This Row],[Last Week]])/Table55456791564708453758187103[[#This Row],[Last Week]]</f>
        <v>0.95790909866120921</v>
      </c>
      <c r="E6" s="32">
        <f>SUM(E2:E5)+251</f>
        <v>44733</v>
      </c>
      <c r="F6" s="32">
        <f>SUM(F2:F5)</f>
        <v>2787401</v>
      </c>
      <c r="G6" s="32">
        <f>SUM(G2:G5)+35169</f>
        <v>2039360</v>
      </c>
      <c r="H6" s="32">
        <f>SUM(H2:H5)</f>
        <v>47526468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73117</v>
      </c>
      <c r="C9" s="1">
        <v>35352</v>
      </c>
      <c r="D9" s="43">
        <f>(Table5155578101665718558768288104[[#This Row],[This Week]]-Table5155578101665718558768288104[[#This Row],[Last Week]])/Table5155578101665718558768288104[[#This Row],[Last Week]]</f>
        <v>1.0682563928490609</v>
      </c>
      <c r="E9" s="1">
        <v>33154</v>
      </c>
      <c r="F9" s="1">
        <v>1149982</v>
      </c>
      <c r="G9" s="1">
        <v>1327727</v>
      </c>
      <c r="H9" s="1">
        <v>11488030</v>
      </c>
    </row>
    <row r="10" spans="1:8" x14ac:dyDescent="0.2">
      <c r="A10" s="44" t="s">
        <v>18</v>
      </c>
      <c r="B10" s="1">
        <v>34476</v>
      </c>
      <c r="C10" s="1">
        <v>17205</v>
      </c>
      <c r="D10" s="43">
        <f>(Table5155578101665718558768288104[[#This Row],[This Week]]-Table5155578101665718558768288104[[#This Row],[Last Week]])/Table5155578101665718558768288104[[#This Row],[Last Week]]</f>
        <v>1.0038360941586748</v>
      </c>
      <c r="E10" s="1" t="s">
        <v>17</v>
      </c>
      <c r="F10" s="1">
        <v>1221294</v>
      </c>
      <c r="G10" s="1" t="s">
        <v>17</v>
      </c>
      <c r="H10" s="1">
        <v>2266677</v>
      </c>
    </row>
    <row r="11" spans="1:8" x14ac:dyDescent="0.2">
      <c r="A11" s="44" t="s">
        <v>13</v>
      </c>
      <c r="B11" s="1">
        <v>3264</v>
      </c>
      <c r="C11" s="1">
        <v>948</v>
      </c>
      <c r="D11" s="43">
        <f>(Table5155578101665718558768288104[[#This Row],[This Week]]-Table5155578101665718558768288104[[#This Row],[Last Week]])/Table5155578101665718558768288104[[#This Row],[Last Week]]</f>
        <v>2.4430379746835444</v>
      </c>
      <c r="E11" s="1">
        <v>4977</v>
      </c>
      <c r="F11" s="1">
        <v>239383</v>
      </c>
      <c r="G11" s="1">
        <v>354684</v>
      </c>
      <c r="H11" s="1">
        <v>7592656</v>
      </c>
    </row>
    <row r="12" spans="1:8" x14ac:dyDescent="0.2">
      <c r="A12" s="44" t="s">
        <v>21</v>
      </c>
      <c r="B12" s="1">
        <v>2603</v>
      </c>
      <c r="C12" s="1">
        <v>2823</v>
      </c>
      <c r="D12" s="43">
        <f>(Table5155578101665718558768288104[[#This Row],[This Week]]-Table5155578101665718558768288104[[#This Row],[Last Week]])/Table5155578101665718558768288104[[#This Row],[Last Week]]</f>
        <v>-7.7931278781438185E-2</v>
      </c>
      <c r="E12" s="1">
        <v>4005</v>
      </c>
      <c r="F12" s="1">
        <v>145210</v>
      </c>
      <c r="G12" s="1">
        <v>199167</v>
      </c>
      <c r="H12" s="1">
        <v>1540180</v>
      </c>
    </row>
    <row r="13" spans="1:8" x14ac:dyDescent="0.2">
      <c r="A13" s="42" t="s">
        <v>22</v>
      </c>
      <c r="B13" s="1">
        <v>1109</v>
      </c>
      <c r="C13" s="1">
        <v>2041</v>
      </c>
      <c r="D13" s="43">
        <f>(Table5155578101665718558768288104[[#This Row],[This Week]]-Table5155578101665718558768288104[[#This Row],[Last Week]])/Table5155578101665718558768288104[[#This Row],[Last Week]]</f>
        <v>-0.45663890249877509</v>
      </c>
      <c r="E13" s="1">
        <v>1817</v>
      </c>
      <c r="F13" s="1">
        <v>27357</v>
      </c>
      <c r="G13" s="1">
        <v>95534</v>
      </c>
      <c r="H13" s="1">
        <v>1131603</v>
      </c>
    </row>
    <row r="14" spans="1:8" x14ac:dyDescent="0.2">
      <c r="A14" s="42" t="s">
        <v>19</v>
      </c>
      <c r="B14" s="1">
        <v>174</v>
      </c>
      <c r="C14" s="1">
        <v>205</v>
      </c>
      <c r="D14" s="43">
        <f>(Table5155578101665718558768288104[[#This Row],[This Week]]-Table5155578101665718558768288104[[#This Row],[Last Week]])/Table5155578101665718558768288104[[#This Row],[Last Week]]</f>
        <v>-0.15121951219512195</v>
      </c>
      <c r="E14" s="1">
        <v>37</v>
      </c>
      <c r="F14" s="1">
        <v>1776</v>
      </c>
      <c r="G14" s="1">
        <v>1971</v>
      </c>
      <c r="H14" s="1">
        <v>20418</v>
      </c>
    </row>
    <row r="15" spans="1:8" x14ac:dyDescent="0.2">
      <c r="A15" s="38" t="s">
        <v>23</v>
      </c>
      <c r="B15" s="1">
        <v>48</v>
      </c>
      <c r="C15" s="1">
        <v>43</v>
      </c>
      <c r="D15" s="43">
        <f>(Table5155578101665718558768288104[[#This Row],[This Week]]-Table5155578101665718558768288104[[#This Row],[Last Week]])/Table5155578101665718558768288104[[#This Row],[Last Week]]</f>
        <v>0.11627906976744186</v>
      </c>
      <c r="E15" s="1">
        <v>438</v>
      </c>
      <c r="F15" s="1">
        <v>1703</v>
      </c>
      <c r="G15" s="1">
        <v>23145</v>
      </c>
      <c r="H15" s="1">
        <v>5887618</v>
      </c>
    </row>
    <row r="16" spans="1:8" x14ac:dyDescent="0.2">
      <c r="A16" s="59" t="s">
        <v>20</v>
      </c>
      <c r="B16" s="1">
        <v>11</v>
      </c>
      <c r="C16" s="1">
        <v>18</v>
      </c>
      <c r="D16" s="43">
        <f>(Table5155578101665718558768288104[[#This Row],[This Week]]-Table5155578101665718558768288104[[#This Row],[Last Week]])/Table5155578101665718558768288104[[#This Row],[Last Week]]</f>
        <v>-0.3888888888888889</v>
      </c>
      <c r="E16" s="1">
        <v>54</v>
      </c>
      <c r="F16" s="1">
        <v>696</v>
      </c>
      <c r="G16" s="1">
        <v>872</v>
      </c>
      <c r="H16" s="1">
        <v>21298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9EC49AD5-4EB1-6D4B-9FB5-93F1FCD403B5}"/>
    <hyperlink ref="A21" r:id="rId2" xr:uid="{0D244A5D-6837-C14D-A1A6-12C5DDCD6CFF}"/>
    <hyperlink ref="A20" r:id="rId3" xr:uid="{358EF7DB-94FF-214C-A8FC-14F3845AA36B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5E33-6F4D-3644-A2E8-F88ED258CEB3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68192</v>
      </c>
      <c r="C2" s="1">
        <v>107593</v>
      </c>
      <c r="D2" s="43">
        <f>(Table55456791564708453758187107[[#This Row],[This Week]]-Table55456791564708453758187107[[#This Row],[Last Week]])/Table55456791564708453758187107[[#This Row],[Last Week]]</f>
        <v>-0.36620412108594425</v>
      </c>
      <c r="E2" s="1">
        <v>33590</v>
      </c>
      <c r="F2" s="1">
        <v>2439468</v>
      </c>
      <c r="G2" s="1">
        <v>1361317</v>
      </c>
      <c r="H2" s="1">
        <f>H9+H10</f>
        <v>13822899</v>
      </c>
    </row>
    <row r="3" spans="1:8" x14ac:dyDescent="0.2">
      <c r="A3" s="10" t="s">
        <v>13</v>
      </c>
      <c r="B3" s="1">
        <v>21291</v>
      </c>
      <c r="C3" s="1">
        <v>5867</v>
      </c>
      <c r="D3" s="43">
        <f>(Table55456791564708453758187107[[#This Row],[This Week]]-Table55456791564708453758187107[[#This Row],[Last Week]])/Table55456791564708453758187107[[#This Row],[Last Week]]</f>
        <v>2.628941537412647</v>
      </c>
      <c r="E3" s="1">
        <v>30108</v>
      </c>
      <c r="F3" s="1">
        <v>405884</v>
      </c>
      <c r="G3" s="1">
        <v>583959</v>
      </c>
      <c r="H3" s="1">
        <f>H11+H12</f>
        <v>9154127</v>
      </c>
    </row>
    <row r="4" spans="1:8" x14ac:dyDescent="0.2">
      <c r="A4" s="10" t="s">
        <v>14</v>
      </c>
      <c r="B4" s="1">
        <v>1180</v>
      </c>
      <c r="C4" s="1">
        <v>1157</v>
      </c>
      <c r="D4" s="43">
        <f>(Table55456791564708453758187107[[#This Row],[This Week]]-Table55456791564708453758187107[[#This Row],[Last Week]])/Table55456791564708453758187107[[#This Row],[Last Week]]</f>
        <v>1.9878997407087293E-2</v>
      </c>
      <c r="E4" s="1">
        <v>2732</v>
      </c>
      <c r="F4" s="1">
        <v>30240</v>
      </c>
      <c r="G4" s="1">
        <v>122502</v>
      </c>
      <c r="H4" s="1">
        <v>24526387</v>
      </c>
    </row>
    <row r="5" spans="1:8" x14ac:dyDescent="0.2">
      <c r="A5" s="8" t="s">
        <v>15</v>
      </c>
      <c r="B5" s="1">
        <v>37</v>
      </c>
      <c r="C5" s="1">
        <v>185</v>
      </c>
      <c r="D5" s="43">
        <f>(Table55456791564708453758187107[[#This Row],[This Week]]-Table55456791564708453758187107[[#This Row],[Last Week]])/Table55456791564708453758187107[[#This Row],[Last Week]]</f>
        <v>-0.8</v>
      </c>
      <c r="E5" s="1">
        <v>137</v>
      </c>
      <c r="F5" s="1">
        <v>2509</v>
      </c>
      <c r="G5" s="1">
        <v>2980</v>
      </c>
      <c r="H5" s="1">
        <v>113755</v>
      </c>
    </row>
    <row r="6" spans="1:8" x14ac:dyDescent="0.2">
      <c r="A6" s="31" t="s">
        <v>16</v>
      </c>
      <c r="B6" s="32">
        <f>SUM(B2:B5)</f>
        <v>90700</v>
      </c>
      <c r="C6" s="32">
        <f>SUM(C2:C5)</f>
        <v>114802</v>
      </c>
      <c r="D6" s="46">
        <f>(Table55456791564708453758187107[[#This Row],[This Week]]-Table55456791564708453758187107[[#This Row],[Last Week]])/Table55456791564708453758187107[[#This Row],[Last Week]]</f>
        <v>-0.20994407762930958</v>
      </c>
      <c r="E6" s="32">
        <f>SUM(E2:E5)+157</f>
        <v>66724</v>
      </c>
      <c r="F6" s="32">
        <f>SUM(F2:F5)</f>
        <v>2878101</v>
      </c>
      <c r="G6" s="32">
        <f>SUM(G2:G5)+35326</f>
        <v>2106084</v>
      </c>
      <c r="H6" s="32">
        <f>SUM(H2:H5)</f>
        <v>47617168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49009</v>
      </c>
      <c r="C9" s="1">
        <v>73117</v>
      </c>
      <c r="D9" s="43">
        <f>(Table5155578101665718558768288108[[#This Row],[This Week]]-Table5155578101665718558768288108[[#This Row],[Last Week]])/Table5155578101665718558768288108[[#This Row],[Last Week]]</f>
        <v>-0.32971812300832909</v>
      </c>
      <c r="E9" s="1">
        <v>33590</v>
      </c>
      <c r="F9" s="1">
        <v>1198991</v>
      </c>
      <c r="G9" s="1">
        <v>1361317</v>
      </c>
      <c r="H9" s="1">
        <v>11537039</v>
      </c>
    </row>
    <row r="10" spans="1:8" x14ac:dyDescent="0.2">
      <c r="A10" s="44" t="s">
        <v>18</v>
      </c>
      <c r="B10" s="1">
        <v>19183</v>
      </c>
      <c r="C10" s="1">
        <v>34476</v>
      </c>
      <c r="D10" s="43">
        <f>(Table5155578101665718558768288108[[#This Row],[This Week]]-Table5155578101665718558768288108[[#This Row],[Last Week]])/Table5155578101665718558768288108[[#This Row],[Last Week]]</f>
        <v>-0.44358394245272076</v>
      </c>
      <c r="E10" s="1" t="s">
        <v>17</v>
      </c>
      <c r="F10" s="1">
        <v>1240477</v>
      </c>
      <c r="G10" s="1" t="s">
        <v>17</v>
      </c>
      <c r="H10" s="1">
        <v>2285860</v>
      </c>
    </row>
    <row r="11" spans="1:8" x14ac:dyDescent="0.2">
      <c r="A11" s="44" t="s">
        <v>13</v>
      </c>
      <c r="B11" s="1">
        <v>15701</v>
      </c>
      <c r="C11" s="1">
        <v>3264</v>
      </c>
      <c r="D11" s="43">
        <f>(Table5155578101665718558768288108[[#This Row],[This Week]]-Table5155578101665718558768288108[[#This Row],[Last Week]])/Table5155578101665718558768288108[[#This Row],[Last Week]]</f>
        <v>3.8103553921568629</v>
      </c>
      <c r="E11" s="1">
        <v>20509</v>
      </c>
      <c r="F11" s="1">
        <v>255084</v>
      </c>
      <c r="G11" s="1">
        <v>375193</v>
      </c>
      <c r="H11" s="1">
        <v>7608357</v>
      </c>
    </row>
    <row r="12" spans="1:8" x14ac:dyDescent="0.2">
      <c r="A12" s="44" t="s">
        <v>21</v>
      </c>
      <c r="B12" s="1">
        <v>5590</v>
      </c>
      <c r="C12" s="1">
        <v>2603</v>
      </c>
      <c r="D12" s="43">
        <f>(Table5155578101665718558768288108[[#This Row],[This Week]]-Table5155578101665718558768288108[[#This Row],[Last Week]])/Table5155578101665718558768288108[[#This Row],[Last Week]]</f>
        <v>1.1475220898962735</v>
      </c>
      <c r="E12" s="1">
        <v>9599</v>
      </c>
      <c r="F12" s="1">
        <v>15080</v>
      </c>
      <c r="G12" s="1">
        <v>208766</v>
      </c>
      <c r="H12" s="1">
        <v>1545770</v>
      </c>
    </row>
    <row r="13" spans="1:8" x14ac:dyDescent="0.2">
      <c r="A13" s="42" t="s">
        <v>22</v>
      </c>
      <c r="B13" s="1">
        <v>1122</v>
      </c>
      <c r="C13" s="1">
        <v>1109</v>
      </c>
      <c r="D13" s="43">
        <f>(Table5155578101665718558768288108[[#This Row],[This Week]]-Table5155578101665718558768288108[[#This Row],[Last Week]])/Table5155578101665718558768288108[[#This Row],[Last Week]]</f>
        <v>1.1722272317403066E-2</v>
      </c>
      <c r="E13" s="1">
        <v>2240</v>
      </c>
      <c r="F13" s="1">
        <v>28479</v>
      </c>
      <c r="G13" s="1">
        <v>97774</v>
      </c>
      <c r="H13" s="1">
        <v>1132725</v>
      </c>
    </row>
    <row r="14" spans="1:8" x14ac:dyDescent="0.2">
      <c r="A14" s="42" t="s">
        <v>23</v>
      </c>
      <c r="B14" s="1">
        <v>58</v>
      </c>
      <c r="C14" s="1">
        <v>48</v>
      </c>
      <c r="D14" s="43">
        <f>(Table5155578101665718558768288108[[#This Row],[This Week]]-Table5155578101665718558768288108[[#This Row],[Last Week]])/Table5155578101665718558768288108[[#This Row],[Last Week]]</f>
        <v>0.20833333333333334</v>
      </c>
      <c r="E14" s="1">
        <v>492</v>
      </c>
      <c r="F14" s="1">
        <v>1761</v>
      </c>
      <c r="G14" s="1">
        <v>23637</v>
      </c>
      <c r="H14" s="1">
        <v>5887676</v>
      </c>
    </row>
    <row r="15" spans="1:8" x14ac:dyDescent="0.2">
      <c r="A15" s="38" t="s">
        <v>19</v>
      </c>
      <c r="B15" s="1">
        <v>22</v>
      </c>
      <c r="C15" s="1">
        <v>174</v>
      </c>
      <c r="D15" s="43">
        <f>(Table5155578101665718558768288108[[#This Row],[This Week]]-Table5155578101665718558768288108[[#This Row],[Last Week]])/Table5155578101665718558768288108[[#This Row],[Last Week]]</f>
        <v>-0.87356321839080464</v>
      </c>
      <c r="E15" s="1">
        <v>70</v>
      </c>
      <c r="F15" s="1">
        <v>1798</v>
      </c>
      <c r="G15" s="1">
        <v>2041</v>
      </c>
      <c r="H15" s="1">
        <v>20440</v>
      </c>
    </row>
    <row r="16" spans="1:8" x14ac:dyDescent="0.2">
      <c r="A16" s="59" t="s">
        <v>20</v>
      </c>
      <c r="B16" s="1">
        <v>15</v>
      </c>
      <c r="C16" s="1">
        <v>11</v>
      </c>
      <c r="D16" s="43">
        <f>(Table5155578101665718558768288108[[#This Row],[This Week]]-Table5155578101665718558768288108[[#This Row],[Last Week]])/Table5155578101665718558768288108[[#This Row],[Last Week]]</f>
        <v>0.36363636363636365</v>
      </c>
      <c r="E16" s="1">
        <v>67</v>
      </c>
      <c r="F16" s="1">
        <v>711</v>
      </c>
      <c r="G16" s="1">
        <v>939</v>
      </c>
      <c r="H16" s="1">
        <v>21313</v>
      </c>
    </row>
    <row r="19" spans="1:1" x14ac:dyDescent="0.2">
      <c r="A19" t="s">
        <v>33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C9245824-E7D4-0549-BF4D-512022ABA2E8}"/>
    <hyperlink ref="A21" r:id="rId2" xr:uid="{99F33008-6179-CA45-86D7-7CE8488AE649}"/>
    <hyperlink ref="A20" r:id="rId3" xr:uid="{81FA58E4-21F6-1A4C-A218-2545C5BD9313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09E6-D0E1-3147-B530-E7F0DD196356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55187</v>
      </c>
      <c r="C2" s="1">
        <v>68192</v>
      </c>
      <c r="D2" s="43">
        <f>(Table55456791564708453758187111[[#This Row],[This Week]]-Table55456791564708453758187111[[#This Row],[Last Week]])/Table55456791564708453758187111[[#This Row],[Last Week]]</f>
        <v>-0.19071152041295167</v>
      </c>
      <c r="E2" s="1">
        <v>34321</v>
      </c>
      <c r="F2" s="1">
        <v>2494655</v>
      </c>
      <c r="G2" s="1">
        <v>1395638</v>
      </c>
      <c r="H2" s="1">
        <f>H9+H10</f>
        <v>13878086</v>
      </c>
    </row>
    <row r="3" spans="1:8" x14ac:dyDescent="0.2">
      <c r="A3" s="10" t="s">
        <v>13</v>
      </c>
      <c r="B3" s="1">
        <v>9283</v>
      </c>
      <c r="C3" s="1">
        <v>21291</v>
      </c>
      <c r="D3" s="43">
        <f>(Table55456791564708453758187111[[#This Row],[This Week]]-Table55456791564708453758187111[[#This Row],[Last Week]])/Table55456791564708453758187111[[#This Row],[Last Week]]</f>
        <v>-0.5639941759428867</v>
      </c>
      <c r="E3" s="1">
        <v>28762</v>
      </c>
      <c r="F3" s="1">
        <v>415167</v>
      </c>
      <c r="G3" s="1">
        <v>612721</v>
      </c>
      <c r="H3" s="1">
        <f>H11+H12</f>
        <v>9163410</v>
      </c>
    </row>
    <row r="4" spans="1:8" x14ac:dyDescent="0.2">
      <c r="A4" s="10" t="s">
        <v>14</v>
      </c>
      <c r="B4" s="1">
        <v>1004</v>
      </c>
      <c r="C4" s="1">
        <v>1180</v>
      </c>
      <c r="D4" s="43">
        <f>(Table55456791564708453758187111[[#This Row],[This Week]]-Table55456791564708453758187111[[#This Row],[Last Week]])/Table55456791564708453758187111[[#This Row],[Last Week]]</f>
        <v>-0.14915254237288136</v>
      </c>
      <c r="E4" s="1">
        <v>2768</v>
      </c>
      <c r="F4" s="1">
        <v>31244</v>
      </c>
      <c r="G4" s="1">
        <v>125270</v>
      </c>
      <c r="H4" s="1">
        <v>24527391</v>
      </c>
    </row>
    <row r="5" spans="1:8" x14ac:dyDescent="0.2">
      <c r="A5" s="8" t="s">
        <v>15</v>
      </c>
      <c r="B5" s="1">
        <v>104</v>
      </c>
      <c r="C5" s="1">
        <v>37</v>
      </c>
      <c r="D5" s="43">
        <f>(Table55456791564708453758187111[[#This Row],[This Week]]-Table55456791564708453758187111[[#This Row],[Last Week]])/Table55456791564708453758187111[[#This Row],[Last Week]]</f>
        <v>1.8108108108108107</v>
      </c>
      <c r="E5" s="1">
        <v>341</v>
      </c>
      <c r="F5" s="1">
        <v>2613</v>
      </c>
      <c r="G5" s="1">
        <v>3321</v>
      </c>
      <c r="H5" s="1">
        <v>113859</v>
      </c>
    </row>
    <row r="6" spans="1:8" x14ac:dyDescent="0.2">
      <c r="A6" s="31" t="s">
        <v>16</v>
      </c>
      <c r="B6" s="32">
        <f>SUM(B2:B5)</f>
        <v>65578</v>
      </c>
      <c r="C6" s="32">
        <f>SUM(C2:C5)</f>
        <v>90700</v>
      </c>
      <c r="D6" s="46">
        <f>(Table55456791564708453758187111[[#This Row],[This Week]]-Table55456791564708453758187111[[#This Row],[Last Week]])/Table55456791564708453758187111[[#This Row],[Last Week]]</f>
        <v>-0.27697905181918414</v>
      </c>
      <c r="E6" s="32">
        <f>SUM(E2:E5)+139</f>
        <v>66331</v>
      </c>
      <c r="F6" s="32">
        <f>SUM(F2:F5)</f>
        <v>2943679</v>
      </c>
      <c r="G6" s="32">
        <f>SUM(G2:G5)+35465</f>
        <v>2172415</v>
      </c>
      <c r="H6" s="32">
        <f>SUM(H2:H5)</f>
        <v>47682746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38685</v>
      </c>
      <c r="C9" s="1">
        <v>49009</v>
      </c>
      <c r="D9" s="43">
        <f>(Table5155578101665718558768288112[[#This Row],[This Week]]-Table5155578101665718558768288112[[#This Row],[Last Week]])/Table5155578101665718558768288112[[#This Row],[Last Week]]</f>
        <v>-0.21065518578220327</v>
      </c>
      <c r="E9" s="1">
        <v>34321</v>
      </c>
      <c r="F9" s="1">
        <v>1237676</v>
      </c>
      <c r="G9" s="1">
        <v>1395638</v>
      </c>
      <c r="H9" s="1">
        <v>11575724</v>
      </c>
    </row>
    <row r="10" spans="1:8" x14ac:dyDescent="0.2">
      <c r="A10" s="44" t="s">
        <v>18</v>
      </c>
      <c r="B10" s="1">
        <v>16502</v>
      </c>
      <c r="C10" s="1">
        <v>19183</v>
      </c>
      <c r="D10" s="43">
        <f>(Table5155578101665718558768288112[[#This Row],[This Week]]-Table5155578101665718558768288112[[#This Row],[Last Week]])/Table5155578101665718558768288112[[#This Row],[Last Week]]</f>
        <v>-0.13975916175780639</v>
      </c>
      <c r="E10" s="1" t="s">
        <v>17</v>
      </c>
      <c r="F10" s="1">
        <v>1256979</v>
      </c>
      <c r="G10" s="1" t="s">
        <v>17</v>
      </c>
      <c r="H10" s="1">
        <v>2302362</v>
      </c>
    </row>
    <row r="11" spans="1:8" x14ac:dyDescent="0.2">
      <c r="A11" s="44" t="s">
        <v>21</v>
      </c>
      <c r="B11" s="1">
        <v>5381</v>
      </c>
      <c r="C11" s="1">
        <v>5590</v>
      </c>
      <c r="D11" s="43">
        <f>(Table5155578101665718558768288112[[#This Row],[This Week]]-Table5155578101665718558768288112[[#This Row],[Last Week]])/Table5155578101665718558768288112[[#This Row],[Last Week]]</f>
        <v>-3.7388193202146688E-2</v>
      </c>
      <c r="E11" s="1">
        <v>10026</v>
      </c>
      <c r="F11" s="1">
        <v>156181</v>
      </c>
      <c r="G11" s="1">
        <v>218792</v>
      </c>
      <c r="H11" s="1">
        <v>1551151</v>
      </c>
    </row>
    <row r="12" spans="1:8" x14ac:dyDescent="0.2">
      <c r="A12" s="44" t="s">
        <v>13</v>
      </c>
      <c r="B12" s="1">
        <v>3902</v>
      </c>
      <c r="C12" s="1">
        <v>15701</v>
      </c>
      <c r="D12" s="43">
        <f>(Table5155578101665718558768288112[[#This Row],[This Week]]-Table5155578101665718558768288112[[#This Row],[Last Week]])/Table5155578101665718558768288112[[#This Row],[Last Week]]</f>
        <v>-0.75148079740143936</v>
      </c>
      <c r="E12" s="1">
        <v>18736</v>
      </c>
      <c r="F12" s="1">
        <v>258986</v>
      </c>
      <c r="G12" s="1">
        <v>393929</v>
      </c>
      <c r="H12" s="1">
        <v>7612259</v>
      </c>
    </row>
    <row r="13" spans="1:8" x14ac:dyDescent="0.2">
      <c r="A13" s="42" t="s">
        <v>22</v>
      </c>
      <c r="B13" s="1">
        <v>920</v>
      </c>
      <c r="C13" s="1">
        <v>1122</v>
      </c>
      <c r="D13" s="43">
        <f>(Table5155578101665718558768288112[[#This Row],[This Week]]-Table5155578101665718558768288112[[#This Row],[Last Week]])/Table5155578101665718558768288112[[#This Row],[Last Week]]</f>
        <v>-0.18003565062388591</v>
      </c>
      <c r="E13" s="1">
        <v>2254</v>
      </c>
      <c r="F13" s="1">
        <v>29399</v>
      </c>
      <c r="G13" s="1">
        <v>100028</v>
      </c>
      <c r="H13" s="1">
        <v>1133645</v>
      </c>
    </row>
    <row r="14" spans="1:8" x14ac:dyDescent="0.2">
      <c r="A14" s="42" t="s">
        <v>19</v>
      </c>
      <c r="B14" s="1">
        <v>90</v>
      </c>
      <c r="C14" s="1">
        <v>22</v>
      </c>
      <c r="D14" s="43">
        <f>(Table5155578101665718558768288112[[#This Row],[This Week]]-Table5155578101665718558768288112[[#This Row],[Last Week]])/Table5155578101665718558768288112[[#This Row],[Last Week]]</f>
        <v>3.0909090909090908</v>
      </c>
      <c r="E14" s="1">
        <v>224</v>
      </c>
      <c r="F14" s="1">
        <v>1888</v>
      </c>
      <c r="G14" s="1">
        <v>2265</v>
      </c>
      <c r="H14" s="1">
        <v>20530</v>
      </c>
    </row>
    <row r="15" spans="1:8" x14ac:dyDescent="0.2">
      <c r="A15" s="38" t="s">
        <v>23</v>
      </c>
      <c r="B15" s="1">
        <v>84</v>
      </c>
      <c r="C15" s="1">
        <v>58</v>
      </c>
      <c r="D15" s="43">
        <f>(Table5155578101665718558768288112[[#This Row],[This Week]]-Table5155578101665718558768288112[[#This Row],[Last Week]])/Table5155578101665718558768288112[[#This Row],[Last Week]]</f>
        <v>0.44827586206896552</v>
      </c>
      <c r="E15" s="1">
        <v>514</v>
      </c>
      <c r="F15" s="1">
        <v>1845</v>
      </c>
      <c r="G15" s="1">
        <v>24151</v>
      </c>
      <c r="H15" s="1">
        <v>5887760</v>
      </c>
    </row>
    <row r="16" spans="1:8" x14ac:dyDescent="0.2">
      <c r="A16" s="59" t="s">
        <v>20</v>
      </c>
      <c r="B16" s="1">
        <v>14</v>
      </c>
      <c r="C16" s="1">
        <v>15</v>
      </c>
      <c r="D16" s="43">
        <f>(Table5155578101665718558768288112[[#This Row],[This Week]]-Table5155578101665718558768288112[[#This Row],[Last Week]])/Table5155578101665718558768288112[[#This Row],[Last Week]]</f>
        <v>-6.6666666666666666E-2</v>
      </c>
      <c r="E16" s="1">
        <v>117</v>
      </c>
      <c r="F16" s="1">
        <v>725</v>
      </c>
      <c r="G16" s="1">
        <v>1056</v>
      </c>
      <c r="H16" s="1">
        <v>21327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2326B7C9-BFE4-0B4E-85F2-85B42DE88580}"/>
    <hyperlink ref="A21" r:id="rId2" xr:uid="{11F904D3-3DC8-624A-ACFE-5A61E0E189A4}"/>
    <hyperlink ref="A20" r:id="rId3" xr:uid="{697E075F-E6D6-6B4E-8004-D4327D2D28B4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5C8B-7861-6644-B5E2-1983A0188654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78428</v>
      </c>
      <c r="C2" s="1">
        <v>55187</v>
      </c>
      <c r="D2" s="43">
        <f>(Table55456791564708453758187115[[#This Row],[This Week]]-Table55456791564708453758187115[[#This Row],[Last Week]])/Table55456791564708453758187115[[#This Row],[Last Week]]</f>
        <v>0.42113178828347253</v>
      </c>
      <c r="E2" s="1">
        <v>29058</v>
      </c>
      <c r="F2" s="1">
        <v>2573083</v>
      </c>
      <c r="G2" s="1">
        <v>1424696</v>
      </c>
      <c r="H2" s="1">
        <f>H9+H10</f>
        <v>13956514</v>
      </c>
    </row>
    <row r="3" spans="1:8" x14ac:dyDescent="0.2">
      <c r="A3" s="10" t="s">
        <v>13</v>
      </c>
      <c r="B3" s="1">
        <v>12844</v>
      </c>
      <c r="C3" s="1">
        <v>9283</v>
      </c>
      <c r="D3" s="43">
        <f>(Table55456791564708453758187115[[#This Row],[This Week]]-Table55456791564708453758187115[[#This Row],[Last Week]])/Table55456791564708453758187115[[#This Row],[Last Week]]</f>
        <v>0.38360443822040291</v>
      </c>
      <c r="E3" s="1">
        <v>15711</v>
      </c>
      <c r="F3" s="1">
        <v>428011</v>
      </c>
      <c r="G3" s="1">
        <v>628432</v>
      </c>
      <c r="H3" s="1">
        <f>H11+H12</f>
        <v>9176254</v>
      </c>
    </row>
    <row r="4" spans="1:8" x14ac:dyDescent="0.2">
      <c r="A4" s="10" t="s">
        <v>14</v>
      </c>
      <c r="B4" s="1">
        <v>1152</v>
      </c>
      <c r="C4" s="1">
        <v>1004</v>
      </c>
      <c r="D4" s="43">
        <f>(Table55456791564708453758187115[[#This Row],[This Week]]-Table55456791564708453758187115[[#This Row],[Last Week]])/Table55456791564708453758187115[[#This Row],[Last Week]]</f>
        <v>0.14741035856573706</v>
      </c>
      <c r="E4" s="1">
        <v>2362</v>
      </c>
      <c r="F4" s="1">
        <v>32396</v>
      </c>
      <c r="G4" s="1">
        <v>127632</v>
      </c>
      <c r="H4" s="1">
        <v>24528543</v>
      </c>
    </row>
    <row r="5" spans="1:8" x14ac:dyDescent="0.2">
      <c r="A5" s="8" t="s">
        <v>15</v>
      </c>
      <c r="B5" s="1">
        <v>32</v>
      </c>
      <c r="C5" s="1">
        <v>104</v>
      </c>
      <c r="D5" s="43">
        <f>(Table55456791564708453758187115[[#This Row],[This Week]]-Table55456791564708453758187115[[#This Row],[Last Week]])/Table55456791564708453758187115[[#This Row],[Last Week]]</f>
        <v>-0.69230769230769229</v>
      </c>
      <c r="E5" s="1">
        <v>313</v>
      </c>
      <c r="F5" s="1">
        <v>2645</v>
      </c>
      <c r="G5" s="1">
        <v>3634</v>
      </c>
      <c r="H5" s="1">
        <v>113891</v>
      </c>
    </row>
    <row r="6" spans="1:8" x14ac:dyDescent="0.2">
      <c r="A6" s="31" t="s">
        <v>16</v>
      </c>
      <c r="B6" s="32">
        <f>SUM(B2:B5)</f>
        <v>92456</v>
      </c>
      <c r="C6" s="32">
        <f>SUM(C2:C5)</f>
        <v>65578</v>
      </c>
      <c r="D6" s="46">
        <f>(Table55456791564708453758187115[[#This Row],[This Week]]-Table55456791564708453758187115[[#This Row],[Last Week]])/Table55456791564708453758187115[[#This Row],[Last Week]]</f>
        <v>0.4098630638323828</v>
      </c>
      <c r="E6" s="32">
        <f>SUM(E2:E5)+128</f>
        <v>47572</v>
      </c>
      <c r="F6" s="32">
        <f>SUM(F2:F5)</f>
        <v>3036135</v>
      </c>
      <c r="G6" s="32">
        <f>SUM(G2:G5)+35593</f>
        <v>2219987</v>
      </c>
      <c r="H6" s="32">
        <f>SUM(H2:H5)</f>
        <v>47775202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54823</v>
      </c>
      <c r="C9" s="1">
        <v>38685</v>
      </c>
      <c r="D9" s="43">
        <f>(Table5155578101665718558768288116[[#This Row],[This Week]]-Table5155578101665718558768288116[[#This Row],[Last Week]])/Table5155578101665718558768288116[[#This Row],[Last Week]]</f>
        <v>0.41716427555900221</v>
      </c>
      <c r="E9" s="1">
        <v>29058</v>
      </c>
      <c r="F9" s="1">
        <v>1292499</v>
      </c>
      <c r="G9" s="1">
        <v>1424696</v>
      </c>
      <c r="H9" s="1">
        <v>11630547</v>
      </c>
    </row>
    <row r="10" spans="1:8" x14ac:dyDescent="0.2">
      <c r="A10" s="44" t="s">
        <v>18</v>
      </c>
      <c r="B10" s="1">
        <v>23605</v>
      </c>
      <c r="C10" s="1">
        <v>16502</v>
      </c>
      <c r="D10" s="43">
        <f>(Table5155578101665718558768288116[[#This Row],[This Week]]-Table5155578101665718558768288116[[#This Row],[Last Week]])/Table5155578101665718558768288116[[#This Row],[Last Week]]</f>
        <v>0.43043267482729364</v>
      </c>
      <c r="E10" s="1" t="s">
        <v>17</v>
      </c>
      <c r="F10" s="1">
        <v>1280584</v>
      </c>
      <c r="G10" s="1" t="s">
        <v>17</v>
      </c>
      <c r="H10" s="1">
        <v>2325967</v>
      </c>
    </row>
    <row r="11" spans="1:8" x14ac:dyDescent="0.2">
      <c r="A11" s="44" t="s">
        <v>21</v>
      </c>
      <c r="B11" s="1">
        <v>8558</v>
      </c>
      <c r="C11" s="1">
        <v>5381</v>
      </c>
      <c r="D11" s="43">
        <f>(Table5155578101665718558768288116[[#This Row],[This Week]]-Table5155578101665718558768288116[[#This Row],[Last Week]])/Table5155578101665718558768288116[[#This Row],[Last Week]]</f>
        <v>0.59041070433005016</v>
      </c>
      <c r="E11" s="1">
        <v>6210</v>
      </c>
      <c r="F11" s="1">
        <v>164739</v>
      </c>
      <c r="G11" s="1">
        <v>225002</v>
      </c>
      <c r="H11" s="1">
        <v>1559709</v>
      </c>
    </row>
    <row r="12" spans="1:8" x14ac:dyDescent="0.2">
      <c r="A12" s="44" t="s">
        <v>13</v>
      </c>
      <c r="B12" s="1">
        <v>4286</v>
      </c>
      <c r="C12" s="1">
        <v>3902</v>
      </c>
      <c r="D12" s="43">
        <f>(Table5155578101665718558768288116[[#This Row],[This Week]]-Table5155578101665718558768288116[[#This Row],[Last Week]])/Table5155578101665718558768288116[[#This Row],[Last Week]]</f>
        <v>9.8411071245515125E-2</v>
      </c>
      <c r="E12" s="1">
        <v>9501</v>
      </c>
      <c r="F12" s="1">
        <v>263272</v>
      </c>
      <c r="G12" s="1">
        <v>403430</v>
      </c>
      <c r="H12" s="1">
        <v>7616545</v>
      </c>
    </row>
    <row r="13" spans="1:8" x14ac:dyDescent="0.2">
      <c r="A13" s="42" t="s">
        <v>22</v>
      </c>
      <c r="B13" s="1">
        <v>1031</v>
      </c>
      <c r="C13" s="1">
        <v>920</v>
      </c>
      <c r="D13" s="43">
        <f>(Table5155578101665718558768288116[[#This Row],[This Week]]-Table5155578101665718558768288116[[#This Row],[Last Week]])/Table5155578101665718558768288116[[#This Row],[Last Week]]</f>
        <v>0.12065217391304348</v>
      </c>
      <c r="E13" s="1">
        <v>1927</v>
      </c>
      <c r="F13" s="1">
        <v>30430</v>
      </c>
      <c r="G13" s="1">
        <v>101955</v>
      </c>
      <c r="H13" s="1">
        <v>1134676</v>
      </c>
    </row>
    <row r="14" spans="1:8" x14ac:dyDescent="0.2">
      <c r="A14" s="42" t="s">
        <v>23</v>
      </c>
      <c r="B14" s="1">
        <v>121</v>
      </c>
      <c r="C14" s="1">
        <v>84</v>
      </c>
      <c r="D14" s="43">
        <f>(Table5155578101665718558768288116[[#This Row],[This Week]]-Table5155578101665718558768288116[[#This Row],[Last Week]])/Table5155578101665718558768288116[[#This Row],[Last Week]]</f>
        <v>0.44047619047619047</v>
      </c>
      <c r="E14" s="1">
        <v>435</v>
      </c>
      <c r="F14" s="1">
        <v>1966</v>
      </c>
      <c r="G14" s="1">
        <v>24586</v>
      </c>
      <c r="H14" s="1">
        <v>5887881</v>
      </c>
    </row>
    <row r="15" spans="1:8" x14ac:dyDescent="0.2">
      <c r="A15" s="38" t="s">
        <v>19</v>
      </c>
      <c r="B15" s="1">
        <v>19</v>
      </c>
      <c r="C15" s="1">
        <v>90</v>
      </c>
      <c r="D15" s="43">
        <f>(Table5155578101665718558768288116[[#This Row],[This Week]]-Table5155578101665718558768288116[[#This Row],[Last Week]])/Table5155578101665718558768288116[[#This Row],[Last Week]]</f>
        <v>-0.78888888888888886</v>
      </c>
      <c r="E15" s="1">
        <v>225</v>
      </c>
      <c r="F15" s="1">
        <v>1907</v>
      </c>
      <c r="G15" s="1">
        <v>2490</v>
      </c>
      <c r="H15" s="1">
        <v>20549</v>
      </c>
    </row>
    <row r="16" spans="1:8" x14ac:dyDescent="0.2">
      <c r="A16" s="59" t="s">
        <v>20</v>
      </c>
      <c r="B16" s="1">
        <v>13</v>
      </c>
      <c r="C16" s="1">
        <v>14</v>
      </c>
      <c r="D16" s="43">
        <f>(Table5155578101665718558768288116[[#This Row],[This Week]]-Table5155578101665718558768288116[[#This Row],[Last Week]])/Table5155578101665718558768288116[[#This Row],[Last Week]]</f>
        <v>-7.1428571428571425E-2</v>
      </c>
      <c r="E16" s="1">
        <v>88</v>
      </c>
      <c r="F16" s="1">
        <v>738</v>
      </c>
      <c r="G16" s="1">
        <v>1144</v>
      </c>
      <c r="H16" s="1">
        <v>21340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8AB4EB99-ABEE-A940-B3EE-4881C55A8547}"/>
    <hyperlink ref="A21" r:id="rId2" xr:uid="{7249E9EC-B4E2-EA45-8039-C46C27A3BD87}"/>
    <hyperlink ref="A20" r:id="rId3" xr:uid="{1E57A26D-7293-CC43-8C84-C9176A2BEB25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BEAE5-8AA9-0D4A-81D0-B27A8D2D4201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93799</v>
      </c>
      <c r="C2" s="1">
        <v>78428</v>
      </c>
      <c r="D2" s="43">
        <f>(Table55456791564708453758187119[[#This Row],[This Week]]-Table55456791564708453758187119[[#This Row],[Last Week]])/Table55456791564708453758187119[[#This Row],[Last Week]]</f>
        <v>0.19598867751313306</v>
      </c>
      <c r="E2" s="1">
        <v>59184</v>
      </c>
      <c r="F2" s="1">
        <v>2666882</v>
      </c>
      <c r="G2" s="1">
        <v>1483880</v>
      </c>
      <c r="H2" s="1">
        <f>H9+H10</f>
        <v>14050313</v>
      </c>
    </row>
    <row r="3" spans="1:8" x14ac:dyDescent="0.2">
      <c r="A3" s="10" t="s">
        <v>13</v>
      </c>
      <c r="B3" s="1">
        <v>7801</v>
      </c>
      <c r="C3" s="1">
        <v>12844</v>
      </c>
      <c r="D3" s="43">
        <f>(Table55456791564708453758187119[[#This Row],[This Week]]-Table55456791564708453758187119[[#This Row],[Last Week]])/Table55456791564708453758187119[[#This Row],[Last Week]]</f>
        <v>-0.39263469324198069</v>
      </c>
      <c r="E3" s="1">
        <v>18773</v>
      </c>
      <c r="F3" s="1">
        <v>435812</v>
      </c>
      <c r="G3" s="1">
        <v>647205</v>
      </c>
      <c r="H3" s="1">
        <f>H11+H12</f>
        <v>9184055</v>
      </c>
    </row>
    <row r="4" spans="1:8" x14ac:dyDescent="0.2">
      <c r="A4" s="10" t="s">
        <v>14</v>
      </c>
      <c r="B4" s="1">
        <v>944</v>
      </c>
      <c r="C4" s="1">
        <v>1152</v>
      </c>
      <c r="D4" s="43">
        <f>(Table55456791564708453758187119[[#This Row],[This Week]]-Table55456791564708453758187119[[#This Row],[Last Week]])/Table55456791564708453758187119[[#This Row],[Last Week]]</f>
        <v>-0.18055555555555555</v>
      </c>
      <c r="E4" s="1">
        <v>2723</v>
      </c>
      <c r="F4" s="1">
        <v>33340</v>
      </c>
      <c r="G4" s="1">
        <v>130355</v>
      </c>
      <c r="H4" s="1">
        <v>24529487</v>
      </c>
    </row>
    <row r="5" spans="1:8" x14ac:dyDescent="0.2">
      <c r="A5" s="8" t="s">
        <v>15</v>
      </c>
      <c r="B5" s="1">
        <v>40</v>
      </c>
      <c r="C5" s="1">
        <v>32</v>
      </c>
      <c r="D5" s="43">
        <f>(Table55456791564708453758187119[[#This Row],[This Week]]-Table55456791564708453758187119[[#This Row],[Last Week]])/Table55456791564708453758187119[[#This Row],[Last Week]]</f>
        <v>0.25</v>
      </c>
      <c r="E5" s="1">
        <v>178</v>
      </c>
      <c r="F5" s="1">
        <v>2685</v>
      </c>
      <c r="G5" s="1">
        <v>3812</v>
      </c>
      <c r="H5" s="1">
        <v>113931</v>
      </c>
    </row>
    <row r="6" spans="1:8" x14ac:dyDescent="0.2">
      <c r="A6" s="31" t="s">
        <v>16</v>
      </c>
      <c r="B6" s="32">
        <f>SUM(B2:B5)</f>
        <v>102584</v>
      </c>
      <c r="C6" s="32">
        <f>SUM(C2:C5)</f>
        <v>92456</v>
      </c>
      <c r="D6" s="46">
        <f>(Table55456791564708453758187119[[#This Row],[This Week]]-Table55456791564708453758187119[[#This Row],[Last Week]])/Table55456791564708453758187119[[#This Row],[Last Week]]</f>
        <v>0.10954399930777883</v>
      </c>
      <c r="E6" s="32">
        <f>SUM(E2:E5)+115</f>
        <v>80973</v>
      </c>
      <c r="F6" s="32">
        <f>SUM(F2:F5)</f>
        <v>3138719</v>
      </c>
      <c r="G6" s="32">
        <f>SUM(G2:G5)+35708</f>
        <v>2300960</v>
      </c>
      <c r="H6" s="32">
        <f>SUM(H2:H5)</f>
        <v>47877786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67093</v>
      </c>
      <c r="C9" s="1">
        <v>54823</v>
      </c>
      <c r="D9" s="43">
        <f>(Table5155578101665718558768288120[[#This Row],[This Week]]-Table5155578101665718558768288120[[#This Row],[Last Week]])/Table5155578101665718558768288120[[#This Row],[Last Week]]</f>
        <v>0.22381117414223958</v>
      </c>
      <c r="E9" s="1">
        <v>59184</v>
      </c>
      <c r="F9" s="1">
        <v>1359592</v>
      </c>
      <c r="G9" s="1">
        <v>1483880</v>
      </c>
      <c r="H9" s="1">
        <v>11697640</v>
      </c>
    </row>
    <row r="10" spans="1:8" x14ac:dyDescent="0.2">
      <c r="A10" s="44" t="s">
        <v>18</v>
      </c>
      <c r="B10" s="1">
        <v>26706</v>
      </c>
      <c r="C10" s="1">
        <v>23605</v>
      </c>
      <c r="D10" s="43">
        <f>(Table5155578101665718558768288120[[#This Row],[This Week]]-Table5155578101665718558768288120[[#This Row],[Last Week]])/Table5155578101665718558768288120[[#This Row],[Last Week]]</f>
        <v>0.13137047235755137</v>
      </c>
      <c r="E10" s="1" t="s">
        <v>17</v>
      </c>
      <c r="F10" s="1">
        <v>1307290</v>
      </c>
      <c r="G10" s="1" t="s">
        <v>17</v>
      </c>
      <c r="H10" s="1">
        <v>2352673</v>
      </c>
    </row>
    <row r="11" spans="1:8" x14ac:dyDescent="0.2">
      <c r="A11" s="44" t="s">
        <v>13</v>
      </c>
      <c r="B11" s="1">
        <v>4978</v>
      </c>
      <c r="C11" s="1">
        <v>4286</v>
      </c>
      <c r="D11" s="43">
        <f>(Table5155578101665718558768288120[[#This Row],[This Week]]-Table5155578101665718558768288120[[#This Row],[Last Week]])/Table5155578101665718558768288120[[#This Row],[Last Week]]</f>
        <v>0.16145590293980402</v>
      </c>
      <c r="E11" s="1">
        <v>11422</v>
      </c>
      <c r="F11" s="1">
        <v>268250</v>
      </c>
      <c r="G11" s="1">
        <v>414852</v>
      </c>
      <c r="H11" s="1">
        <v>7621523</v>
      </c>
    </row>
    <row r="12" spans="1:8" x14ac:dyDescent="0.2">
      <c r="A12" s="44" t="s">
        <v>21</v>
      </c>
      <c r="B12" s="1">
        <v>2823</v>
      </c>
      <c r="C12" s="1">
        <v>8558</v>
      </c>
      <c r="D12" s="43">
        <f>(Table5155578101665718558768288120[[#This Row],[This Week]]-Table5155578101665718558768288120[[#This Row],[Last Week]])/Table5155578101665718558768288120[[#This Row],[Last Week]]</f>
        <v>-0.67013320869362003</v>
      </c>
      <c r="E12" s="1">
        <v>7351</v>
      </c>
      <c r="F12" s="1">
        <v>167562</v>
      </c>
      <c r="G12" s="1">
        <v>232353</v>
      </c>
      <c r="H12" s="1">
        <v>1562532</v>
      </c>
    </row>
    <row r="13" spans="1:8" x14ac:dyDescent="0.2">
      <c r="A13" s="42" t="s">
        <v>22</v>
      </c>
      <c r="B13" s="1">
        <v>904</v>
      </c>
      <c r="C13" s="1">
        <v>1031</v>
      </c>
      <c r="D13" s="43">
        <f>(Table5155578101665718558768288120[[#This Row],[This Week]]-Table5155578101665718558768288120[[#This Row],[Last Week]])/Table5155578101665718558768288120[[#This Row],[Last Week]]</f>
        <v>-0.12318137730358875</v>
      </c>
      <c r="E13" s="1">
        <v>2244</v>
      </c>
      <c r="F13" s="1">
        <v>31334</v>
      </c>
      <c r="G13" s="1">
        <v>104199</v>
      </c>
      <c r="H13" s="1">
        <v>1135580</v>
      </c>
    </row>
    <row r="14" spans="1:8" x14ac:dyDescent="0.2">
      <c r="A14" s="42" t="s">
        <v>23</v>
      </c>
      <c r="B14" s="1">
        <v>40</v>
      </c>
      <c r="C14" s="1">
        <v>121</v>
      </c>
      <c r="D14" s="43">
        <f>(Table5155578101665718558768288120[[#This Row],[This Week]]-Table5155578101665718558768288120[[#This Row],[Last Week]])/Table5155578101665718558768288120[[#This Row],[Last Week]]</f>
        <v>-0.66942148760330578</v>
      </c>
      <c r="E14" s="1">
        <v>479</v>
      </c>
      <c r="F14" s="1">
        <v>2006</v>
      </c>
      <c r="G14" s="1">
        <v>25065</v>
      </c>
      <c r="H14" s="1">
        <v>5887921</v>
      </c>
    </row>
    <row r="15" spans="1:8" x14ac:dyDescent="0.2">
      <c r="A15" s="38" t="s">
        <v>19</v>
      </c>
      <c r="B15" s="1">
        <v>21</v>
      </c>
      <c r="C15" s="1">
        <v>19</v>
      </c>
      <c r="D15" s="43">
        <f>(Table5155578101665718558768288120[[#This Row],[This Week]]-Table5155578101665718558768288120[[#This Row],[Last Week]])/Table5155578101665718558768288120[[#This Row],[Last Week]]</f>
        <v>0.10526315789473684</v>
      </c>
      <c r="E15" s="1">
        <v>129</v>
      </c>
      <c r="F15" s="1">
        <v>1928</v>
      </c>
      <c r="G15" s="1">
        <v>2619</v>
      </c>
      <c r="H15" s="1">
        <v>20570</v>
      </c>
    </row>
    <row r="16" spans="1:8" x14ac:dyDescent="0.2">
      <c r="A16" s="59" t="s">
        <v>20</v>
      </c>
      <c r="B16" s="1">
        <v>19</v>
      </c>
      <c r="C16" s="1">
        <v>13</v>
      </c>
      <c r="D16" s="43">
        <f>(Table5155578101665718558768288120[[#This Row],[This Week]]-Table5155578101665718558768288120[[#This Row],[Last Week]])/Table5155578101665718558768288120[[#This Row],[Last Week]]</f>
        <v>0.46153846153846156</v>
      </c>
      <c r="E16" s="1">
        <v>49</v>
      </c>
      <c r="F16" s="1">
        <v>757</v>
      </c>
      <c r="G16" s="1">
        <v>1193</v>
      </c>
      <c r="H16" s="1">
        <v>21359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dataConsolidate/>
  <hyperlinks>
    <hyperlink ref="A22" r:id="rId1" xr:uid="{BAF97698-5774-764C-87FD-8BF410B447EE}"/>
    <hyperlink ref="A21" r:id="rId2" xr:uid="{DE237654-A801-D64C-B6FE-BF4F8FA47CBF}"/>
    <hyperlink ref="A20" r:id="rId3" xr:uid="{1119138E-A68E-BC43-B7E9-E8B2CD363E5C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52A0-CB1F-254E-A263-48CABDC7D46A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52250</v>
      </c>
      <c r="C2" s="1">
        <v>93799</v>
      </c>
      <c r="D2" s="43">
        <f>(Table55456791564708453758187123[[#This Row],[This Week]]-Table55456791564708453758187123[[#This Row],[Last Week]])/Table55456791564708453758187123[[#This Row],[Last Week]]</f>
        <v>-0.44295781404919027</v>
      </c>
      <c r="E2" s="1">
        <v>75481</v>
      </c>
      <c r="F2" s="1">
        <v>2719132</v>
      </c>
      <c r="G2" s="1">
        <v>1559361</v>
      </c>
      <c r="H2" s="1">
        <f>H9+H10</f>
        <v>14102563</v>
      </c>
    </row>
    <row r="3" spans="1:8" x14ac:dyDescent="0.2">
      <c r="A3" s="10" t="s">
        <v>13</v>
      </c>
      <c r="B3" s="1">
        <v>4558</v>
      </c>
      <c r="C3" s="1">
        <v>7801</v>
      </c>
      <c r="D3" s="43">
        <f>(Table55456791564708453758187123[[#This Row],[This Week]]-Table55456791564708453758187123[[#This Row],[Last Week]])/Table55456791564708453758187123[[#This Row],[Last Week]]</f>
        <v>-0.41571593385463401</v>
      </c>
      <c r="E3" s="1">
        <v>11303</v>
      </c>
      <c r="F3" s="1">
        <v>440370</v>
      </c>
      <c r="G3" s="1">
        <v>658508</v>
      </c>
      <c r="H3" s="1">
        <f>H11+H12</f>
        <v>9188613</v>
      </c>
    </row>
    <row r="4" spans="1:8" x14ac:dyDescent="0.2">
      <c r="A4" s="10" t="s">
        <v>14</v>
      </c>
      <c r="B4" s="1">
        <v>933</v>
      </c>
      <c r="C4" s="1">
        <v>944</v>
      </c>
      <c r="D4" s="43">
        <f>(Table55456791564708453758187123[[#This Row],[This Week]]-Table55456791564708453758187123[[#This Row],[Last Week]])/Table55456791564708453758187123[[#This Row],[Last Week]]</f>
        <v>-1.1652542372881356E-2</v>
      </c>
      <c r="E4" s="1">
        <v>2550</v>
      </c>
      <c r="F4" s="1">
        <v>34273</v>
      </c>
      <c r="G4" s="1">
        <v>132905</v>
      </c>
      <c r="H4" s="1">
        <v>24530420</v>
      </c>
    </row>
    <row r="5" spans="1:8" x14ac:dyDescent="0.2">
      <c r="A5" s="8" t="s">
        <v>15</v>
      </c>
      <c r="B5" s="1">
        <v>44</v>
      </c>
      <c r="C5" s="1">
        <v>40</v>
      </c>
      <c r="D5" s="43">
        <f>(Table55456791564708453758187123[[#This Row],[This Week]]-Table55456791564708453758187123[[#This Row],[Last Week]])/Table55456791564708453758187123[[#This Row],[Last Week]]</f>
        <v>0.1</v>
      </c>
      <c r="E5" s="1">
        <v>121</v>
      </c>
      <c r="F5" s="1">
        <v>2729</v>
      </c>
      <c r="G5" s="1">
        <v>3933</v>
      </c>
      <c r="H5" s="1">
        <v>113975</v>
      </c>
    </row>
    <row r="6" spans="1:8" x14ac:dyDescent="0.2">
      <c r="A6" s="31" t="s">
        <v>16</v>
      </c>
      <c r="B6" s="32">
        <f>SUM(B2:B5)</f>
        <v>57785</v>
      </c>
      <c r="C6" s="32">
        <f>SUM(C2:C5)</f>
        <v>102584</v>
      </c>
      <c r="D6" s="46">
        <f>(Table55456791564708453758187123[[#This Row],[This Week]]-Table55456791564708453758187123[[#This Row],[Last Week]])/Table55456791564708453758187123[[#This Row],[Last Week]]</f>
        <v>-0.43670552912734928</v>
      </c>
      <c r="E6" s="32">
        <f>SUM(E2:E5)+206</f>
        <v>89661</v>
      </c>
      <c r="F6" s="32">
        <f>SUM(F2:F5)</f>
        <v>3196504</v>
      </c>
      <c r="G6" s="32">
        <f>SUM(G2:G5)+35914</f>
        <v>2390621</v>
      </c>
      <c r="H6" s="32">
        <f>SUM(H2:H5)</f>
        <v>47935571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38428</v>
      </c>
      <c r="C9" s="1">
        <v>67093</v>
      </c>
      <c r="D9" s="43">
        <f>(Table5155578101665718558768288124[[#This Row],[This Week]]-Table5155578101665718558768288124[[#This Row],[Last Week]])/Table5155578101665718558768288124[[#This Row],[Last Week]]</f>
        <v>-0.42724278240651037</v>
      </c>
      <c r="E9" s="1">
        <v>75481</v>
      </c>
      <c r="F9" s="1">
        <v>1398020</v>
      </c>
      <c r="G9" s="1">
        <v>1559361</v>
      </c>
      <c r="H9" s="1">
        <v>11736068</v>
      </c>
    </row>
    <row r="10" spans="1:8" x14ac:dyDescent="0.2">
      <c r="A10" s="44" t="s">
        <v>18</v>
      </c>
      <c r="B10" s="1">
        <v>13822</v>
      </c>
      <c r="C10" s="1">
        <v>26706</v>
      </c>
      <c r="D10" s="43">
        <f>(Table5155578101665718558768288124[[#This Row],[This Week]]-Table5155578101665718558768288124[[#This Row],[Last Week]])/Table5155578101665718558768288124[[#This Row],[Last Week]]</f>
        <v>-0.48243840335505128</v>
      </c>
      <c r="E10" s="1" t="s">
        <v>17</v>
      </c>
      <c r="F10" s="1">
        <v>1321112</v>
      </c>
      <c r="G10" s="1" t="s">
        <v>17</v>
      </c>
      <c r="H10" s="1">
        <v>2366495</v>
      </c>
    </row>
    <row r="11" spans="1:8" x14ac:dyDescent="0.2">
      <c r="A11" s="44" t="s">
        <v>13</v>
      </c>
      <c r="B11" s="1">
        <v>2523</v>
      </c>
      <c r="C11" s="1">
        <v>4978</v>
      </c>
      <c r="D11" s="43">
        <f>(Table5155578101665718558768288124[[#This Row],[This Week]]-Table5155578101665718558768288124[[#This Row],[Last Week]])/Table5155578101665718558768288124[[#This Row],[Last Week]]</f>
        <v>-0.49316994777018885</v>
      </c>
      <c r="E11" s="1">
        <v>6756</v>
      </c>
      <c r="F11" s="1">
        <v>270773</v>
      </c>
      <c r="G11" s="1">
        <v>421608</v>
      </c>
      <c r="H11" s="1">
        <v>7624046</v>
      </c>
    </row>
    <row r="12" spans="1:8" x14ac:dyDescent="0.2">
      <c r="A12" s="44" t="s">
        <v>21</v>
      </c>
      <c r="B12" s="1">
        <v>2035</v>
      </c>
      <c r="C12" s="1">
        <v>2823</v>
      </c>
      <c r="D12" s="43">
        <f>(Table5155578101665718558768288124[[#This Row],[This Week]]-Table5155578101665718558768288124[[#This Row],[Last Week]])/Table5155578101665718558768288124[[#This Row],[Last Week]]</f>
        <v>-0.27913567127169675</v>
      </c>
      <c r="E12" s="1">
        <v>4547</v>
      </c>
      <c r="F12" s="1">
        <v>169597</v>
      </c>
      <c r="G12" s="1">
        <v>236900</v>
      </c>
      <c r="H12" s="1">
        <v>1564567</v>
      </c>
    </row>
    <row r="13" spans="1:8" x14ac:dyDescent="0.2">
      <c r="A13" s="42" t="s">
        <v>22</v>
      </c>
      <c r="B13" s="1">
        <v>856</v>
      </c>
      <c r="C13" s="1">
        <v>904</v>
      </c>
      <c r="D13" s="43">
        <f>(Table5155578101665718558768288124[[#This Row],[This Week]]-Table5155578101665718558768288124[[#This Row],[Last Week]])/Table5155578101665718558768288124[[#This Row],[Last Week]]</f>
        <v>-5.3097345132743362E-2</v>
      </c>
      <c r="E13" s="1">
        <v>2164</v>
      </c>
      <c r="F13" s="1">
        <v>32190</v>
      </c>
      <c r="G13" s="1">
        <v>106363</v>
      </c>
      <c r="H13" s="1">
        <v>1136436</v>
      </c>
    </row>
    <row r="14" spans="1:8" x14ac:dyDescent="0.2">
      <c r="A14" s="42" t="s">
        <v>23</v>
      </c>
      <c r="B14" s="1">
        <v>77</v>
      </c>
      <c r="C14" s="1">
        <v>40</v>
      </c>
      <c r="D14" s="43">
        <f>(Table5155578101665718558768288124[[#This Row],[This Week]]-Table5155578101665718558768288124[[#This Row],[Last Week]])/Table5155578101665718558768288124[[#This Row],[Last Week]]</f>
        <v>0.92500000000000004</v>
      </c>
      <c r="E14" s="1">
        <v>386</v>
      </c>
      <c r="F14" s="1">
        <v>2083</v>
      </c>
      <c r="G14" s="1">
        <v>25451</v>
      </c>
      <c r="H14" s="1">
        <v>5887998</v>
      </c>
    </row>
    <row r="15" spans="1:8" x14ac:dyDescent="0.2">
      <c r="A15" s="38" t="s">
        <v>19</v>
      </c>
      <c r="B15" s="1">
        <v>26</v>
      </c>
      <c r="C15" s="1">
        <v>21</v>
      </c>
      <c r="D15" s="43">
        <f>(Table5155578101665718558768288124[[#This Row],[This Week]]-Table5155578101665718558768288124[[#This Row],[Last Week]])/Table5155578101665718558768288124[[#This Row],[Last Week]]</f>
        <v>0.23809523809523808</v>
      </c>
      <c r="E15" s="1">
        <v>92</v>
      </c>
      <c r="F15" s="1">
        <v>1954</v>
      </c>
      <c r="G15" s="1">
        <v>2711</v>
      </c>
      <c r="H15" s="1">
        <v>20596</v>
      </c>
    </row>
    <row r="16" spans="1:8" x14ac:dyDescent="0.2">
      <c r="A16" s="59" t="s">
        <v>20</v>
      </c>
      <c r="B16" s="1">
        <v>18</v>
      </c>
      <c r="C16" s="1">
        <v>19</v>
      </c>
      <c r="D16" s="43">
        <f>(Table5155578101665718558768288124[[#This Row],[This Week]]-Table5155578101665718558768288124[[#This Row],[Last Week]])/Table5155578101665718558768288124[[#This Row],[Last Week]]</f>
        <v>-5.2631578947368418E-2</v>
      </c>
      <c r="E16" s="1">
        <v>29</v>
      </c>
      <c r="F16" s="1">
        <v>775</v>
      </c>
      <c r="G16" s="1">
        <v>1222</v>
      </c>
      <c r="H16" s="1">
        <v>21377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D5ADBB2C-E1B1-1D45-9F56-0A2334545969}"/>
    <hyperlink ref="A21" r:id="rId2" xr:uid="{EDDB4588-3545-FE47-823D-3CB3AE5720F6}"/>
    <hyperlink ref="A20" r:id="rId3" xr:uid="{0EE5E40C-5623-774B-8D3C-4D898E367912}"/>
  </hyperlinks>
  <pageMargins left="0.7" right="0.7" top="0.75" bottom="0.75" header="0.3" footer="0.3"/>
  <tableParts count="2">
    <tablePart r:id="rId4"/>
    <tablePart r:id="rId5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284A9-CF4A-D748-A4B9-D03339D0128F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96879</v>
      </c>
      <c r="C2" s="1">
        <v>52250</v>
      </c>
      <c r="D2" s="43">
        <f>(Table55456791564708453758187127[[#This Row],[This Week]]-Table55456791564708453758187127[[#This Row],[Last Week]])/Table55456791564708453758187127[[#This Row],[Last Week]]</f>
        <v>0.85414354066985643</v>
      </c>
      <c r="E2" s="1">
        <v>55823</v>
      </c>
      <c r="F2" s="1">
        <v>2816011</v>
      </c>
      <c r="G2" s="1">
        <v>1615184</v>
      </c>
      <c r="H2" s="1">
        <f>H9+H10</f>
        <v>14199442</v>
      </c>
    </row>
    <row r="3" spans="1:8" x14ac:dyDescent="0.2">
      <c r="A3" s="10" t="s">
        <v>13</v>
      </c>
      <c r="B3" s="1">
        <v>3425</v>
      </c>
      <c r="C3" s="1">
        <v>4558</v>
      </c>
      <c r="D3" s="43">
        <f>(Table55456791564708453758187127[[#This Row],[This Week]]-Table55456791564708453758187127[[#This Row],[Last Week]])/Table55456791564708453758187127[[#This Row],[Last Week]]</f>
        <v>-0.2485739359368144</v>
      </c>
      <c r="E3" s="1">
        <v>10941</v>
      </c>
      <c r="F3" s="1">
        <v>443795</v>
      </c>
      <c r="G3" s="1">
        <v>669449</v>
      </c>
      <c r="H3" s="1">
        <f>H11+H12</f>
        <v>9192038</v>
      </c>
    </row>
    <row r="4" spans="1:8" x14ac:dyDescent="0.2">
      <c r="A4" s="10" t="s">
        <v>14</v>
      </c>
      <c r="B4" s="1">
        <v>801</v>
      </c>
      <c r="C4" s="1">
        <v>933</v>
      </c>
      <c r="D4" s="43">
        <f>(Table55456791564708453758187127[[#This Row],[This Week]]-Table55456791564708453758187127[[#This Row],[Last Week]])/Table55456791564708453758187127[[#This Row],[Last Week]]</f>
        <v>-0.14147909967845659</v>
      </c>
      <c r="E4" s="1">
        <v>2361</v>
      </c>
      <c r="F4" s="1">
        <v>35074</v>
      </c>
      <c r="G4" s="1">
        <v>135266</v>
      </c>
      <c r="H4" s="1">
        <v>24531221</v>
      </c>
    </row>
    <row r="5" spans="1:8" x14ac:dyDescent="0.2">
      <c r="A5" s="8" t="s">
        <v>15</v>
      </c>
      <c r="B5" s="1">
        <v>35</v>
      </c>
      <c r="C5" s="1">
        <v>44</v>
      </c>
      <c r="D5" s="43">
        <f>(Table55456791564708453758187127[[#This Row],[This Week]]-Table55456791564708453758187127[[#This Row],[Last Week]])/Table55456791564708453758187127[[#This Row],[Last Week]]</f>
        <v>-0.20454545454545456</v>
      </c>
      <c r="E5" s="1">
        <v>50</v>
      </c>
      <c r="F5" s="1">
        <v>2764</v>
      </c>
      <c r="G5" s="1">
        <v>3983</v>
      </c>
      <c r="H5" s="1">
        <v>114010</v>
      </c>
    </row>
    <row r="6" spans="1:8" x14ac:dyDescent="0.2">
      <c r="A6" s="31" t="s">
        <v>16</v>
      </c>
      <c r="B6" s="32">
        <f>SUM(B2:B5)</f>
        <v>101140</v>
      </c>
      <c r="C6" s="32">
        <f>SUM(C2:C5)</f>
        <v>57785</v>
      </c>
      <c r="D6" s="46">
        <f>(Table55456791564708453758187127[[#This Row],[This Week]]-Table55456791564708453758187127[[#This Row],[Last Week]])/Table55456791564708453758187127[[#This Row],[Last Week]]</f>
        <v>0.75028121484814403</v>
      </c>
      <c r="E6" s="32">
        <f>SUM(E2:E5)+179</f>
        <v>69354</v>
      </c>
      <c r="F6" s="32">
        <f>SUM(F2:F5)</f>
        <v>3297644</v>
      </c>
      <c r="G6" s="32">
        <f>SUM(G2:G5)+36093</f>
        <v>2459975</v>
      </c>
      <c r="H6" s="32">
        <f>SUM(H2:H5)</f>
        <v>48036711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72283</v>
      </c>
      <c r="C9" s="1">
        <v>38428</v>
      </c>
      <c r="D9" s="43">
        <f>(Table5155578101665718558768288128[[#This Row],[This Week]]-Table5155578101665718558768288128[[#This Row],[Last Week]])/Table5155578101665718558768288128[[#This Row],[Last Week]]</f>
        <v>0.88099823045695846</v>
      </c>
      <c r="E9" s="1">
        <v>55823</v>
      </c>
      <c r="F9" s="1">
        <v>1470303</v>
      </c>
      <c r="G9" s="1">
        <v>1615184</v>
      </c>
      <c r="H9" s="1">
        <v>11808351</v>
      </c>
    </row>
    <row r="10" spans="1:8" x14ac:dyDescent="0.2">
      <c r="A10" s="44" t="s">
        <v>18</v>
      </c>
      <c r="B10" s="1">
        <v>24596</v>
      </c>
      <c r="C10" s="1">
        <v>13822</v>
      </c>
      <c r="D10" s="43">
        <f>(Table5155578101665718558768288128[[#This Row],[This Week]]-Table5155578101665718558768288128[[#This Row],[Last Week]])/Table5155578101665718558768288128[[#This Row],[Last Week]]</f>
        <v>0.77948198524092027</v>
      </c>
      <c r="E10" s="1" t="s">
        <v>17</v>
      </c>
      <c r="F10" s="1">
        <v>1345708</v>
      </c>
      <c r="G10" s="1" t="s">
        <v>17</v>
      </c>
      <c r="H10" s="1">
        <v>2391091</v>
      </c>
    </row>
    <row r="11" spans="1:8" x14ac:dyDescent="0.2">
      <c r="A11" s="54" t="s">
        <v>21</v>
      </c>
      <c r="B11" s="1">
        <v>1721</v>
      </c>
      <c r="C11" s="1">
        <v>2035</v>
      </c>
      <c r="D11" s="43">
        <f>(Table5155578101665718558768288128[[#This Row],[This Week]]-Table5155578101665718558768288128[[#This Row],[Last Week]])/Table5155578101665718558768288128[[#This Row],[Last Week]]</f>
        <v>-0.15429975429975429</v>
      </c>
      <c r="E11" s="1">
        <v>4173</v>
      </c>
      <c r="F11" s="1">
        <v>171318</v>
      </c>
      <c r="G11" s="1">
        <v>241073</v>
      </c>
      <c r="H11" s="1">
        <v>1566288</v>
      </c>
    </row>
    <row r="12" spans="1:8" x14ac:dyDescent="0.2">
      <c r="A12" s="22" t="s">
        <v>13</v>
      </c>
      <c r="B12" s="1">
        <v>1704</v>
      </c>
      <c r="C12" s="1">
        <v>2523</v>
      </c>
      <c r="D12" s="43">
        <f>(Table5155578101665718558768288128[[#This Row],[This Week]]-Table5155578101665718558768288128[[#This Row],[Last Week]])/Table5155578101665718558768288128[[#This Row],[Last Week]]</f>
        <v>-0.32461355529131986</v>
      </c>
      <c r="E12" s="1">
        <v>6768</v>
      </c>
      <c r="F12" s="1">
        <v>272477</v>
      </c>
      <c r="G12" s="1">
        <v>428376</v>
      </c>
      <c r="H12" s="1">
        <v>7625750</v>
      </c>
    </row>
    <row r="13" spans="1:8" x14ac:dyDescent="0.2">
      <c r="A13" s="18" t="s">
        <v>22</v>
      </c>
      <c r="B13" s="1">
        <v>732</v>
      </c>
      <c r="C13" s="1">
        <v>856</v>
      </c>
      <c r="D13" s="43">
        <f>(Table5155578101665718558768288128[[#This Row],[This Week]]-Table5155578101665718558768288128[[#This Row],[Last Week]])/Table5155578101665718558768288128[[#This Row],[Last Week]]</f>
        <v>-0.14485981308411214</v>
      </c>
      <c r="E13" s="1">
        <v>1974</v>
      </c>
      <c r="F13" s="1">
        <v>32922</v>
      </c>
      <c r="G13" s="1">
        <v>108337</v>
      </c>
      <c r="H13" s="1">
        <v>1137168</v>
      </c>
    </row>
    <row r="14" spans="1:8" x14ac:dyDescent="0.2">
      <c r="A14" s="26" t="s">
        <v>23</v>
      </c>
      <c r="B14" s="1">
        <v>69</v>
      </c>
      <c r="C14" s="1">
        <v>77</v>
      </c>
      <c r="D14" s="43">
        <f>(Table5155578101665718558768288128[[#This Row],[This Week]]-Table5155578101665718558768288128[[#This Row],[Last Week]])/Table5155578101665718558768288128[[#This Row],[Last Week]]</f>
        <v>-0.1038961038961039</v>
      </c>
      <c r="E14" s="1">
        <v>387</v>
      </c>
      <c r="F14" s="1">
        <v>2152</v>
      </c>
      <c r="G14" s="1">
        <v>25838</v>
      </c>
      <c r="H14" s="1">
        <v>5888067</v>
      </c>
    </row>
    <row r="15" spans="1:8" x14ac:dyDescent="0.2">
      <c r="A15" s="61" t="s">
        <v>20</v>
      </c>
      <c r="B15" s="1">
        <v>22</v>
      </c>
      <c r="C15" s="1">
        <v>18</v>
      </c>
      <c r="D15" s="43">
        <f>(Table5155578101665718558768288128[[#This Row],[This Week]]-Table5155578101665718558768288128[[#This Row],[Last Week]])/Table5155578101665718558768288128[[#This Row],[Last Week]]</f>
        <v>0.22222222222222221</v>
      </c>
      <c r="E15" s="1">
        <v>18</v>
      </c>
      <c r="F15" s="1">
        <v>797</v>
      </c>
      <c r="G15" s="1">
        <v>1240</v>
      </c>
      <c r="H15" s="1">
        <v>21399</v>
      </c>
    </row>
    <row r="16" spans="1:8" x14ac:dyDescent="0.2">
      <c r="A16" s="42" t="s">
        <v>19</v>
      </c>
      <c r="B16" s="1">
        <v>13</v>
      </c>
      <c r="C16" s="1">
        <v>26</v>
      </c>
      <c r="D16" s="43">
        <f>(Table5155578101665718558768288128[[#This Row],[This Week]]-Table5155578101665718558768288128[[#This Row],[Last Week]])/Table5155578101665718558768288128[[#This Row],[Last Week]]</f>
        <v>-0.5</v>
      </c>
      <c r="E16" s="1">
        <v>32</v>
      </c>
      <c r="F16" s="1">
        <v>1967</v>
      </c>
      <c r="G16" s="1">
        <v>2743</v>
      </c>
      <c r="H16" s="1">
        <v>20609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F4B543BC-6C97-754F-BF20-379F88D752B0}"/>
    <hyperlink ref="A21" r:id="rId2" xr:uid="{B8FCB3C3-5599-B94A-9A21-A2028866A2EF}"/>
    <hyperlink ref="A20" r:id="rId3" xr:uid="{C7FD86B1-F635-584D-93A8-79CD2AE28194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365F2-4E32-274A-B345-879295B7CA7B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113197</v>
      </c>
      <c r="C2" s="1">
        <v>96879</v>
      </c>
      <c r="D2" s="43">
        <f>(Table55456791564708453758187131[[#This Row],[This Week]]-Table55456791564708453758187131[[#This Row],[Last Week]])/Table55456791564708453758187131[[#This Row],[Last Week]]</f>
        <v>0.16843691615313949</v>
      </c>
      <c r="E2" s="1">
        <v>45596</v>
      </c>
      <c r="F2" s="1">
        <v>2929208</v>
      </c>
      <c r="G2" s="1">
        <v>1660780</v>
      </c>
      <c r="H2" s="1">
        <f>H9+H10</f>
        <v>14312639</v>
      </c>
    </row>
    <row r="3" spans="1:8" x14ac:dyDescent="0.2">
      <c r="A3" s="10" t="s">
        <v>13</v>
      </c>
      <c r="B3" s="1">
        <v>4523</v>
      </c>
      <c r="C3" s="1">
        <v>3425</v>
      </c>
      <c r="D3" s="43">
        <f>(Table55456791564708453758187131[[#This Row],[This Week]]-Table55456791564708453758187131[[#This Row],[Last Week]])/Table55456791564708453758187131[[#This Row],[Last Week]]</f>
        <v>0.32058394160583942</v>
      </c>
      <c r="E3" s="1">
        <v>13484</v>
      </c>
      <c r="F3" s="1">
        <v>448318</v>
      </c>
      <c r="G3" s="1">
        <v>682933</v>
      </c>
      <c r="H3" s="1">
        <f>H11+H12</f>
        <v>9196561</v>
      </c>
    </row>
    <row r="4" spans="1:8" x14ac:dyDescent="0.2">
      <c r="A4" s="10" t="s">
        <v>14</v>
      </c>
      <c r="B4" s="1">
        <v>903</v>
      </c>
      <c r="C4" s="1">
        <v>801</v>
      </c>
      <c r="D4" s="43">
        <f>(Table55456791564708453758187131[[#This Row],[This Week]]-Table55456791564708453758187131[[#This Row],[Last Week]])/Table55456791564708453758187131[[#This Row],[Last Week]]</f>
        <v>0.12734082397003746</v>
      </c>
      <c r="E4" s="1">
        <v>2517</v>
      </c>
      <c r="F4" s="1">
        <v>35977</v>
      </c>
      <c r="G4" s="1">
        <v>137783</v>
      </c>
      <c r="H4" s="1">
        <v>24532124</v>
      </c>
    </row>
    <row r="5" spans="1:8" x14ac:dyDescent="0.2">
      <c r="A5" s="8" t="s">
        <v>15</v>
      </c>
      <c r="B5" s="1">
        <v>31</v>
      </c>
      <c r="C5" s="1">
        <v>35</v>
      </c>
      <c r="D5" s="43">
        <f>(Table55456791564708453758187131[[#This Row],[This Week]]-Table55456791564708453758187131[[#This Row],[Last Week]])/Table55456791564708453758187131[[#This Row],[Last Week]]</f>
        <v>-0.11428571428571428</v>
      </c>
      <c r="E5" s="1">
        <v>121</v>
      </c>
      <c r="F5" s="1">
        <v>2795</v>
      </c>
      <c r="G5" s="1">
        <v>4104</v>
      </c>
      <c r="H5" s="1">
        <v>114041</v>
      </c>
    </row>
    <row r="6" spans="1:8" x14ac:dyDescent="0.2">
      <c r="A6" s="31" t="s">
        <v>16</v>
      </c>
      <c r="B6" s="32">
        <f>SUM(B2:B5)</f>
        <v>118654</v>
      </c>
      <c r="C6" s="32">
        <f>SUM(C2:C5)</f>
        <v>101140</v>
      </c>
      <c r="D6" s="46">
        <f>(Table55456791564708453758187131[[#This Row],[This Week]]-Table55456791564708453758187131[[#This Row],[Last Week]])/Table55456791564708453758187131[[#This Row],[Last Week]]</f>
        <v>0.17316590864148704</v>
      </c>
      <c r="E6" s="32">
        <f>SUM(E2:E5)+315</f>
        <v>62033</v>
      </c>
      <c r="F6" s="32">
        <f>SUM(F2:F5)</f>
        <v>3416298</v>
      </c>
      <c r="G6" s="32">
        <f>SUM(G2:G5)+36408</f>
        <v>2522008</v>
      </c>
      <c r="H6" s="32">
        <f>SUM(H2:H5)</f>
        <v>48155365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95764</v>
      </c>
      <c r="C9" s="1">
        <v>72283</v>
      </c>
      <c r="D9" s="43">
        <f>(Table5155578101665718558768288132[[#This Row],[This Week]]-Table5155578101665718558768288132[[#This Row],[Last Week]])/Table5155578101665718558768288132[[#This Row],[Last Week]]</f>
        <v>0.32484816623549106</v>
      </c>
      <c r="E9" s="1">
        <v>45596</v>
      </c>
      <c r="F9" s="1">
        <v>1566067</v>
      </c>
      <c r="G9" s="1">
        <v>1660780</v>
      </c>
      <c r="H9" s="1">
        <v>11904115</v>
      </c>
    </row>
    <row r="10" spans="1:8" x14ac:dyDescent="0.2">
      <c r="A10" s="44" t="s">
        <v>18</v>
      </c>
      <c r="B10" s="1">
        <v>17433</v>
      </c>
      <c r="C10" s="1">
        <v>24596</v>
      </c>
      <c r="D10" s="43">
        <f>(Table5155578101665718558768288132[[#This Row],[This Week]]-Table5155578101665718558768288132[[#This Row],[Last Week]])/Table5155578101665718558768288132[[#This Row],[Last Week]]</f>
        <v>-0.29122621564482032</v>
      </c>
      <c r="E10" s="1" t="s">
        <v>17</v>
      </c>
      <c r="F10" s="1">
        <v>1363141</v>
      </c>
      <c r="G10" s="1" t="s">
        <v>17</v>
      </c>
      <c r="H10" s="1">
        <v>2408524</v>
      </c>
    </row>
    <row r="11" spans="1:8" x14ac:dyDescent="0.2">
      <c r="A11" s="44" t="s">
        <v>13</v>
      </c>
      <c r="B11" s="1">
        <v>3053</v>
      </c>
      <c r="C11" s="1">
        <v>1704</v>
      </c>
      <c r="D11" s="43">
        <f>(Table5155578101665718558768288132[[#This Row],[This Week]]-Table5155578101665718558768288132[[#This Row],[Last Week]])/Table5155578101665718558768288132[[#This Row],[Last Week]]</f>
        <v>0.79166666666666663</v>
      </c>
      <c r="E11" s="1">
        <v>8814</v>
      </c>
      <c r="F11" s="1">
        <v>275530</v>
      </c>
      <c r="G11" s="1">
        <v>437190</v>
      </c>
      <c r="H11" s="1">
        <v>7628803</v>
      </c>
    </row>
    <row r="12" spans="1:8" x14ac:dyDescent="0.2">
      <c r="A12" s="44" t="s">
        <v>21</v>
      </c>
      <c r="B12" s="1">
        <v>1470</v>
      </c>
      <c r="C12" s="1">
        <v>1721</v>
      </c>
      <c r="D12" s="43">
        <f>(Table5155578101665718558768288132[[#This Row],[This Week]]-Table5155578101665718558768288132[[#This Row],[Last Week]])/Table5155578101665718558768288132[[#This Row],[Last Week]]</f>
        <v>-0.14584543869843114</v>
      </c>
      <c r="E12" s="1">
        <v>4670</v>
      </c>
      <c r="F12" s="1">
        <v>172788</v>
      </c>
      <c r="G12" s="1">
        <v>245743</v>
      </c>
      <c r="H12" s="1">
        <v>1567758</v>
      </c>
    </row>
    <row r="13" spans="1:8" x14ac:dyDescent="0.2">
      <c r="A13" s="18" t="s">
        <v>22</v>
      </c>
      <c r="B13" s="1">
        <v>827</v>
      </c>
      <c r="C13" s="1">
        <v>732</v>
      </c>
      <c r="D13" s="43">
        <f>(Table5155578101665718558768288132[[#This Row],[This Week]]-Table5155578101665718558768288132[[#This Row],[Last Week]])/Table5155578101665718558768288132[[#This Row],[Last Week]]</f>
        <v>0.12978142076502733</v>
      </c>
      <c r="E13" s="1">
        <v>2109</v>
      </c>
      <c r="F13" s="1">
        <v>33749</v>
      </c>
      <c r="G13" s="1">
        <v>110446</v>
      </c>
      <c r="H13" s="1">
        <v>1137995</v>
      </c>
    </row>
    <row r="14" spans="1:8" x14ac:dyDescent="0.2">
      <c r="A14" s="26" t="s">
        <v>23</v>
      </c>
      <c r="B14" s="1">
        <v>76</v>
      </c>
      <c r="C14" s="1">
        <v>69</v>
      </c>
      <c r="D14" s="43">
        <f>(Table5155578101665718558768288132[[#This Row],[This Week]]-Table5155578101665718558768288132[[#This Row],[Last Week]])/Table5155578101665718558768288132[[#This Row],[Last Week]]</f>
        <v>0.10144927536231885</v>
      </c>
      <c r="E14" s="1">
        <v>408</v>
      </c>
      <c r="F14" s="1">
        <v>2228</v>
      </c>
      <c r="G14" s="1">
        <v>26246</v>
      </c>
      <c r="H14" s="1">
        <v>5888143</v>
      </c>
    </row>
    <row r="15" spans="1:8" x14ac:dyDescent="0.2">
      <c r="A15" s="38" t="s">
        <v>19</v>
      </c>
      <c r="B15" s="1">
        <v>19</v>
      </c>
      <c r="C15" s="1">
        <v>13</v>
      </c>
      <c r="D15" s="43">
        <f>(Table5155578101665718558768288132[[#This Row],[This Week]]-Table5155578101665718558768288132[[#This Row],[Last Week]])/Table5155578101665718558768288132[[#This Row],[Last Week]]</f>
        <v>0.46153846153846156</v>
      </c>
      <c r="E15" s="1">
        <v>58</v>
      </c>
      <c r="F15" s="1">
        <v>1986</v>
      </c>
      <c r="G15" s="1">
        <v>2801</v>
      </c>
      <c r="H15" s="1">
        <v>20628</v>
      </c>
    </row>
    <row r="16" spans="1:8" x14ac:dyDescent="0.2">
      <c r="A16" s="53" t="s">
        <v>20</v>
      </c>
      <c r="B16" s="1">
        <v>12</v>
      </c>
      <c r="C16" s="1">
        <v>22</v>
      </c>
      <c r="D16" s="43">
        <f>(Table5155578101665718558768288132[[#This Row],[This Week]]-Table5155578101665718558768288132[[#This Row],[Last Week]])/Table5155578101665718558768288132[[#This Row],[Last Week]]</f>
        <v>-0.45454545454545453</v>
      </c>
      <c r="E16" s="1">
        <v>63</v>
      </c>
      <c r="F16" s="1">
        <v>809</v>
      </c>
      <c r="G16" s="1">
        <v>1303</v>
      </c>
      <c r="H16" s="1">
        <v>21411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99E17905-31DC-A843-9433-53FF475A9A6B}"/>
    <hyperlink ref="A21" r:id="rId2" xr:uid="{004F8635-55D7-F24E-A220-DB851B7F48CA}"/>
    <hyperlink ref="A20" r:id="rId3" xr:uid="{3C3B406A-9BE9-594C-8D3D-E18F02C9F113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70C4-2B18-0D4D-BFD1-AFAF856590D3}">
  <dimension ref="A1:H41"/>
  <sheetViews>
    <sheetView workbookViewId="0">
      <selection activeCell="H1" sqref="H1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style="1" bestFit="1" customWidth="1"/>
    <col min="6" max="6" width="11.1640625" style="1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96458</v>
      </c>
      <c r="C2" s="1">
        <v>116301</v>
      </c>
      <c r="D2" s="16">
        <f t="shared" ref="D2:D6" si="0">(B2-C2)/C2</f>
        <v>-0.17061762151658197</v>
      </c>
      <c r="E2" s="1">
        <v>71672</v>
      </c>
      <c r="F2" s="1">
        <v>497586</v>
      </c>
      <c r="G2" s="1">
        <v>380506</v>
      </c>
      <c r="H2" s="1">
        <f>H9+H10</f>
        <v>11881017</v>
      </c>
    </row>
    <row r="3" spans="1:8" x14ac:dyDescent="0.2">
      <c r="A3" s="10" t="s">
        <v>13</v>
      </c>
      <c r="B3" s="1">
        <v>6325</v>
      </c>
      <c r="C3" s="1">
        <v>7359</v>
      </c>
      <c r="D3" s="16">
        <f t="shared" si="0"/>
        <v>-0.14050822122571002</v>
      </c>
      <c r="E3" s="1">
        <v>19365</v>
      </c>
      <c r="F3" s="1">
        <v>71928</v>
      </c>
      <c r="G3" s="1">
        <v>169119</v>
      </c>
      <c r="H3" s="1">
        <f>H11+H12</f>
        <v>8820171</v>
      </c>
    </row>
    <row r="4" spans="1:8" x14ac:dyDescent="0.2">
      <c r="A4" s="10" t="s">
        <v>14</v>
      </c>
      <c r="B4" s="1">
        <v>766</v>
      </c>
      <c r="C4" s="1">
        <v>943</v>
      </c>
      <c r="D4" s="16">
        <f t="shared" si="0"/>
        <v>-0.18769883351007424</v>
      </c>
      <c r="E4" s="1">
        <v>4939</v>
      </c>
      <c r="F4" s="1">
        <v>5739</v>
      </c>
      <c r="G4" s="1">
        <v>39401</v>
      </c>
      <c r="H4" s="1">
        <v>24502053</v>
      </c>
    </row>
    <row r="5" spans="1:8" x14ac:dyDescent="0.2">
      <c r="A5" s="8" t="s">
        <v>15</v>
      </c>
      <c r="B5" s="1">
        <v>74</v>
      </c>
      <c r="C5" s="1">
        <v>133</v>
      </c>
      <c r="D5" s="16">
        <f t="shared" si="0"/>
        <v>-0.44360902255639095</v>
      </c>
      <c r="E5" s="1">
        <v>166</v>
      </c>
      <c r="F5" s="1">
        <v>319</v>
      </c>
      <c r="G5" s="1">
        <v>603</v>
      </c>
      <c r="H5" s="1">
        <v>111563</v>
      </c>
    </row>
    <row r="6" spans="1:8" x14ac:dyDescent="0.2">
      <c r="A6" s="31" t="s">
        <v>16</v>
      </c>
      <c r="B6" s="32">
        <f>SUM(B2:B5)</f>
        <v>103623</v>
      </c>
      <c r="C6" s="32">
        <f>SUM(C2:C5)</f>
        <v>124736</v>
      </c>
      <c r="D6" s="33">
        <f t="shared" si="0"/>
        <v>-0.16926148024628015</v>
      </c>
      <c r="E6" s="32">
        <f>SUM(E2:E5)+1853</f>
        <v>97995</v>
      </c>
      <c r="F6" s="32">
        <f t="shared" ref="F6:H6" si="1">SUM(F2:F5)</f>
        <v>575572</v>
      </c>
      <c r="G6" s="32">
        <f>SUM(G2:G5)+7131</f>
        <v>596760</v>
      </c>
      <c r="H6" s="32">
        <f t="shared" si="1"/>
        <v>45314804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62920</v>
      </c>
      <c r="C9" s="1">
        <v>75348</v>
      </c>
      <c r="D9" s="43">
        <f>(Table515557[[#This Row],[This Week]]-Table515557[[#This Row],[Last Week]])/Table515557[[#This Row],[Last Week]]</f>
        <v>-0.16494133885438234</v>
      </c>
      <c r="E9" s="1">
        <v>71672</v>
      </c>
      <c r="F9" s="1">
        <v>315696</v>
      </c>
      <c r="G9" s="1">
        <v>380506</v>
      </c>
      <c r="H9" s="1">
        <v>10653744</v>
      </c>
    </row>
    <row r="10" spans="1:8" x14ac:dyDescent="0.2">
      <c r="A10" s="44" t="s">
        <v>18</v>
      </c>
      <c r="B10" s="1">
        <v>33538</v>
      </c>
      <c r="C10" s="1">
        <v>40953</v>
      </c>
      <c r="D10" s="43">
        <f>(Table515557[[#This Row],[This Week]]-Table515557[[#This Row],[Last Week]])/Table515557[[#This Row],[Last Week]]</f>
        <v>-0.18106121651649451</v>
      </c>
      <c r="E10" s="36"/>
      <c r="F10" s="1">
        <v>181890</v>
      </c>
      <c r="G10" s="1" t="s">
        <v>17</v>
      </c>
      <c r="H10" s="1">
        <v>1227273</v>
      </c>
    </row>
    <row r="11" spans="1:8" x14ac:dyDescent="0.2">
      <c r="A11" s="42" t="s">
        <v>21</v>
      </c>
      <c r="B11" s="1">
        <v>4178</v>
      </c>
      <c r="C11" s="1">
        <v>2912</v>
      </c>
      <c r="D11" s="43">
        <f>(Table515557[[#This Row],[This Week]]-Table515557[[#This Row],[Last Week]])/Table515557[[#This Row],[Last Week]]</f>
        <v>0.43475274725274726</v>
      </c>
      <c r="E11" s="1">
        <v>8295</v>
      </c>
      <c r="F11" s="1">
        <v>37949</v>
      </c>
      <c r="G11" s="1">
        <v>47474</v>
      </c>
      <c r="H11" s="1">
        <v>1432919</v>
      </c>
    </row>
    <row r="12" spans="1:8" x14ac:dyDescent="0.2">
      <c r="A12" s="42" t="s">
        <v>13</v>
      </c>
      <c r="B12" s="1">
        <v>2147</v>
      </c>
      <c r="C12" s="1">
        <v>4447</v>
      </c>
      <c r="D12" s="43">
        <f>(Table515557[[#This Row],[This Week]]-Table515557[[#This Row],[Last Week]])/Table515557[[#This Row],[Last Week]]</f>
        <v>-0.51720260850011246</v>
      </c>
      <c r="E12" s="1">
        <v>11070</v>
      </c>
      <c r="F12" s="1">
        <v>33979</v>
      </c>
      <c r="G12" s="1">
        <v>121645</v>
      </c>
      <c r="H12" s="1">
        <v>7387252</v>
      </c>
    </row>
    <row r="13" spans="1:8" x14ac:dyDescent="0.2">
      <c r="A13" s="42" t="s">
        <v>22</v>
      </c>
      <c r="B13" s="1">
        <v>692</v>
      </c>
      <c r="C13" s="1">
        <v>858</v>
      </c>
      <c r="D13" s="43">
        <f>(Table515557[[#This Row],[This Week]]-Table515557[[#This Row],[Last Week]])/Table515557[[#This Row],[Last Week]]</f>
        <v>-0.19347319347319347</v>
      </c>
      <c r="E13" s="1">
        <v>3048</v>
      </c>
      <c r="F13" s="1">
        <v>5483</v>
      </c>
      <c r="G13" s="1">
        <v>31665</v>
      </c>
      <c r="H13" s="1">
        <v>1109896</v>
      </c>
    </row>
    <row r="14" spans="1:8" x14ac:dyDescent="0.2">
      <c r="A14" s="42" t="s">
        <v>23</v>
      </c>
      <c r="B14" s="38">
        <v>74</v>
      </c>
      <c r="C14" s="1">
        <v>85</v>
      </c>
      <c r="D14" s="43">
        <f>(Table515557[[#This Row],[This Week]]-Table515557[[#This Row],[Last Week]])/Table515557[[#This Row],[Last Week]]</f>
        <v>-0.12941176470588237</v>
      </c>
      <c r="E14" s="1">
        <v>1727</v>
      </c>
      <c r="F14" s="1">
        <v>256</v>
      </c>
      <c r="G14" s="1">
        <v>6933</v>
      </c>
      <c r="H14" s="1">
        <v>5886171</v>
      </c>
    </row>
    <row r="15" spans="1:8" x14ac:dyDescent="0.2">
      <c r="A15" s="42" t="s">
        <v>19</v>
      </c>
      <c r="B15" s="1">
        <v>41</v>
      </c>
      <c r="C15" s="1">
        <v>102</v>
      </c>
      <c r="D15" s="43">
        <f>(Table515557[[#This Row],[This Week]]-Table515557[[#This Row],[Last Week]])/Table515557[[#This Row],[Last Week]]</f>
        <v>-0.59803921568627449</v>
      </c>
      <c r="E15" s="1">
        <v>136</v>
      </c>
      <c r="F15" s="1">
        <v>201</v>
      </c>
      <c r="G15" s="1">
        <v>453</v>
      </c>
      <c r="H15" s="1">
        <v>18843</v>
      </c>
    </row>
    <row r="16" spans="1:8" x14ac:dyDescent="0.2">
      <c r="A16" s="45" t="s">
        <v>20</v>
      </c>
      <c r="B16" s="1">
        <v>33</v>
      </c>
      <c r="C16" s="1">
        <v>31</v>
      </c>
      <c r="D16" s="43">
        <f>(Table515557[[#This Row],[This Week]]-Table515557[[#This Row],[Last Week]])/Table515557[[#This Row],[Last Week]]</f>
        <v>6.4516129032258063E-2</v>
      </c>
      <c r="E16" s="1">
        <v>30</v>
      </c>
      <c r="F16" s="1">
        <v>118</v>
      </c>
      <c r="G16" s="1">
        <v>150</v>
      </c>
      <c r="H16" s="1">
        <v>20720</v>
      </c>
    </row>
    <row r="17" spans="1:8" x14ac:dyDescent="0.2">
      <c r="A17" s="17"/>
      <c r="B17" s="17"/>
      <c r="C17" s="37"/>
      <c r="D17" s="13"/>
      <c r="E17" s="38"/>
      <c r="F17" s="38"/>
      <c r="G17" s="37"/>
      <c r="H17" s="39"/>
    </row>
    <row r="18" spans="1:8" x14ac:dyDescent="0.2">
      <c r="A18" s="17"/>
      <c r="B18" s="17"/>
      <c r="C18" s="37"/>
      <c r="D18" s="13"/>
      <c r="E18" s="38"/>
      <c r="F18" s="38"/>
      <c r="G18" s="37"/>
      <c r="H18" s="39"/>
    </row>
    <row r="19" spans="1:8" x14ac:dyDescent="0.2">
      <c r="A19" t="s">
        <v>4</v>
      </c>
      <c r="B19" s="17"/>
      <c r="C19" s="37"/>
      <c r="D19" s="13"/>
      <c r="E19" s="38"/>
      <c r="F19" s="38"/>
      <c r="G19" s="37"/>
      <c r="H19" s="39"/>
    </row>
    <row r="20" spans="1:8" x14ac:dyDescent="0.2">
      <c r="A20" s="4" t="s">
        <v>5</v>
      </c>
      <c r="B20" s="17"/>
      <c r="C20" s="37"/>
      <c r="D20" s="13"/>
      <c r="E20" s="38"/>
      <c r="F20" s="38"/>
      <c r="G20" s="37"/>
      <c r="H20" s="39"/>
    </row>
    <row r="21" spans="1:8" x14ac:dyDescent="0.2">
      <c r="A21" s="4" t="s">
        <v>3</v>
      </c>
      <c r="B21" s="17"/>
      <c r="C21" s="37"/>
      <c r="D21" s="13"/>
      <c r="E21" s="38"/>
      <c r="F21" s="38"/>
      <c r="G21" s="37"/>
      <c r="H21" s="39"/>
    </row>
    <row r="22" spans="1:8" x14ac:dyDescent="0.2">
      <c r="A22" s="4" t="s">
        <v>6</v>
      </c>
      <c r="B22" s="17"/>
      <c r="C22" s="37"/>
      <c r="D22" s="13"/>
      <c r="E22" s="38"/>
      <c r="F22" s="38"/>
      <c r="G22" s="37"/>
      <c r="H22" s="39"/>
    </row>
    <row r="23" spans="1:8" x14ac:dyDescent="0.2">
      <c r="A23" s="17"/>
      <c r="B23" s="37"/>
      <c r="C23" s="37"/>
      <c r="D23" s="13"/>
      <c r="E23" s="38"/>
      <c r="F23" s="38"/>
      <c r="G23" s="37"/>
      <c r="H23" s="39"/>
    </row>
    <row r="24" spans="1:8" x14ac:dyDescent="0.2">
      <c r="A24" s="17"/>
      <c r="B24" s="17"/>
      <c r="C24" s="37"/>
      <c r="D24" s="37"/>
      <c r="E24" s="38"/>
      <c r="F24" s="38"/>
      <c r="G24" s="37"/>
      <c r="H24" s="39"/>
    </row>
    <row r="25" spans="1:8" x14ac:dyDescent="0.2">
      <c r="A25" s="17"/>
      <c r="B25" s="17"/>
      <c r="C25" s="37"/>
      <c r="D25" s="13"/>
      <c r="E25" s="38"/>
      <c r="F25" s="38"/>
      <c r="G25" s="37"/>
      <c r="H25" s="39"/>
    </row>
    <row r="26" spans="1:8" x14ac:dyDescent="0.2">
      <c r="A26" s="17"/>
      <c r="B26" s="17"/>
      <c r="C26" s="37"/>
      <c r="D26" s="13"/>
      <c r="E26" s="38"/>
      <c r="F26" s="38"/>
      <c r="G26" s="37"/>
      <c r="H26" s="39"/>
    </row>
    <row r="27" spans="1:8" x14ac:dyDescent="0.2">
      <c r="A27" s="17"/>
      <c r="B27" s="17"/>
      <c r="C27" s="37"/>
      <c r="D27" s="13"/>
      <c r="E27" s="38"/>
      <c r="F27" s="38"/>
      <c r="G27" s="37"/>
      <c r="H27" s="39"/>
    </row>
    <row r="28" spans="1:8" x14ac:dyDescent="0.2">
      <c r="A28" s="17"/>
      <c r="B28" s="17"/>
      <c r="C28" s="37"/>
      <c r="D28" s="13"/>
      <c r="E28" s="38"/>
      <c r="F28" s="38"/>
      <c r="G28" s="37"/>
      <c r="H28" s="39"/>
    </row>
    <row r="29" spans="1:8" x14ac:dyDescent="0.2">
      <c r="A29" s="17"/>
      <c r="B29" s="17"/>
      <c r="C29" s="37"/>
      <c r="D29" s="37"/>
      <c r="E29" s="38"/>
      <c r="F29" s="38"/>
      <c r="G29" s="37"/>
      <c r="H29" s="39"/>
    </row>
    <row r="30" spans="1:8" x14ac:dyDescent="0.2">
      <c r="A30" s="17"/>
      <c r="B30" s="17"/>
      <c r="C30" s="37"/>
      <c r="D30" s="13"/>
      <c r="E30" s="38"/>
      <c r="F30" s="38"/>
      <c r="G30" s="37"/>
      <c r="H30" s="39"/>
    </row>
    <row r="31" spans="1:8" x14ac:dyDescent="0.2">
      <c r="A31" s="17"/>
      <c r="B31" s="17"/>
      <c r="C31" s="37"/>
      <c r="D31" s="37"/>
      <c r="E31" s="38"/>
      <c r="F31" s="38"/>
      <c r="G31" s="37"/>
      <c r="H31" s="39"/>
    </row>
    <row r="32" spans="1:8" x14ac:dyDescent="0.2">
      <c r="A32" s="34"/>
      <c r="B32" s="34"/>
      <c r="C32" s="35"/>
      <c r="D32" s="35"/>
      <c r="E32" s="36"/>
      <c r="F32" s="36"/>
      <c r="G32" s="35"/>
      <c r="H32" s="35"/>
    </row>
    <row r="33" spans="1:8" x14ac:dyDescent="0.2">
      <c r="A33" s="34"/>
      <c r="B33" s="34"/>
      <c r="C33" s="35"/>
      <c r="D33" s="36"/>
      <c r="E33" s="36"/>
      <c r="F33" s="36"/>
      <c r="G33" s="35"/>
      <c r="H33" s="35"/>
    </row>
    <row r="34" spans="1:8" x14ac:dyDescent="0.2">
      <c r="A34" s="34"/>
      <c r="B34" s="34"/>
      <c r="C34" s="35"/>
      <c r="D34" s="35"/>
      <c r="E34" s="36"/>
      <c r="F34" s="36"/>
      <c r="G34" s="35"/>
      <c r="H34" s="35"/>
    </row>
    <row r="35" spans="1:8" x14ac:dyDescent="0.2">
      <c r="A35" s="34"/>
      <c r="B35" s="34"/>
      <c r="C35" s="35"/>
      <c r="D35" s="36"/>
      <c r="E35" s="36"/>
      <c r="F35" s="36"/>
      <c r="G35" s="35"/>
      <c r="H35" s="35"/>
    </row>
    <row r="36" spans="1:8" x14ac:dyDescent="0.2">
      <c r="A36" s="34"/>
      <c r="B36" s="34"/>
      <c r="C36" s="35"/>
      <c r="D36" s="40"/>
      <c r="E36" s="41"/>
      <c r="F36" s="36"/>
      <c r="G36" s="35"/>
      <c r="H36" s="35"/>
    </row>
    <row r="37" spans="1:8" x14ac:dyDescent="0.2">
      <c r="A37" s="2"/>
      <c r="B37" s="2"/>
    </row>
    <row r="38" spans="1:8" x14ac:dyDescent="0.2">
      <c r="A38" s="2"/>
      <c r="B38" s="2"/>
    </row>
    <row r="39" spans="1:8" x14ac:dyDescent="0.2">
      <c r="A39" s="2"/>
      <c r="B39" s="2"/>
      <c r="D39" s="4"/>
    </row>
    <row r="40" spans="1:8" x14ac:dyDescent="0.2">
      <c r="A40" s="2"/>
      <c r="B40" s="2"/>
      <c r="D40" s="4"/>
    </row>
    <row r="41" spans="1:8" x14ac:dyDescent="0.2">
      <c r="D41" s="4"/>
    </row>
  </sheetData>
  <hyperlinks>
    <hyperlink ref="A21" r:id="rId1" xr:uid="{15D02FED-4FB6-C747-ABE6-268E8CB9420D}"/>
    <hyperlink ref="A22" r:id="rId2" xr:uid="{7C525CA5-B1B6-4D48-B340-5A2C7D658748}"/>
    <hyperlink ref="A20" r:id="rId3" xr:uid="{39FB5748-10E5-8B42-A292-64C4520EBFDC}"/>
  </hyperlinks>
  <pageMargins left="0.7" right="0.7" top="0.75" bottom="0.75" header="0.3" footer="0.3"/>
  <ignoredErrors>
    <ignoredError sqref="G6" formula="1"/>
    <ignoredError sqref="D2:D6" calculatedColumn="1"/>
  </ignoredErrors>
  <tableParts count="2"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21E1-0843-6C47-864A-2EC21E7E2CD5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125231</v>
      </c>
      <c r="C2" s="1">
        <v>113197</v>
      </c>
      <c r="D2" s="43">
        <f>(Table55456791564708453758187135[[#This Row],[This Week]]-Table55456791564708453758187135[[#This Row],[Last Week]])/Table55456791564708453758187135[[#This Row],[Last Week]]</f>
        <v>0.10631023790383137</v>
      </c>
      <c r="E2" s="1">
        <v>42689</v>
      </c>
      <c r="F2" s="1">
        <v>3054439</v>
      </c>
      <c r="G2" s="1">
        <v>1703469</v>
      </c>
      <c r="H2" s="1">
        <f>H9+H10</f>
        <v>14437870</v>
      </c>
    </row>
    <row r="3" spans="1:8" x14ac:dyDescent="0.2">
      <c r="A3" s="10" t="s">
        <v>13</v>
      </c>
      <c r="B3" s="1">
        <v>1434</v>
      </c>
      <c r="C3" s="1">
        <v>4523</v>
      </c>
      <c r="D3" s="43">
        <f>(Table55456791564708453758187135[[#This Row],[This Week]]-Table55456791564708453758187135[[#This Row],[Last Week]])/Table55456791564708453758187135[[#This Row],[Last Week]]</f>
        <v>-0.68295379173115189</v>
      </c>
      <c r="E3" s="1">
        <v>11182</v>
      </c>
      <c r="F3" s="1">
        <v>449752</v>
      </c>
      <c r="G3" s="1">
        <v>694115</v>
      </c>
      <c r="H3" s="1">
        <f>H12+H13</f>
        <v>9197995</v>
      </c>
    </row>
    <row r="4" spans="1:8" x14ac:dyDescent="0.2">
      <c r="A4" s="10" t="s">
        <v>14</v>
      </c>
      <c r="B4" s="1">
        <v>1042</v>
      </c>
      <c r="C4" s="1">
        <v>903</v>
      </c>
      <c r="D4" s="43">
        <f>(Table55456791564708453758187135[[#This Row],[This Week]]-Table55456791564708453758187135[[#This Row],[Last Week]])/Table55456791564708453758187135[[#This Row],[Last Week]]</f>
        <v>0.15393133997785161</v>
      </c>
      <c r="E4" s="1">
        <v>2667</v>
      </c>
      <c r="F4" s="1">
        <v>37019</v>
      </c>
      <c r="G4" s="1">
        <v>140450</v>
      </c>
      <c r="H4" s="1">
        <v>24533166</v>
      </c>
    </row>
    <row r="5" spans="1:8" x14ac:dyDescent="0.2">
      <c r="A5" s="8" t="s">
        <v>15</v>
      </c>
      <c r="B5" s="1">
        <v>40</v>
      </c>
      <c r="C5" s="1">
        <v>31</v>
      </c>
      <c r="D5" s="43">
        <f>(Table55456791564708453758187135[[#This Row],[This Week]]-Table55456791564708453758187135[[#This Row],[Last Week]])/Table55456791564708453758187135[[#This Row],[Last Week]]</f>
        <v>0.29032258064516131</v>
      </c>
      <c r="E5" s="1">
        <v>51</v>
      </c>
      <c r="F5" s="1">
        <v>2835</v>
      </c>
      <c r="G5" s="1">
        <v>4155</v>
      </c>
      <c r="H5" s="1">
        <v>114081</v>
      </c>
    </row>
    <row r="6" spans="1:8" x14ac:dyDescent="0.2">
      <c r="A6" s="31" t="s">
        <v>16</v>
      </c>
      <c r="B6" s="32">
        <f>SUM(B2:B5)</f>
        <v>127747</v>
      </c>
      <c r="C6" s="32">
        <f>SUM(C2:C5)</f>
        <v>118654</v>
      </c>
      <c r="D6" s="46">
        <f>(Table55456791564708453758187135[[#This Row],[This Week]]-Table55456791564708453758187135[[#This Row],[Last Week]])/Table55456791564708453758187135[[#This Row],[Last Week]]</f>
        <v>7.6634584590489996E-2</v>
      </c>
      <c r="E6" s="32">
        <f>SUM(E2:E5)+243</f>
        <v>56832</v>
      </c>
      <c r="F6" s="32">
        <f>SUM(F2:F5)</f>
        <v>3544045</v>
      </c>
      <c r="G6" s="32">
        <f>SUM(G2:G5)+36651</f>
        <v>2578840</v>
      </c>
      <c r="H6" s="32">
        <f>SUM(H2:H5)</f>
        <v>48283112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108883</v>
      </c>
      <c r="C9" s="1">
        <v>95764</v>
      </c>
      <c r="D9" s="43">
        <f>(Table5155578101665718558768288136[[#This Row],[This Week]]-Table5155578101665718558768288136[[#This Row],[Last Week]])/Table5155578101665718558768288136[[#This Row],[Last Week]]</f>
        <v>0.13699302451860826</v>
      </c>
      <c r="E9" s="1">
        <v>42689</v>
      </c>
      <c r="F9" s="1">
        <v>1674950</v>
      </c>
      <c r="G9" s="1">
        <v>1703469</v>
      </c>
      <c r="H9" s="1">
        <v>12012998</v>
      </c>
    </row>
    <row r="10" spans="1:8" x14ac:dyDescent="0.2">
      <c r="A10" s="44" t="s">
        <v>18</v>
      </c>
      <c r="B10" s="1">
        <v>16348</v>
      </c>
      <c r="C10" s="1">
        <v>17433</v>
      </c>
      <c r="D10" s="43">
        <f>(Table5155578101665718558768288136[[#This Row],[This Week]]-Table5155578101665718558768288136[[#This Row],[Last Week]])/Table5155578101665718558768288136[[#This Row],[Last Week]]</f>
        <v>-6.2238283714793785E-2</v>
      </c>
      <c r="E10" s="1" t="s">
        <v>17</v>
      </c>
      <c r="F10" s="1">
        <v>1379489</v>
      </c>
      <c r="G10" s="1" t="s">
        <v>17</v>
      </c>
      <c r="H10" s="1">
        <v>2424872</v>
      </c>
    </row>
    <row r="11" spans="1:8" x14ac:dyDescent="0.2">
      <c r="A11" s="18" t="s">
        <v>22</v>
      </c>
      <c r="B11" s="1">
        <v>993</v>
      </c>
      <c r="C11" s="1">
        <v>827</v>
      </c>
      <c r="D11" s="43">
        <f>(Table5155578101665718558768288136[[#This Row],[This Week]]-Table5155578101665718558768288136[[#This Row],[Last Week]])/Table5155578101665718558768288136[[#This Row],[Last Week]]</f>
        <v>0.20072551390568319</v>
      </c>
      <c r="E11" s="1">
        <v>2340</v>
      </c>
      <c r="F11" s="1">
        <v>34742</v>
      </c>
      <c r="G11" s="1">
        <v>112786</v>
      </c>
      <c r="H11" s="1">
        <v>1138988</v>
      </c>
    </row>
    <row r="12" spans="1:8" x14ac:dyDescent="0.2">
      <c r="A12" s="22" t="s">
        <v>13</v>
      </c>
      <c r="B12" s="1">
        <v>833</v>
      </c>
      <c r="C12" s="1">
        <v>3053</v>
      </c>
      <c r="D12" s="43">
        <f>(Table5155578101665718558768288136[[#This Row],[This Week]]-Table5155578101665718558768288136[[#This Row],[Last Week]])/Table5155578101665718558768288136[[#This Row],[Last Week]]</f>
        <v>-0.72715361939076317</v>
      </c>
      <c r="E12" s="1">
        <v>6850</v>
      </c>
      <c r="F12" s="1">
        <v>276363</v>
      </c>
      <c r="G12" s="1">
        <v>444040</v>
      </c>
      <c r="H12" s="1">
        <v>7629636</v>
      </c>
    </row>
    <row r="13" spans="1:8" x14ac:dyDescent="0.2">
      <c r="A13" s="54" t="s">
        <v>21</v>
      </c>
      <c r="B13" s="1">
        <v>601</v>
      </c>
      <c r="C13" s="1">
        <v>1470</v>
      </c>
      <c r="D13" s="43">
        <f>(Table5155578101665718558768288136[[#This Row],[This Week]]-Table5155578101665718558768288136[[#This Row],[Last Week]])/Table5155578101665718558768288136[[#This Row],[Last Week]]</f>
        <v>-0.59115646258503396</v>
      </c>
      <c r="E13" s="1">
        <v>4332</v>
      </c>
      <c r="F13" s="1">
        <v>173389</v>
      </c>
      <c r="G13" s="1">
        <v>250075</v>
      </c>
      <c r="H13" s="1">
        <v>1568359</v>
      </c>
    </row>
    <row r="14" spans="1:8" x14ac:dyDescent="0.2">
      <c r="A14" s="26" t="s">
        <v>23</v>
      </c>
      <c r="B14" s="1">
        <v>49</v>
      </c>
      <c r="C14" s="1">
        <v>76</v>
      </c>
      <c r="D14" s="43">
        <f>(Table5155578101665718558768288136[[#This Row],[This Week]]-Table5155578101665718558768288136[[#This Row],[Last Week]])/Table5155578101665718558768288136[[#This Row],[Last Week]]</f>
        <v>-0.35526315789473684</v>
      </c>
      <c r="E14" s="1">
        <v>327</v>
      </c>
      <c r="F14" s="1">
        <v>2277</v>
      </c>
      <c r="G14" s="1">
        <v>26573</v>
      </c>
      <c r="H14" s="1">
        <v>5888192</v>
      </c>
    </row>
    <row r="15" spans="1:8" x14ac:dyDescent="0.2">
      <c r="A15" s="38" t="s">
        <v>19</v>
      </c>
      <c r="B15" s="1">
        <v>23</v>
      </c>
      <c r="C15" s="1">
        <v>19</v>
      </c>
      <c r="D15" s="43">
        <f>(Table5155578101665718558768288136[[#This Row],[This Week]]-Table5155578101665718558768288136[[#This Row],[Last Week]])/Table5155578101665718558768288136[[#This Row],[Last Week]]</f>
        <v>0.21052631578947367</v>
      </c>
      <c r="E15" s="1">
        <v>34</v>
      </c>
      <c r="F15" s="1">
        <v>2009</v>
      </c>
      <c r="G15" s="1">
        <v>2835</v>
      </c>
      <c r="H15" s="1">
        <v>20651</v>
      </c>
    </row>
    <row r="16" spans="1:8" x14ac:dyDescent="0.2">
      <c r="A16" s="53" t="s">
        <v>20</v>
      </c>
      <c r="B16" s="1">
        <v>17</v>
      </c>
      <c r="C16" s="1">
        <v>12</v>
      </c>
      <c r="D16" s="43">
        <f>(Table5155578101665718558768288136[[#This Row],[This Week]]-Table5155578101665718558768288136[[#This Row],[Last Week]])/Table5155578101665718558768288136[[#This Row],[Last Week]]</f>
        <v>0.41666666666666669</v>
      </c>
      <c r="E16" s="1">
        <v>17</v>
      </c>
      <c r="F16" s="1">
        <v>826</v>
      </c>
      <c r="G16" s="1">
        <v>1320</v>
      </c>
      <c r="H16" s="1">
        <v>21428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67F6C845-B6E3-2741-8363-1584896938EE}"/>
    <hyperlink ref="A21" r:id="rId2" xr:uid="{2FE9DF1C-FA25-6C40-BA0A-909E1E8D047E}"/>
    <hyperlink ref="A20" r:id="rId3" xr:uid="{9C8A5A75-BD6C-5F49-B600-E6D60F596DD2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9BC2-F60F-4A44-A37D-75CE4E6BB54E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86605</v>
      </c>
      <c r="C2" s="1">
        <v>125231</v>
      </c>
      <c r="D2" s="43">
        <f>(Table55456791564708453758187139[[#This Row],[This Week]]-Table55456791564708453758187139[[#This Row],[Last Week]])/Table55456791564708453758187139[[#This Row],[Last Week]]</f>
        <v>-0.30843800656386999</v>
      </c>
      <c r="E2" s="1">
        <v>36613</v>
      </c>
      <c r="F2" s="1">
        <v>3141044</v>
      </c>
      <c r="G2" s="1">
        <v>1740082</v>
      </c>
      <c r="H2" s="1">
        <f>H9+H10</f>
        <v>14524475</v>
      </c>
    </row>
    <row r="3" spans="1:8" x14ac:dyDescent="0.2">
      <c r="A3" s="10" t="s">
        <v>13</v>
      </c>
      <c r="B3" s="1">
        <v>4025</v>
      </c>
      <c r="C3" s="1">
        <v>1434</v>
      </c>
      <c r="D3" s="43">
        <f>(Table55456791564708453758187139[[#This Row],[This Week]]-Table55456791564708453758187139[[#This Row],[Last Week]])/Table55456791564708453758187139[[#This Row],[Last Week]]</f>
        <v>1.806834030683403</v>
      </c>
      <c r="E3" s="1">
        <v>10054</v>
      </c>
      <c r="F3" s="1">
        <v>453777</v>
      </c>
      <c r="G3" s="1">
        <v>704169</v>
      </c>
      <c r="H3" s="1">
        <f>H11+H12</f>
        <v>9202020</v>
      </c>
    </row>
    <row r="4" spans="1:8" x14ac:dyDescent="0.2">
      <c r="A4" s="10" t="s">
        <v>14</v>
      </c>
      <c r="B4" s="1">
        <v>776</v>
      </c>
      <c r="C4" s="1">
        <v>1042</v>
      </c>
      <c r="D4" s="43">
        <f>(Table55456791564708453758187139[[#This Row],[This Week]]-Table55456791564708453758187139[[#This Row],[Last Week]])/Table55456791564708453758187139[[#This Row],[Last Week]]</f>
        <v>-0.25527831094049902</v>
      </c>
      <c r="E4" s="1">
        <v>2610</v>
      </c>
      <c r="F4" s="1">
        <v>37795</v>
      </c>
      <c r="G4" s="1">
        <v>143060</v>
      </c>
      <c r="H4" s="1">
        <v>24533942</v>
      </c>
    </row>
    <row r="5" spans="1:8" x14ac:dyDescent="0.2">
      <c r="A5" s="8" t="s">
        <v>15</v>
      </c>
      <c r="B5" s="1">
        <v>41</v>
      </c>
      <c r="C5" s="1">
        <v>40</v>
      </c>
      <c r="D5" s="43">
        <f>(Table55456791564708453758187139[[#This Row],[This Week]]-Table55456791564708453758187139[[#This Row],[Last Week]])/Table55456791564708453758187139[[#This Row],[Last Week]]</f>
        <v>2.5000000000000001E-2</v>
      </c>
      <c r="E5" s="1">
        <v>48</v>
      </c>
      <c r="F5" s="1">
        <v>2876</v>
      </c>
      <c r="G5" s="1">
        <v>4203</v>
      </c>
      <c r="H5" s="1">
        <v>114122</v>
      </c>
    </row>
    <row r="6" spans="1:8" x14ac:dyDescent="0.2">
      <c r="A6" s="31" t="s">
        <v>16</v>
      </c>
      <c r="B6" s="32">
        <f>SUM(B2:B5)</f>
        <v>91447</v>
      </c>
      <c r="C6" s="32">
        <f>SUM(C2:C5)</f>
        <v>127747</v>
      </c>
      <c r="D6" s="46">
        <f>(Table55456791564708453758187139[[#This Row],[This Week]]-Table55456791564708453758187139[[#This Row],[Last Week]])/Table55456791564708453758187139[[#This Row],[Last Week]]</f>
        <v>-0.28415540090961039</v>
      </c>
      <c r="E6" s="32">
        <f>SUM(E2:E5)+115</f>
        <v>49440</v>
      </c>
      <c r="F6" s="32">
        <f>SUM(F2:F5)</f>
        <v>3635492</v>
      </c>
      <c r="G6" s="32">
        <f>SUM(G2:G5)+36766</f>
        <v>2628280</v>
      </c>
      <c r="H6" s="32">
        <f>SUM(H2:H5)</f>
        <v>48374559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66512</v>
      </c>
      <c r="C9" s="1">
        <v>108883</v>
      </c>
      <c r="D9" s="43">
        <f>(Table5155578101665718558768288140[[#This Row],[This Week]]-Table5155578101665718558768288140[[#This Row],[Last Week]])/Table5155578101665718558768288140[[#This Row],[Last Week]]</f>
        <v>-0.38914247403175883</v>
      </c>
      <c r="E9" s="1">
        <v>36613</v>
      </c>
      <c r="F9" s="1">
        <v>1741462</v>
      </c>
      <c r="G9" s="1">
        <v>1740082</v>
      </c>
      <c r="H9" s="1">
        <v>12079510</v>
      </c>
    </row>
    <row r="10" spans="1:8" x14ac:dyDescent="0.2">
      <c r="A10" s="44" t="s">
        <v>18</v>
      </c>
      <c r="B10" s="1">
        <v>20093</v>
      </c>
      <c r="C10" s="1">
        <v>16348</v>
      </c>
      <c r="D10" s="43">
        <f>(Table5155578101665718558768288140[[#This Row],[This Week]]-Table5155578101665718558768288140[[#This Row],[Last Week]])/Table5155578101665718558768288140[[#This Row],[Last Week]]</f>
        <v>0.22908000978712992</v>
      </c>
      <c r="E10" s="1" t="s">
        <v>17</v>
      </c>
      <c r="F10" s="1">
        <v>1399582</v>
      </c>
      <c r="G10" s="1" t="s">
        <v>17</v>
      </c>
      <c r="H10" s="1">
        <v>2444965</v>
      </c>
    </row>
    <row r="11" spans="1:8" x14ac:dyDescent="0.2">
      <c r="A11" s="44" t="s">
        <v>13</v>
      </c>
      <c r="B11" s="1">
        <v>3077</v>
      </c>
      <c r="C11" s="1">
        <v>833</v>
      </c>
      <c r="D11" s="43">
        <f>(Table5155578101665718558768288140[[#This Row],[This Week]]-Table5155578101665718558768288140[[#This Row],[Last Week]])/Table5155578101665718558768288140[[#This Row],[Last Week]]</f>
        <v>2.693877551020408</v>
      </c>
      <c r="E11" s="1">
        <v>6028</v>
      </c>
      <c r="F11" s="1">
        <v>279440</v>
      </c>
      <c r="G11" s="1">
        <v>450068</v>
      </c>
      <c r="H11" s="1">
        <v>7632713</v>
      </c>
    </row>
    <row r="12" spans="1:8" x14ac:dyDescent="0.2">
      <c r="A12" s="44" t="s">
        <v>21</v>
      </c>
      <c r="B12" s="1">
        <v>948</v>
      </c>
      <c r="C12" s="1">
        <v>601</v>
      </c>
      <c r="D12" s="43">
        <f>(Table5155578101665718558768288140[[#This Row],[This Week]]-Table5155578101665718558768288140[[#This Row],[Last Week]])/Table5155578101665718558768288140[[#This Row],[Last Week]]</f>
        <v>0.57737104825291186</v>
      </c>
      <c r="E12" s="1">
        <v>4026</v>
      </c>
      <c r="F12" s="1">
        <v>174337</v>
      </c>
      <c r="G12" s="1">
        <v>254101</v>
      </c>
      <c r="H12" s="1">
        <v>1569307</v>
      </c>
    </row>
    <row r="13" spans="1:8" x14ac:dyDescent="0.2">
      <c r="A13" s="42" t="s">
        <v>22</v>
      </c>
      <c r="B13" s="1">
        <v>729</v>
      </c>
      <c r="C13" s="1">
        <v>993</v>
      </c>
      <c r="D13" s="43">
        <f>(Table5155578101665718558768288140[[#This Row],[This Week]]-Table5155578101665718558768288140[[#This Row],[Last Week]])/Table5155578101665718558768288140[[#This Row],[Last Week]]</f>
        <v>-0.26586102719033233</v>
      </c>
      <c r="E13" s="1">
        <v>2311</v>
      </c>
      <c r="F13" s="1">
        <v>35471</v>
      </c>
      <c r="G13" s="1">
        <v>115097</v>
      </c>
      <c r="H13" s="1">
        <v>1139717</v>
      </c>
    </row>
    <row r="14" spans="1:8" x14ac:dyDescent="0.2">
      <c r="A14" s="42" t="s">
        <v>23</v>
      </c>
      <c r="B14" s="1">
        <v>47</v>
      </c>
      <c r="C14" s="1">
        <v>49</v>
      </c>
      <c r="D14" s="43">
        <f>(Table5155578101665718558768288140[[#This Row],[This Week]]-Table5155578101665718558768288140[[#This Row],[Last Week]])/Table5155578101665718558768288140[[#This Row],[Last Week]]</f>
        <v>-4.0816326530612242E-2</v>
      </c>
      <c r="E14" s="1">
        <v>299</v>
      </c>
      <c r="F14" s="1">
        <v>2324</v>
      </c>
      <c r="G14" s="1">
        <v>26872</v>
      </c>
      <c r="H14" s="1">
        <v>5888239</v>
      </c>
    </row>
    <row r="15" spans="1:8" x14ac:dyDescent="0.2">
      <c r="A15" s="38" t="s">
        <v>19</v>
      </c>
      <c r="B15" s="1">
        <v>25</v>
      </c>
      <c r="C15" s="1">
        <v>23</v>
      </c>
      <c r="D15" s="43">
        <f>(Table5155578101665718558768288140[[#This Row],[This Week]]-Table5155578101665718558768288140[[#This Row],[Last Week]])/Table5155578101665718558768288140[[#This Row],[Last Week]]</f>
        <v>8.6956521739130432E-2</v>
      </c>
      <c r="E15" s="1">
        <v>35</v>
      </c>
      <c r="F15" s="1">
        <v>2034</v>
      </c>
      <c r="G15" s="1">
        <v>2870</v>
      </c>
      <c r="H15" s="1">
        <v>20676</v>
      </c>
    </row>
    <row r="16" spans="1:8" x14ac:dyDescent="0.2">
      <c r="A16" s="53" t="s">
        <v>20</v>
      </c>
      <c r="B16" s="1">
        <v>16</v>
      </c>
      <c r="C16" s="1">
        <v>17</v>
      </c>
      <c r="D16" s="43">
        <f>(Table5155578101665718558768288140[[#This Row],[This Week]]-Table5155578101665718558768288140[[#This Row],[Last Week]])/Table5155578101665718558768288140[[#This Row],[Last Week]]</f>
        <v>-5.8823529411764705E-2</v>
      </c>
      <c r="E16" s="1">
        <v>13</v>
      </c>
      <c r="F16" s="1">
        <v>842</v>
      </c>
      <c r="G16" s="1">
        <v>1333</v>
      </c>
      <c r="H16" s="1">
        <v>21444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8B0930B7-96D5-084C-843B-B978882EF828}"/>
    <hyperlink ref="A20" r:id="rId2" xr:uid="{6D97739F-7469-054D-8239-14A87D2BEFFB}"/>
    <hyperlink ref="A21" r:id="rId3" xr:uid="{0298ECD4-6767-7044-A318-3668945A9842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571CE-FD61-6E46-B42E-75086D395214}">
  <dimension ref="A1:H24"/>
  <sheetViews>
    <sheetView workbookViewId="0">
      <selection activeCell="A22" sqref="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173338</v>
      </c>
      <c r="C2" s="1">
        <v>86605</v>
      </c>
      <c r="D2" s="43">
        <f>(Table55456791564708453758187143[[#This Row],[This Week]]-Table55456791564708453758187143[[#This Row],[Last Week]])/Table55456791564708453758187143[[#This Row],[Last Week]]</f>
        <v>1.0014779747127764</v>
      </c>
      <c r="E2" s="1">
        <v>41963</v>
      </c>
      <c r="F2" s="1">
        <v>3314382</v>
      </c>
      <c r="G2" s="1">
        <v>1782045</v>
      </c>
      <c r="H2" s="1">
        <f>H9+H10</f>
        <v>14697813</v>
      </c>
    </row>
    <row r="3" spans="1:8" x14ac:dyDescent="0.2">
      <c r="A3" s="10" t="s">
        <v>13</v>
      </c>
      <c r="B3" s="1">
        <v>5222</v>
      </c>
      <c r="C3" s="1">
        <v>4025</v>
      </c>
      <c r="D3" s="43">
        <f>(Table55456791564708453758187143[[#This Row],[This Week]]-Table55456791564708453758187143[[#This Row],[Last Week]])/Table55456791564708453758187143[[#This Row],[Last Week]]</f>
        <v>0.29739130434782607</v>
      </c>
      <c r="E3" s="1">
        <v>15002</v>
      </c>
      <c r="F3" s="1">
        <v>458999</v>
      </c>
      <c r="G3" s="1">
        <v>719171</v>
      </c>
      <c r="H3" s="1">
        <f>H11+H12</f>
        <v>9207242</v>
      </c>
    </row>
    <row r="4" spans="1:8" x14ac:dyDescent="0.2">
      <c r="A4" s="10" t="s">
        <v>14</v>
      </c>
      <c r="B4" s="1">
        <v>834</v>
      </c>
      <c r="C4" s="1">
        <v>776</v>
      </c>
      <c r="D4" s="43">
        <f>(Table55456791564708453758187143[[#This Row],[This Week]]-Table55456791564708453758187143[[#This Row],[Last Week]])/Table55456791564708453758187143[[#This Row],[Last Week]]</f>
        <v>7.4742268041237112E-2</v>
      </c>
      <c r="E4" s="1">
        <v>5397</v>
      </c>
      <c r="F4" s="1">
        <v>38629</v>
      </c>
      <c r="G4" s="1">
        <v>148457</v>
      </c>
      <c r="H4" s="1">
        <v>24534776</v>
      </c>
    </row>
    <row r="5" spans="1:8" x14ac:dyDescent="0.2">
      <c r="A5" s="8" t="s">
        <v>15</v>
      </c>
      <c r="B5" s="1">
        <v>47</v>
      </c>
      <c r="C5" s="1">
        <v>41</v>
      </c>
      <c r="D5" s="43">
        <f>(Table55456791564708453758187143[[#This Row],[This Week]]-Table55456791564708453758187143[[#This Row],[Last Week]])/Table55456791564708453758187143[[#This Row],[Last Week]]</f>
        <v>0.14634146341463414</v>
      </c>
      <c r="E5" s="1">
        <v>44</v>
      </c>
      <c r="F5" s="1">
        <v>2903</v>
      </c>
      <c r="G5" s="1">
        <v>4247</v>
      </c>
      <c r="H5" s="1">
        <v>114149</v>
      </c>
    </row>
    <row r="6" spans="1:8" x14ac:dyDescent="0.2">
      <c r="A6" s="31" t="s">
        <v>16</v>
      </c>
      <c r="B6" s="32">
        <f>SUM(B2:B5)</f>
        <v>179441</v>
      </c>
      <c r="C6" s="32">
        <f>SUM(C2:C5)</f>
        <v>91447</v>
      </c>
      <c r="D6" s="46">
        <f>(Table55456791564708453758187143[[#This Row],[This Week]]-Table55456791564708453758187143[[#This Row],[Last Week]])/Table55456791564708453758187143[[#This Row],[Last Week]]</f>
        <v>0.96224042341465543</v>
      </c>
      <c r="E6" s="32">
        <f>SUM(E2:E5)+81</f>
        <v>62487</v>
      </c>
      <c r="F6" s="32">
        <f>SUM(F2:F5)</f>
        <v>3814913</v>
      </c>
      <c r="G6" s="32">
        <f>SUM(G2:G5)+36847</f>
        <v>2690767</v>
      </c>
      <c r="H6" s="32">
        <f>SUM(H2:H5)</f>
        <v>48553980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7">
        <v>139497</v>
      </c>
      <c r="C9" s="7">
        <v>66512</v>
      </c>
      <c r="D9" s="43">
        <f>(Table5155578101665718558768288144[[#This Row],[This Week]]-Table5155578101665718558768288144[[#This Row],[Last Week]])/Table5155578101665718558768288144[[#This Row],[Last Week]]</f>
        <v>1.0973207842193891</v>
      </c>
      <c r="E9" s="1">
        <v>41963</v>
      </c>
      <c r="F9" s="1">
        <v>1880959</v>
      </c>
      <c r="G9" s="1">
        <v>1782045</v>
      </c>
      <c r="H9" s="1">
        <v>12219007</v>
      </c>
    </row>
    <row r="10" spans="1:8" x14ac:dyDescent="0.2">
      <c r="A10" s="44" t="s">
        <v>18</v>
      </c>
      <c r="B10" s="7">
        <v>33841</v>
      </c>
      <c r="C10" s="7">
        <v>20093</v>
      </c>
      <c r="D10" s="43">
        <f>(Table5155578101665718558768288144[[#This Row],[This Week]]-Table5155578101665718558768288144[[#This Row],[Last Week]])/Table5155578101665718558768288144[[#This Row],[Last Week]]</f>
        <v>0.68421838451201911</v>
      </c>
      <c r="E10" s="1" t="s">
        <v>17</v>
      </c>
      <c r="F10" s="1">
        <v>1433423</v>
      </c>
      <c r="G10" s="1" t="s">
        <v>17</v>
      </c>
      <c r="H10" s="1">
        <v>2478806</v>
      </c>
    </row>
    <row r="11" spans="1:8" x14ac:dyDescent="0.2">
      <c r="A11" s="44" t="s">
        <v>13</v>
      </c>
      <c r="B11" s="38">
        <v>4078</v>
      </c>
      <c r="C11" s="38">
        <v>3077</v>
      </c>
      <c r="D11" s="43">
        <f>(Table5155578101665718558768288144[[#This Row],[This Week]]-Table5155578101665718558768288144[[#This Row],[Last Week]])/Table5155578101665718558768288144[[#This Row],[Last Week]]</f>
        <v>0.32531686707832302</v>
      </c>
      <c r="E11" s="38">
        <v>9626</v>
      </c>
      <c r="F11" s="38">
        <v>283518</v>
      </c>
      <c r="G11" s="38">
        <v>459694</v>
      </c>
      <c r="H11" s="38">
        <v>7636791</v>
      </c>
    </row>
    <row r="12" spans="1:8" x14ac:dyDescent="0.2">
      <c r="A12" s="44" t="s">
        <v>21</v>
      </c>
      <c r="B12" s="58">
        <v>1144</v>
      </c>
      <c r="C12" s="58">
        <v>948</v>
      </c>
      <c r="D12" s="43">
        <f>(Table5155578101665718558768288144[[#This Row],[This Week]]-Table5155578101665718558768288144[[#This Row],[Last Week]])/Table5155578101665718558768288144[[#This Row],[Last Week]]</f>
        <v>0.20675105485232068</v>
      </c>
      <c r="E12" s="58">
        <v>5376</v>
      </c>
      <c r="F12" s="58">
        <v>175481</v>
      </c>
      <c r="G12" s="58">
        <v>259477</v>
      </c>
      <c r="H12" s="56">
        <v>1570451</v>
      </c>
    </row>
    <row r="13" spans="1:8" x14ac:dyDescent="0.2">
      <c r="A13" s="42" t="s">
        <v>22</v>
      </c>
      <c r="B13" s="58">
        <v>773</v>
      </c>
      <c r="C13" s="58">
        <v>729</v>
      </c>
      <c r="D13" s="43">
        <f>(Table5155578101665718558768288144[[#This Row],[This Week]]-Table5155578101665718558768288144[[#This Row],[Last Week]])/Table5155578101665718558768288144[[#This Row],[Last Week]]</f>
        <v>6.035665294924554E-2</v>
      </c>
      <c r="E13" s="58">
        <v>5124</v>
      </c>
      <c r="F13" s="58">
        <v>36244</v>
      </c>
      <c r="G13" s="58">
        <v>120221</v>
      </c>
      <c r="H13" s="56">
        <v>1140490</v>
      </c>
    </row>
    <row r="14" spans="1:8" x14ac:dyDescent="0.2">
      <c r="A14" s="42" t="s">
        <v>23</v>
      </c>
      <c r="B14" s="58">
        <v>61</v>
      </c>
      <c r="C14" s="58">
        <v>47</v>
      </c>
      <c r="D14" s="43">
        <f>(Table5155578101665718558768288144[[#This Row],[This Week]]-Table5155578101665718558768288144[[#This Row],[Last Week]])/Table5155578101665718558768288144[[#This Row],[Last Week]]</f>
        <v>0.2978723404255319</v>
      </c>
      <c r="E14" s="63">
        <v>273</v>
      </c>
      <c r="F14" s="63">
        <v>2385</v>
      </c>
      <c r="G14" s="63">
        <v>27145</v>
      </c>
      <c r="H14" s="64">
        <v>5888300</v>
      </c>
    </row>
    <row r="15" spans="1:8" x14ac:dyDescent="0.2">
      <c r="A15" s="38" t="s">
        <v>19</v>
      </c>
      <c r="B15" s="62">
        <v>29</v>
      </c>
      <c r="C15" s="62">
        <v>25</v>
      </c>
      <c r="D15" s="43">
        <f>(Table5155578101665718558768288144[[#This Row],[This Week]]-Table5155578101665718558768288144[[#This Row],[Last Week]])/Table5155578101665718558768288144[[#This Row],[Last Week]]</f>
        <v>0.16</v>
      </c>
      <c r="E15" s="63">
        <v>30</v>
      </c>
      <c r="F15" s="63">
        <v>2061</v>
      </c>
      <c r="G15" s="63">
        <v>2900</v>
      </c>
      <c r="H15" s="64">
        <v>20703</v>
      </c>
    </row>
    <row r="16" spans="1:8" x14ac:dyDescent="0.2">
      <c r="A16" s="59" t="s">
        <v>20</v>
      </c>
      <c r="B16" s="58">
        <v>18</v>
      </c>
      <c r="C16" s="58">
        <v>16</v>
      </c>
      <c r="D16" s="43">
        <f>(Table5155578101665718558768288144[[#This Row],[This Week]]-Table5155578101665718558768288144[[#This Row],[Last Week]])/Table5155578101665718558768288144[[#This Row],[Last Week]]</f>
        <v>0.125</v>
      </c>
      <c r="E16" s="38">
        <v>14</v>
      </c>
      <c r="F16" s="38">
        <v>860</v>
      </c>
      <c r="G16" s="38">
        <v>1347</v>
      </c>
      <c r="H16" s="38">
        <v>21462</v>
      </c>
    </row>
    <row r="19" spans="1:3" x14ac:dyDescent="0.2">
      <c r="A19" t="s">
        <v>4</v>
      </c>
    </row>
    <row r="20" spans="1:3" x14ac:dyDescent="0.2">
      <c r="A20" s="4" t="s">
        <v>5</v>
      </c>
    </row>
    <row r="21" spans="1:3" x14ac:dyDescent="0.2">
      <c r="A21" s="4" t="s">
        <v>3</v>
      </c>
      <c r="B21" s="35"/>
      <c r="C21" s="35"/>
    </row>
    <row r="22" spans="1:3" x14ac:dyDescent="0.2">
      <c r="A22" s="4" t="s">
        <v>6</v>
      </c>
      <c r="B22" s="35"/>
      <c r="C22" s="35"/>
    </row>
    <row r="23" spans="1:3" x14ac:dyDescent="0.2">
      <c r="A23" s="4" t="s">
        <v>26</v>
      </c>
      <c r="B23" s="38"/>
      <c r="C23" s="38"/>
    </row>
    <row r="24" spans="1:3" x14ac:dyDescent="0.2">
      <c r="B24" s="35"/>
      <c r="C24" s="35"/>
    </row>
  </sheetData>
  <hyperlinks>
    <hyperlink ref="A23" r:id="rId1" location="post-42481131" xr:uid="{B222EF4D-C981-F24B-BF6F-A267D881CC38}"/>
    <hyperlink ref="A22" r:id="rId2" xr:uid="{1C38ACC1-2BEF-2C4E-8F3C-52F72B3E54A1}"/>
    <hyperlink ref="A21" r:id="rId3" xr:uid="{B3762F38-F4E8-2840-B65F-B1272D5D0488}"/>
    <hyperlink ref="A20" r:id="rId4" xr:uid="{D618F0A5-B458-314C-B8EF-DE950C8CD0A8}"/>
  </hyperlinks>
  <pageMargins left="0.7" right="0.7" top="0.75" bottom="0.75" header="0.3" footer="0.3"/>
  <ignoredErrors>
    <ignoredError sqref="G6" formula="1"/>
  </ignoredErrors>
  <tableParts count="2">
    <tablePart r:id="rId5"/>
    <tablePart r:id="rId6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B6D7-97BE-D645-95CC-D462332AD9F2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148699</v>
      </c>
      <c r="C2" s="1">
        <v>173338</v>
      </c>
      <c r="D2" s="43">
        <f>(Table55456791564708453758187147[[#This Row],[This Week]]-Table55456791564708453758187147[[#This Row],[Last Week]])/Table55456791564708453758187147[[#This Row],[Last Week]]</f>
        <v>-0.142144249962501</v>
      </c>
      <c r="E2" s="1">
        <v>50714</v>
      </c>
      <c r="F2" s="1">
        <v>3463081</v>
      </c>
      <c r="G2" s="1">
        <v>1832759</v>
      </c>
      <c r="H2" s="1">
        <f>H9+H10</f>
        <v>14846512</v>
      </c>
    </row>
    <row r="3" spans="1:8" x14ac:dyDescent="0.2">
      <c r="A3" s="10" t="s">
        <v>13</v>
      </c>
      <c r="B3" s="1">
        <v>3301</v>
      </c>
      <c r="C3" s="1">
        <v>5222</v>
      </c>
      <c r="D3" s="43">
        <f>(Table55456791564708453758187147[[#This Row],[This Week]]-Table55456791564708453758187147[[#This Row],[Last Week]])/Table55456791564708453758187147[[#This Row],[Last Week]]</f>
        <v>-0.36786671773266949</v>
      </c>
      <c r="E3" s="1">
        <v>21391</v>
      </c>
      <c r="F3" s="1">
        <v>462300</v>
      </c>
      <c r="G3" s="1">
        <v>740562</v>
      </c>
      <c r="H3" s="1">
        <f>H11+H13</f>
        <v>9210543</v>
      </c>
    </row>
    <row r="4" spans="1:8" x14ac:dyDescent="0.2">
      <c r="A4" s="10" t="s">
        <v>14</v>
      </c>
      <c r="B4" s="1">
        <v>1173</v>
      </c>
      <c r="C4" s="1">
        <v>834</v>
      </c>
      <c r="D4" s="43">
        <f>(Table55456791564708453758187147[[#This Row],[This Week]]-Table55456791564708453758187147[[#This Row],[Last Week]])/Table55456791564708453758187147[[#This Row],[Last Week]]</f>
        <v>0.40647482014388492</v>
      </c>
      <c r="E4" s="1">
        <v>5544</v>
      </c>
      <c r="F4" s="1">
        <v>39802</v>
      </c>
      <c r="G4" s="1">
        <v>154001</v>
      </c>
      <c r="H4" s="1">
        <v>24535949</v>
      </c>
    </row>
    <row r="5" spans="1:8" x14ac:dyDescent="0.2">
      <c r="A5" s="8" t="s">
        <v>15</v>
      </c>
      <c r="B5" s="1">
        <v>47</v>
      </c>
      <c r="C5" s="1">
        <v>47</v>
      </c>
      <c r="D5" s="43">
        <f>(Table55456791564708453758187147[[#This Row],[This Week]]-Table55456791564708453758187147[[#This Row],[Last Week]])/Table55456791564708453758187147[[#This Row],[Last Week]]</f>
        <v>0</v>
      </c>
      <c r="E5" s="1">
        <v>42</v>
      </c>
      <c r="F5" s="1">
        <v>2969</v>
      </c>
      <c r="G5" s="1">
        <v>4289</v>
      </c>
      <c r="H5" s="1">
        <v>114215</v>
      </c>
    </row>
    <row r="6" spans="1:8" x14ac:dyDescent="0.2">
      <c r="A6" s="31" t="s">
        <v>16</v>
      </c>
      <c r="B6" s="32">
        <f>SUM(B2:B5)</f>
        <v>153220</v>
      </c>
      <c r="C6" s="32">
        <f>SUM(C2:C5)</f>
        <v>179441</v>
      </c>
      <c r="D6" s="46">
        <f>(Table55456791564708453758187147[[#This Row],[This Week]]-Table55456791564708453758187147[[#This Row],[Last Week]])/Table55456791564708453758187147[[#This Row],[Last Week]]</f>
        <v>-0.14612602471007183</v>
      </c>
      <c r="E6" s="32">
        <f>SUM(E2:E5)+134</f>
        <v>77825</v>
      </c>
      <c r="F6" s="32">
        <f>SUM(F2:F5)</f>
        <v>3968152</v>
      </c>
      <c r="G6" s="32">
        <f>SUM(G2:G5)+36981</f>
        <v>2768592</v>
      </c>
      <c r="H6" s="32">
        <f>SUM(H2:H5)</f>
        <v>48707219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120268</v>
      </c>
      <c r="C9" s="1">
        <v>139497</v>
      </c>
      <c r="D9" s="43">
        <f>(Table5155578101665718558768288148[[#This Row],[This Week]]-Table5155578101665718558768288148[[#This Row],[Last Week]])/Table5155578101665718558768288148[[#This Row],[Last Week]]</f>
        <v>-0.13784525832096747</v>
      </c>
      <c r="E9" s="1">
        <v>50714</v>
      </c>
      <c r="F9" s="1">
        <v>2001227</v>
      </c>
      <c r="G9" s="1">
        <v>1832759</v>
      </c>
      <c r="H9" s="1">
        <v>12339275</v>
      </c>
    </row>
    <row r="10" spans="1:8" x14ac:dyDescent="0.2">
      <c r="A10" s="44" t="s">
        <v>18</v>
      </c>
      <c r="B10" s="1">
        <v>28431</v>
      </c>
      <c r="C10" s="1">
        <v>33841</v>
      </c>
      <c r="D10" s="43">
        <f>(Table5155578101665718558768288148[[#This Row],[This Week]]-Table5155578101665718558768288148[[#This Row],[Last Week]])/Table5155578101665718558768288148[[#This Row],[Last Week]]</f>
        <v>-0.15986525220885908</v>
      </c>
      <c r="E10" s="1" t="s">
        <v>17</v>
      </c>
      <c r="F10" s="1">
        <v>1461854</v>
      </c>
      <c r="G10" s="1" t="s">
        <v>17</v>
      </c>
      <c r="H10" s="1">
        <v>2507237</v>
      </c>
    </row>
    <row r="11" spans="1:8" x14ac:dyDescent="0.2">
      <c r="A11" s="44" t="s">
        <v>13</v>
      </c>
      <c r="B11" s="1">
        <v>2695</v>
      </c>
      <c r="C11" s="1">
        <v>4078</v>
      </c>
      <c r="D11" s="43">
        <f>(Table5155578101665718558768288148[[#This Row],[This Week]]-Table5155578101665718558768288148[[#This Row],[Last Week]])/Table5155578101665718558768288148[[#This Row],[Last Week]]</f>
        <v>-0.33913683178028448</v>
      </c>
      <c r="E11" s="1">
        <v>14587</v>
      </c>
      <c r="F11" s="1">
        <v>286213</v>
      </c>
      <c r="G11" s="1">
        <v>474281</v>
      </c>
      <c r="H11" s="1">
        <v>7639486</v>
      </c>
    </row>
    <row r="12" spans="1:8" x14ac:dyDescent="0.2">
      <c r="A12" s="42" t="s">
        <v>22</v>
      </c>
      <c r="B12" s="1">
        <v>1141</v>
      </c>
      <c r="C12" s="1">
        <v>773</v>
      </c>
      <c r="D12" s="43">
        <f>(Table5155578101665718558768288148[[#This Row],[This Week]]-Table5155578101665718558768288148[[#This Row],[Last Week]])/Table5155578101665718558768288148[[#This Row],[Last Week]]</f>
        <v>0.47606727037516172</v>
      </c>
      <c r="E12" s="1">
        <v>5221</v>
      </c>
      <c r="F12" s="1">
        <v>37385</v>
      </c>
      <c r="G12" s="1">
        <v>125442</v>
      </c>
      <c r="H12" s="1">
        <v>1141631</v>
      </c>
    </row>
    <row r="13" spans="1:8" x14ac:dyDescent="0.2">
      <c r="A13" s="44" t="s">
        <v>21</v>
      </c>
      <c r="B13" s="1">
        <v>606</v>
      </c>
      <c r="C13" s="1">
        <v>1144</v>
      </c>
      <c r="D13" s="43">
        <f>(Table5155578101665718558768288148[[#This Row],[This Week]]-Table5155578101665718558768288148[[#This Row],[Last Week]])/Table5155578101665718558768288148[[#This Row],[Last Week]]</f>
        <v>-0.47027972027972026</v>
      </c>
      <c r="E13" s="1">
        <v>6804</v>
      </c>
      <c r="F13" s="1">
        <v>176087</v>
      </c>
      <c r="G13" s="1">
        <v>266281</v>
      </c>
      <c r="H13" s="1">
        <v>1571057</v>
      </c>
    </row>
    <row r="14" spans="1:8" x14ac:dyDescent="0.2">
      <c r="A14" s="42" t="s">
        <v>23</v>
      </c>
      <c r="B14" s="1">
        <v>32</v>
      </c>
      <c r="C14" s="1">
        <v>61</v>
      </c>
      <c r="D14" s="43">
        <f>(Table5155578101665718558768288148[[#This Row],[This Week]]-Table5155578101665718558768288148[[#This Row],[Last Week]])/Table5155578101665718558768288148[[#This Row],[Last Week]]</f>
        <v>-0.47540983606557374</v>
      </c>
      <c r="E14" s="1">
        <v>323</v>
      </c>
      <c r="F14" s="1">
        <v>2417</v>
      </c>
      <c r="G14" s="1">
        <v>27468</v>
      </c>
      <c r="H14" s="1">
        <v>5888332</v>
      </c>
    </row>
    <row r="15" spans="1:8" x14ac:dyDescent="0.2">
      <c r="A15" s="38" t="s">
        <v>19</v>
      </c>
      <c r="B15" s="1">
        <v>28</v>
      </c>
      <c r="C15" s="1">
        <v>27</v>
      </c>
      <c r="D15" s="43">
        <f>(Table5155578101665718558768288148[[#This Row],[This Week]]-Table5155578101665718558768288148[[#This Row],[Last Week]])/Table5155578101665718558768288148[[#This Row],[Last Week]]</f>
        <v>3.7037037037037035E-2</v>
      </c>
      <c r="E15" s="1">
        <v>29</v>
      </c>
      <c r="F15" s="1">
        <v>2089</v>
      </c>
      <c r="G15" s="1">
        <v>2929</v>
      </c>
      <c r="H15" s="1">
        <v>20731</v>
      </c>
    </row>
    <row r="16" spans="1:8" x14ac:dyDescent="0.2">
      <c r="A16" s="53" t="s">
        <v>20</v>
      </c>
      <c r="B16" s="1">
        <v>19</v>
      </c>
      <c r="C16" s="1">
        <v>20</v>
      </c>
      <c r="D16" s="43">
        <f>(Table5155578101665718558768288148[[#This Row],[This Week]]-Table5155578101665718558768288148[[#This Row],[Last Week]])/Table5155578101665718558768288148[[#This Row],[Last Week]]</f>
        <v>-0.05</v>
      </c>
      <c r="E16" s="1">
        <v>13</v>
      </c>
      <c r="F16" s="1">
        <v>881</v>
      </c>
      <c r="G16" s="1">
        <v>1360</v>
      </c>
      <c r="H16" s="1">
        <v>21483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64A4E323-85B6-A04E-BB35-5F963E1E3C9C}"/>
    <hyperlink ref="A21" r:id="rId2" xr:uid="{94523294-5D19-7D48-97EA-1BB06EFFDC9F}"/>
    <hyperlink ref="A20" r:id="rId3" xr:uid="{F3AA8B79-9477-314B-924D-9E263B138126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F537-85F4-F840-B517-FC738B60B479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70129</v>
      </c>
      <c r="C2" s="1">
        <v>148699</v>
      </c>
      <c r="D2" s="43">
        <f>(Table55456791564708453758187151[[#This Row],[This Week]]-Table55456791564708453758187151[[#This Row],[Last Week]])/Table55456791564708453758187151[[#This Row],[Last Week]]</f>
        <v>-0.52838284050329865</v>
      </c>
      <c r="E2" s="1">
        <v>30072</v>
      </c>
      <c r="F2" s="1">
        <v>3533210</v>
      </c>
      <c r="G2" s="1">
        <v>1862831</v>
      </c>
      <c r="H2" s="1">
        <f>H9+H10</f>
        <v>14916641</v>
      </c>
    </row>
    <row r="3" spans="1:8" x14ac:dyDescent="0.2">
      <c r="A3" s="10" t="s">
        <v>13</v>
      </c>
      <c r="B3" s="1">
        <v>883</v>
      </c>
      <c r="C3" s="1">
        <v>3301</v>
      </c>
      <c r="D3" s="43">
        <f>(Table55456791564708453758187151[[#This Row],[This Week]]-Table55456791564708453758187151[[#This Row],[Last Week]])/Table55456791564708453758187151[[#This Row],[Last Week]]</f>
        <v>-0.73250530142381098</v>
      </c>
      <c r="E3" s="1">
        <v>9746</v>
      </c>
      <c r="F3" s="1">
        <v>463183</v>
      </c>
      <c r="G3" s="1">
        <v>750308</v>
      </c>
      <c r="H3" s="1">
        <f>H12+H13</f>
        <v>9211426</v>
      </c>
    </row>
    <row r="4" spans="1:8" x14ac:dyDescent="0.2">
      <c r="A4" s="10" t="s">
        <v>14</v>
      </c>
      <c r="B4" s="1">
        <v>1171</v>
      </c>
      <c r="C4" s="1">
        <v>1173</v>
      </c>
      <c r="D4" s="43">
        <f>(Table55456791564708453758187151[[#This Row],[This Week]]-Table55456791564708453758187151[[#This Row],[Last Week]])/Table55456791564708453758187151[[#This Row],[Last Week]]</f>
        <v>-1.7050298380221654E-3</v>
      </c>
      <c r="E4" s="1">
        <v>2227</v>
      </c>
      <c r="F4" s="1">
        <v>40973</v>
      </c>
      <c r="G4" s="1">
        <v>156228</v>
      </c>
      <c r="H4" s="1">
        <v>24537120</v>
      </c>
    </row>
    <row r="5" spans="1:8" x14ac:dyDescent="0.2">
      <c r="A5" s="8" t="s">
        <v>15</v>
      </c>
      <c r="B5" s="1">
        <v>24</v>
      </c>
      <c r="C5" s="1">
        <v>26</v>
      </c>
      <c r="D5" s="43">
        <f>(Table55456791564708453758187151[[#This Row],[This Week]]-Table55456791564708453758187151[[#This Row],[Last Week]])/Table55456791564708453758187151[[#This Row],[Last Week]]</f>
        <v>-7.6923076923076927E-2</v>
      </c>
      <c r="E5" s="1">
        <v>44</v>
      </c>
      <c r="F5" s="1">
        <v>2958</v>
      </c>
      <c r="G5" s="1">
        <v>4333</v>
      </c>
      <c r="H5" s="1">
        <v>114204</v>
      </c>
    </row>
    <row r="6" spans="1:8" x14ac:dyDescent="0.2">
      <c r="A6" s="31" t="s">
        <v>16</v>
      </c>
      <c r="B6" s="32">
        <f>SUM(B2:B5)</f>
        <v>72207</v>
      </c>
      <c r="C6" s="32">
        <f>SUM(C2:C5)</f>
        <v>153199</v>
      </c>
      <c r="D6" s="46">
        <f>(Table55456791564708453758187151[[#This Row],[This Week]]-Table55456791564708453758187151[[#This Row],[Last Week]])/Table55456791564708453758187151[[#This Row],[Last Week]]</f>
        <v>-0.52867185817139795</v>
      </c>
      <c r="E6" s="32">
        <f>SUM(E2:E5)+67</f>
        <v>42156</v>
      </c>
      <c r="F6" s="32">
        <f>SUM(F2:F5)</f>
        <v>4040324</v>
      </c>
      <c r="G6" s="32">
        <f>SUM(G2:G5)+37048</f>
        <v>2810748</v>
      </c>
      <c r="H6" s="32">
        <f>SUM(H2:H5)</f>
        <v>48779391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49125</v>
      </c>
      <c r="C9" s="1">
        <v>120268</v>
      </c>
      <c r="D9" s="43">
        <f>(Table5155578101665718558768288152[[#This Row],[This Week]]-Table5155578101665718558768288152[[#This Row],[Last Week]])/Table5155578101665718558768288152[[#This Row],[Last Week]]</f>
        <v>-0.59153723351182363</v>
      </c>
      <c r="E9" s="1">
        <v>30072</v>
      </c>
      <c r="F9" s="1">
        <v>2050352</v>
      </c>
      <c r="G9" s="1">
        <v>1862831</v>
      </c>
      <c r="H9" s="1">
        <v>12388400</v>
      </c>
    </row>
    <row r="10" spans="1:8" x14ac:dyDescent="0.2">
      <c r="A10" s="44" t="s">
        <v>18</v>
      </c>
      <c r="B10" s="1">
        <v>21004</v>
      </c>
      <c r="C10" s="1">
        <v>28431</v>
      </c>
      <c r="D10" s="43">
        <f>(Table5155578101665718558768288152[[#This Row],[This Week]]-Table5155578101665718558768288152[[#This Row],[Last Week]])/Table5155578101665718558768288152[[#This Row],[Last Week]]</f>
        <v>-0.2612289402412859</v>
      </c>
      <c r="E10" s="1" t="s">
        <v>17</v>
      </c>
      <c r="F10" s="1">
        <v>1482858</v>
      </c>
      <c r="G10" s="1" t="s">
        <v>17</v>
      </c>
      <c r="H10" s="1">
        <v>2528241</v>
      </c>
    </row>
    <row r="11" spans="1:8" x14ac:dyDescent="0.2">
      <c r="A11" s="18" t="s">
        <v>22</v>
      </c>
      <c r="B11" s="1">
        <v>1135</v>
      </c>
      <c r="C11" s="1">
        <v>1141</v>
      </c>
      <c r="D11" s="43">
        <f>(Table5155578101665718558768288152[[#This Row],[This Week]]-Table5155578101665718558768288152[[#This Row],[Last Week]])/Table5155578101665718558768288152[[#This Row],[Last Week]]</f>
        <v>-5.2585451358457495E-3</v>
      </c>
      <c r="E11" s="1">
        <v>2003</v>
      </c>
      <c r="F11" s="1">
        <v>38520</v>
      </c>
      <c r="G11" s="1">
        <v>127445</v>
      </c>
      <c r="H11" s="1">
        <v>1142766</v>
      </c>
    </row>
    <row r="12" spans="1:8" x14ac:dyDescent="0.2">
      <c r="A12" s="22" t="s">
        <v>13</v>
      </c>
      <c r="B12" s="1">
        <v>728</v>
      </c>
      <c r="C12" s="1">
        <v>2695</v>
      </c>
      <c r="D12" s="43">
        <f>(Table5155578101665718558768288152[[#This Row],[This Week]]-Table5155578101665718558768288152[[#This Row],[Last Week]])/Table5155578101665718558768288152[[#This Row],[Last Week]]</f>
        <v>-0.72987012987012989</v>
      </c>
      <c r="E12" s="1">
        <v>5738</v>
      </c>
      <c r="F12" s="1">
        <v>286941</v>
      </c>
      <c r="G12" s="1">
        <v>480019</v>
      </c>
      <c r="H12" s="1">
        <v>7640214</v>
      </c>
    </row>
    <row r="13" spans="1:8" x14ac:dyDescent="0.2">
      <c r="A13" s="54" t="s">
        <v>21</v>
      </c>
      <c r="B13" s="1">
        <v>155</v>
      </c>
      <c r="C13" s="1">
        <v>606</v>
      </c>
      <c r="D13" s="43">
        <f>(Table5155578101665718558768288152[[#This Row],[This Week]]-Table5155578101665718558768288152[[#This Row],[Last Week]])/Table5155578101665718558768288152[[#This Row],[Last Week]]</f>
        <v>-0.74422442244224418</v>
      </c>
      <c r="E13" s="1">
        <v>4008</v>
      </c>
      <c r="F13" s="1">
        <v>176242</v>
      </c>
      <c r="G13" s="1">
        <v>270289</v>
      </c>
      <c r="H13" s="1">
        <v>1571212</v>
      </c>
    </row>
    <row r="14" spans="1:8" x14ac:dyDescent="0.2">
      <c r="A14" s="26" t="s">
        <v>23</v>
      </c>
      <c r="B14" s="1">
        <v>36</v>
      </c>
      <c r="C14" s="1">
        <v>32</v>
      </c>
      <c r="D14" s="43">
        <f>(Table5155578101665718558768288152[[#This Row],[This Week]]-Table5155578101665718558768288152[[#This Row],[Last Week]])/Table5155578101665718558768288152[[#This Row],[Last Week]]</f>
        <v>0.125</v>
      </c>
      <c r="E14" s="1">
        <v>224</v>
      </c>
      <c r="F14" s="1">
        <v>2453</v>
      </c>
      <c r="G14" s="1">
        <v>27692</v>
      </c>
      <c r="H14" s="1">
        <v>5888368</v>
      </c>
    </row>
    <row r="15" spans="1:8" x14ac:dyDescent="0.2">
      <c r="A15" s="38" t="s">
        <v>19</v>
      </c>
      <c r="B15" s="1">
        <v>14</v>
      </c>
      <c r="C15" s="1">
        <v>7</v>
      </c>
      <c r="D15" s="43">
        <f>(Table5155578101665718558768288152[[#This Row],[This Week]]-Table5155578101665718558768288152[[#This Row],[Last Week]])/Table5155578101665718558768288152[[#This Row],[Last Week]]</f>
        <v>1</v>
      </c>
      <c r="E15" s="1">
        <v>32</v>
      </c>
      <c r="F15" s="1">
        <v>2082</v>
      </c>
      <c r="G15" s="1">
        <v>2961</v>
      </c>
      <c r="H15" s="1">
        <v>20724</v>
      </c>
    </row>
    <row r="16" spans="1:8" x14ac:dyDescent="0.2">
      <c r="A16" s="53" t="s">
        <v>20</v>
      </c>
      <c r="B16" s="1">
        <v>10</v>
      </c>
      <c r="C16" s="1">
        <v>19</v>
      </c>
      <c r="D16" s="43">
        <f>(Table5155578101665718558768288152[[#This Row],[This Week]]-Table5155578101665718558768288152[[#This Row],[Last Week]])/Table5155578101665718558768288152[[#This Row],[Last Week]]</f>
        <v>-0.47368421052631576</v>
      </c>
      <c r="E16" s="1">
        <v>12</v>
      </c>
      <c r="F16" s="1">
        <v>876</v>
      </c>
      <c r="G16" s="1">
        <v>1372</v>
      </c>
      <c r="H16" s="1">
        <v>21478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FD9CCC13-E74A-804D-B09B-E6C3B6F02D82}"/>
    <hyperlink ref="A21" r:id="rId2" xr:uid="{7C485A66-9543-3543-A728-0FC2D692B567}"/>
    <hyperlink ref="A20" r:id="rId3" xr:uid="{4BE2883C-B4C8-6147-AE28-45724A28E2F5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6E76E-C3C9-464F-AF9F-2FA5675E46BE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78773</v>
      </c>
      <c r="C2" s="1">
        <v>70129</v>
      </c>
      <c r="D2" s="43">
        <f>(Table55456791564708453758187151155[[#This Row],[This Week]]-Table55456791564708453758187151155[[#This Row],[Last Week]])/Table55456791564708453758187151155[[#This Row],[Last Week]]</f>
        <v>0.12325856635628628</v>
      </c>
      <c r="E2" s="1">
        <v>90553</v>
      </c>
      <c r="F2" s="1">
        <v>3611983</v>
      </c>
      <c r="G2" s="1">
        <v>1953384</v>
      </c>
      <c r="H2" s="1">
        <f>H9+H10</f>
        <v>14995414</v>
      </c>
    </row>
    <row r="3" spans="1:8" x14ac:dyDescent="0.2">
      <c r="A3" s="10" t="s">
        <v>13</v>
      </c>
      <c r="B3" s="1">
        <v>1926</v>
      </c>
      <c r="C3" s="1">
        <v>883</v>
      </c>
      <c r="D3" s="43">
        <f>(Table55456791564708453758187151155[[#This Row],[This Week]]-Table55456791564708453758187151155[[#This Row],[Last Week]])/Table55456791564708453758187151155[[#This Row],[Last Week]]</f>
        <v>1.1812004530011324</v>
      </c>
      <c r="E3" s="1">
        <v>10924</v>
      </c>
      <c r="F3" s="1">
        <v>465109</v>
      </c>
      <c r="G3" s="1">
        <v>761232</v>
      </c>
      <c r="H3" s="1">
        <f>H11+H13</f>
        <v>9213352</v>
      </c>
    </row>
    <row r="4" spans="1:8" x14ac:dyDescent="0.2">
      <c r="A4" s="10" t="s">
        <v>14</v>
      </c>
      <c r="B4" s="1">
        <v>1011</v>
      </c>
      <c r="C4" s="1">
        <v>1171</v>
      </c>
      <c r="D4" s="43">
        <f>(Table55456791564708453758187151155[[#This Row],[This Week]]-Table55456791564708453758187151155[[#This Row],[Last Week]])/Table55456791564708453758187151155[[#This Row],[Last Week]]</f>
        <v>-0.13663535439795046</v>
      </c>
      <c r="E4" s="1">
        <v>1934</v>
      </c>
      <c r="F4" s="1">
        <v>41984</v>
      </c>
      <c r="G4" s="1">
        <v>158162</v>
      </c>
      <c r="H4" s="1">
        <v>24538131</v>
      </c>
    </row>
    <row r="5" spans="1:8" x14ac:dyDescent="0.2">
      <c r="A5" s="8" t="s">
        <v>15</v>
      </c>
      <c r="B5" s="1">
        <v>28</v>
      </c>
      <c r="C5" s="1">
        <v>24</v>
      </c>
      <c r="D5" s="43">
        <f>(Table55456791564708453758187151155[[#This Row],[This Week]]-Table55456791564708453758187151155[[#This Row],[Last Week]])/Table55456791564708453758187151155[[#This Row],[Last Week]]</f>
        <v>0.16666666666666666</v>
      </c>
      <c r="E5" s="1">
        <v>57</v>
      </c>
      <c r="F5" s="1">
        <v>3022</v>
      </c>
      <c r="G5" s="1">
        <v>4390</v>
      </c>
      <c r="H5" s="1">
        <v>114268</v>
      </c>
    </row>
    <row r="6" spans="1:8" x14ac:dyDescent="0.2">
      <c r="A6" s="31" t="s">
        <v>16</v>
      </c>
      <c r="B6" s="32">
        <f>SUM(B2:B5)</f>
        <v>81738</v>
      </c>
      <c r="C6" s="32">
        <f>SUM(C2:C5)</f>
        <v>72207</v>
      </c>
      <c r="D6" s="46">
        <f>(Table55456791564708453758187151155[[#This Row],[This Week]]-Table55456791564708453758187151155[[#This Row],[Last Week]])/Table55456791564708453758187151155[[#This Row],[Last Week]]</f>
        <v>0.13199551290041131</v>
      </c>
      <c r="E6" s="32">
        <f>SUM(E2:E5)+50</f>
        <v>103518</v>
      </c>
      <c r="F6" s="32">
        <f>SUM(F2:F5)</f>
        <v>4122098</v>
      </c>
      <c r="G6" s="32">
        <f>SUM(G2:G5)+37098</f>
        <v>2914266</v>
      </c>
      <c r="H6" s="32">
        <f>SUM(H2:H5)</f>
        <v>48861165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54734</v>
      </c>
      <c r="C9" s="1">
        <v>49125</v>
      </c>
      <c r="D9" s="43">
        <f>(Table5155578101665718558768288152156[[#This Row],[This Week]]-Table5155578101665718558768288152156[[#This Row],[Last Week]])/Table5155578101665718558768288152156[[#This Row],[Last Week]]</f>
        <v>0.11417811704834606</v>
      </c>
      <c r="E9" s="1">
        <v>90553</v>
      </c>
      <c r="F9" s="1">
        <v>2105086</v>
      </c>
      <c r="G9" s="1">
        <v>1953384</v>
      </c>
      <c r="H9" s="1">
        <v>12443134</v>
      </c>
    </row>
    <row r="10" spans="1:8" x14ac:dyDescent="0.2">
      <c r="A10" s="44" t="s">
        <v>18</v>
      </c>
      <c r="B10" s="1">
        <v>24039</v>
      </c>
      <c r="C10" s="1">
        <v>21004</v>
      </c>
      <c r="D10" s="43">
        <f>(Table5155578101665718558768288152156[[#This Row],[This Week]]-Table5155578101665718558768288152156[[#This Row],[Last Week]])/Table5155578101665718558768288152156[[#This Row],[Last Week]]</f>
        <v>0.14449628642163398</v>
      </c>
      <c r="E10" s="1" t="s">
        <v>17</v>
      </c>
      <c r="F10" s="1">
        <v>1506897</v>
      </c>
      <c r="G10" s="1" t="s">
        <v>17</v>
      </c>
      <c r="H10" s="1">
        <v>2552280</v>
      </c>
    </row>
    <row r="11" spans="1:8" x14ac:dyDescent="0.2">
      <c r="A11" s="44" t="s">
        <v>13</v>
      </c>
      <c r="B11" s="1">
        <v>1817</v>
      </c>
      <c r="C11" s="1">
        <v>728</v>
      </c>
      <c r="D11" s="43">
        <f>(Table5155578101665718558768288152156[[#This Row],[This Week]]-Table5155578101665718558768288152156[[#This Row],[Last Week]])/Table5155578101665718558768288152156[[#This Row],[Last Week]]</f>
        <v>1.4958791208791209</v>
      </c>
      <c r="E11" s="1">
        <v>6309</v>
      </c>
      <c r="F11" s="1">
        <v>288758</v>
      </c>
      <c r="G11" s="1">
        <v>486328</v>
      </c>
      <c r="H11" s="1">
        <v>7642031</v>
      </c>
    </row>
    <row r="12" spans="1:8" x14ac:dyDescent="0.2">
      <c r="A12" s="42" t="s">
        <v>22</v>
      </c>
      <c r="B12" s="1">
        <v>969</v>
      </c>
      <c r="C12" s="1">
        <v>1135</v>
      </c>
      <c r="D12" s="43">
        <f>(Table5155578101665718558768288152156[[#This Row],[This Week]]-Table5155578101665718558768288152156[[#This Row],[Last Week]])/Table5155578101665718558768288152156[[#This Row],[Last Week]]</f>
        <v>-0.14625550660792952</v>
      </c>
      <c r="E12" s="1">
        <v>1725</v>
      </c>
      <c r="F12" s="1">
        <v>39489</v>
      </c>
      <c r="G12" s="1">
        <v>129170</v>
      </c>
      <c r="H12" s="1">
        <v>1143735</v>
      </c>
    </row>
    <row r="13" spans="1:8" x14ac:dyDescent="0.2">
      <c r="A13" s="44" t="s">
        <v>21</v>
      </c>
      <c r="B13" s="1">
        <v>109</v>
      </c>
      <c r="C13" s="1">
        <v>155</v>
      </c>
      <c r="D13" s="43">
        <f>(Table5155578101665718558768288152156[[#This Row],[This Week]]-Table5155578101665718558768288152156[[#This Row],[Last Week]])/Table5155578101665718558768288152156[[#This Row],[Last Week]]</f>
        <v>-0.29677419354838708</v>
      </c>
      <c r="E13" s="1">
        <v>4615</v>
      </c>
      <c r="F13" s="1">
        <v>176351</v>
      </c>
      <c r="G13" s="1">
        <v>274904</v>
      </c>
      <c r="H13" s="1">
        <v>1571321</v>
      </c>
    </row>
    <row r="14" spans="1:8" x14ac:dyDescent="0.2">
      <c r="A14" s="42" t="s">
        <v>23</v>
      </c>
      <c r="B14" s="1">
        <v>42</v>
      </c>
      <c r="C14" s="1">
        <v>36</v>
      </c>
      <c r="D14" s="43">
        <f>(Table5155578101665718558768288152156[[#This Row],[This Week]]-Table5155578101665718558768288152156[[#This Row],[Last Week]])/Table5155578101665718558768288152156[[#This Row],[Last Week]]</f>
        <v>0.16666666666666666</v>
      </c>
      <c r="E14" s="1">
        <v>209</v>
      </c>
      <c r="F14" s="1">
        <v>2495</v>
      </c>
      <c r="G14" s="1">
        <v>27901</v>
      </c>
      <c r="H14" s="1">
        <v>5888410</v>
      </c>
    </row>
    <row r="15" spans="1:8" x14ac:dyDescent="0.2">
      <c r="A15" s="38" t="s">
        <v>19</v>
      </c>
      <c r="B15" s="1">
        <v>15</v>
      </c>
      <c r="C15" s="1">
        <v>14</v>
      </c>
      <c r="D15" s="43">
        <f>(Table5155578101665718558768288152156[[#This Row],[This Week]]-Table5155578101665718558768288152156[[#This Row],[Last Week]])/Table5155578101665718558768288152156[[#This Row],[Last Week]]</f>
        <v>7.1428571428571425E-2</v>
      </c>
      <c r="E15" s="1">
        <v>34</v>
      </c>
      <c r="F15" s="1">
        <v>2118</v>
      </c>
      <c r="G15" s="1">
        <v>2995</v>
      </c>
      <c r="H15" s="1">
        <v>20760</v>
      </c>
    </row>
    <row r="16" spans="1:8" x14ac:dyDescent="0.2">
      <c r="A16" s="59" t="s">
        <v>20</v>
      </c>
      <c r="B16" s="1">
        <v>13</v>
      </c>
      <c r="C16" s="1">
        <v>10</v>
      </c>
      <c r="D16" s="43">
        <f>(Table5155578101665718558768288152156[[#This Row],[This Week]]-Table5155578101665718558768288152156[[#This Row],[Last Week]])/Table5155578101665718558768288152156[[#This Row],[Last Week]]</f>
        <v>0.3</v>
      </c>
      <c r="E16" s="1">
        <v>23</v>
      </c>
      <c r="F16" s="1">
        <v>904</v>
      </c>
      <c r="G16" s="1">
        <v>1395</v>
      </c>
      <c r="H16" s="1">
        <v>21506</v>
      </c>
    </row>
    <row r="19" spans="1:1" x14ac:dyDescent="0.2">
      <c r="A19" t="s">
        <v>4</v>
      </c>
    </row>
    <row r="20" spans="1:1" x14ac:dyDescent="0.2">
      <c r="A20" s="9" t="s">
        <v>3</v>
      </c>
    </row>
    <row r="21" spans="1:1" x14ac:dyDescent="0.2">
      <c r="A21" s="9" t="s">
        <v>5</v>
      </c>
    </row>
    <row r="22" spans="1:1" x14ac:dyDescent="0.2">
      <c r="A22" s="9" t="s">
        <v>6</v>
      </c>
    </row>
  </sheetData>
  <hyperlinks>
    <hyperlink ref="A22" r:id="rId1" xr:uid="{EBC75FA1-A92C-5546-81D9-BD97D35BAE49}"/>
    <hyperlink ref="A20" r:id="rId2" xr:uid="{1353C97A-95CD-4B48-B6DE-EE294D5E5B45}"/>
    <hyperlink ref="A21" r:id="rId3" xr:uid="{C591D7FA-A528-5E42-BC72-27AA90F19DF9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A887-3E13-8C40-92B1-F87D5E8CE8EA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77611</v>
      </c>
      <c r="C2" s="1">
        <v>78773</v>
      </c>
      <c r="D2" s="43">
        <f>(Table55456791564708453758187151159[[#This Row],[This Week]]-Table55456791564708453758187151159[[#This Row],[Last Week]])/Table55456791564708453758187151159[[#This Row],[Last Week]]</f>
        <v>-1.4751247254770035E-2</v>
      </c>
      <c r="E2" s="1">
        <v>77392</v>
      </c>
      <c r="F2" s="1">
        <v>3689594</v>
      </c>
      <c r="G2" s="1">
        <v>2030776</v>
      </c>
      <c r="H2" s="1">
        <f>H9+H10</f>
        <v>15073025</v>
      </c>
    </row>
    <row r="3" spans="1:8" x14ac:dyDescent="0.2">
      <c r="A3" s="10" t="s">
        <v>13</v>
      </c>
      <c r="B3" s="1">
        <v>1816</v>
      </c>
      <c r="C3" s="1">
        <v>1926</v>
      </c>
      <c r="D3" s="43">
        <f>(Table55456791564708453758187151159[[#This Row],[This Week]]-Table55456791564708453758187151159[[#This Row],[Last Week]])/Table55456791564708453758187151159[[#This Row],[Last Week]]</f>
        <v>-5.7113187954309447E-2</v>
      </c>
      <c r="E3" s="1">
        <v>33728</v>
      </c>
      <c r="F3" s="1">
        <v>466925</v>
      </c>
      <c r="G3" s="1">
        <v>794960</v>
      </c>
      <c r="H3" s="1">
        <f>H11+H13</f>
        <v>9215168</v>
      </c>
    </row>
    <row r="4" spans="1:8" x14ac:dyDescent="0.2">
      <c r="A4" s="10" t="s">
        <v>14</v>
      </c>
      <c r="B4" s="1">
        <v>923</v>
      </c>
      <c r="C4" s="1">
        <v>1011</v>
      </c>
      <c r="D4" s="43">
        <f>(Table55456791564708453758187151159[[#This Row],[This Week]]-Table55456791564708453758187151159[[#This Row],[Last Week]])/Table55456791564708453758187151159[[#This Row],[Last Week]]</f>
        <v>-8.7042532146389712E-2</v>
      </c>
      <c r="E4" s="1">
        <v>1518</v>
      </c>
      <c r="F4" s="1">
        <v>42907</v>
      </c>
      <c r="G4" s="1">
        <v>159680</v>
      </c>
      <c r="H4" s="1">
        <v>24539054</v>
      </c>
    </row>
    <row r="5" spans="1:8" x14ac:dyDescent="0.2">
      <c r="A5" s="8" t="s">
        <v>15</v>
      </c>
      <c r="B5" s="1">
        <v>29</v>
      </c>
      <c r="C5" s="1">
        <v>28</v>
      </c>
      <c r="D5" s="43">
        <f>(Table55456791564708453758187151159[[#This Row],[This Week]]-Table55456791564708453758187151159[[#This Row],[Last Week]])/Table55456791564708453758187151159[[#This Row],[Last Week]]</f>
        <v>3.5714285714285712E-2</v>
      </c>
      <c r="E5" s="1">
        <v>65</v>
      </c>
      <c r="F5" s="1">
        <v>3051</v>
      </c>
      <c r="G5" s="1">
        <v>4455</v>
      </c>
      <c r="H5" s="1">
        <v>114297</v>
      </c>
    </row>
    <row r="6" spans="1:8" x14ac:dyDescent="0.2">
      <c r="A6" s="31" t="s">
        <v>16</v>
      </c>
      <c r="B6" s="32">
        <f>SUM(B2:B5)</f>
        <v>80379</v>
      </c>
      <c r="C6" s="32">
        <f>SUM(C2:C5)</f>
        <v>81738</v>
      </c>
      <c r="D6" s="46">
        <f>(Table55456791564708453758187151159[[#This Row],[This Week]]-Table55456791564708453758187151159[[#This Row],[Last Week]])/Table55456791564708453758187151159[[#This Row],[Last Week]]</f>
        <v>-1.6626293767892535E-2</v>
      </c>
      <c r="E6" s="32">
        <f>SUM(E2:E5)+34</f>
        <v>112737</v>
      </c>
      <c r="F6" s="32">
        <f>SUM(F2:F5)</f>
        <v>4202477</v>
      </c>
      <c r="G6" s="32">
        <f>SUM(G2:G5)+37132</f>
        <v>3027003</v>
      </c>
      <c r="H6" s="32">
        <f>SUM(H2:H5)</f>
        <v>48941544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45961</v>
      </c>
      <c r="C9" s="1">
        <v>54734</v>
      </c>
      <c r="D9" s="43">
        <f>(Table5155578101665718558768288152160[[#This Row],[This Week]]-Table5155578101665718558768288152160[[#This Row],[Last Week]])/Table5155578101665718558768288152160[[#This Row],[Last Week]]</f>
        <v>-0.1602842839916688</v>
      </c>
      <c r="E9" s="1">
        <v>77392</v>
      </c>
      <c r="F9" s="1">
        <v>2151047</v>
      </c>
      <c r="G9" s="1">
        <v>2030776</v>
      </c>
      <c r="H9" s="1">
        <v>12489095</v>
      </c>
    </row>
    <row r="10" spans="1:8" x14ac:dyDescent="0.2">
      <c r="A10" s="44" t="s">
        <v>18</v>
      </c>
      <c r="B10" s="1">
        <v>31650</v>
      </c>
      <c r="C10" s="1">
        <v>24039</v>
      </c>
      <c r="D10" s="43">
        <f>(Table5155578101665718558768288152160[[#This Row],[This Week]]-Table5155578101665718558768288152160[[#This Row],[Last Week]])/Table5155578101665718558768288152160[[#This Row],[Last Week]]</f>
        <v>0.31661050792462248</v>
      </c>
      <c r="E10" s="1" t="s">
        <v>17</v>
      </c>
      <c r="F10" s="1">
        <v>1538547</v>
      </c>
      <c r="G10" s="1" t="s">
        <v>17</v>
      </c>
      <c r="H10" s="1">
        <v>2583930</v>
      </c>
    </row>
    <row r="11" spans="1:8" x14ac:dyDescent="0.2">
      <c r="A11" s="44" t="s">
        <v>13</v>
      </c>
      <c r="B11" s="1">
        <v>1713</v>
      </c>
      <c r="C11" s="1">
        <v>1817</v>
      </c>
      <c r="D11" s="43">
        <f>(Table5155578101665718558768288152160[[#This Row],[This Week]]-Table5155578101665718558768288152160[[#This Row],[Last Week]])/Table5155578101665718558768288152160[[#This Row],[Last Week]]</f>
        <v>-5.7237204182718771E-2</v>
      </c>
      <c r="E11" s="1">
        <v>20667</v>
      </c>
      <c r="F11" s="1">
        <v>290471</v>
      </c>
      <c r="G11" s="1">
        <v>506995</v>
      </c>
      <c r="H11" s="1">
        <v>7643744</v>
      </c>
    </row>
    <row r="12" spans="1:8" x14ac:dyDescent="0.2">
      <c r="A12" s="42" t="s">
        <v>22</v>
      </c>
      <c r="B12" s="1">
        <v>867</v>
      </c>
      <c r="C12" s="1">
        <v>969</v>
      </c>
      <c r="D12" s="43">
        <f>(Table5155578101665718558768288152160[[#This Row],[This Week]]-Table5155578101665718558768288152160[[#This Row],[Last Week]])/Table5155578101665718558768288152160[[#This Row],[Last Week]]</f>
        <v>-0.10526315789473684</v>
      </c>
      <c r="E12" s="1">
        <v>1357</v>
      </c>
      <c r="F12" s="1">
        <v>40356</v>
      </c>
      <c r="G12" s="1">
        <v>130527</v>
      </c>
      <c r="H12" s="1">
        <v>1144602</v>
      </c>
    </row>
    <row r="13" spans="1:8" x14ac:dyDescent="0.2">
      <c r="A13" s="44" t="s">
        <v>21</v>
      </c>
      <c r="B13" s="1">
        <v>103</v>
      </c>
      <c r="C13" s="1">
        <v>109</v>
      </c>
      <c r="D13" s="43">
        <f>(Table5155578101665718558768288152160[[#This Row],[This Week]]-Table5155578101665718558768288152160[[#This Row],[Last Week]])/Table5155578101665718558768288152160[[#This Row],[Last Week]]</f>
        <v>-5.5045871559633031E-2</v>
      </c>
      <c r="E13" s="1">
        <v>13061</v>
      </c>
      <c r="F13" s="1">
        <v>176454</v>
      </c>
      <c r="G13" s="1">
        <v>287965</v>
      </c>
      <c r="H13" s="1">
        <v>1571424</v>
      </c>
    </row>
    <row r="14" spans="1:8" x14ac:dyDescent="0.2">
      <c r="A14" s="42" t="s">
        <v>23</v>
      </c>
      <c r="B14" s="1">
        <v>56</v>
      </c>
      <c r="C14" s="1">
        <v>42</v>
      </c>
      <c r="D14" s="43">
        <f>(Table5155578101665718558768288152160[[#This Row],[This Week]]-Table5155578101665718558768288152160[[#This Row],[Last Week]])/Table5155578101665718558768288152160[[#This Row],[Last Week]]</f>
        <v>0.33333333333333331</v>
      </c>
      <c r="E14" s="1">
        <v>161</v>
      </c>
      <c r="F14" s="1">
        <v>2551</v>
      </c>
      <c r="G14" s="1">
        <v>28062</v>
      </c>
      <c r="H14" s="1">
        <v>5888466</v>
      </c>
    </row>
    <row r="15" spans="1:8" x14ac:dyDescent="0.2">
      <c r="A15" s="38" t="s">
        <v>19</v>
      </c>
      <c r="B15" s="1">
        <v>17</v>
      </c>
      <c r="C15" s="1">
        <v>15</v>
      </c>
      <c r="D15" s="43">
        <f>(Table5155578101665718558768288152160[[#This Row],[This Week]]-Table5155578101665718558768288152160[[#This Row],[Last Week]])/Table5155578101665718558768288152160[[#This Row],[Last Week]]</f>
        <v>0.13333333333333333</v>
      </c>
      <c r="E15" s="1">
        <v>36</v>
      </c>
      <c r="F15" s="1">
        <v>2135</v>
      </c>
      <c r="G15" s="1">
        <v>3031</v>
      </c>
      <c r="H15" s="1">
        <v>20777</v>
      </c>
    </row>
    <row r="16" spans="1:8" x14ac:dyDescent="0.2">
      <c r="A16" s="59" t="s">
        <v>20</v>
      </c>
      <c r="B16" s="1">
        <v>12</v>
      </c>
      <c r="C16" s="1">
        <v>13</v>
      </c>
      <c r="D16" s="43">
        <f>(Table5155578101665718558768288152160[[#This Row],[This Week]]-Table5155578101665718558768288152160[[#This Row],[Last Week]])/Table5155578101665718558768288152160[[#This Row],[Last Week]]</f>
        <v>-7.6923076923076927E-2</v>
      </c>
      <c r="E16" s="1">
        <v>29</v>
      </c>
      <c r="F16" s="1">
        <v>916</v>
      </c>
      <c r="G16" s="1">
        <v>1424</v>
      </c>
      <c r="H16" s="1">
        <v>21518</v>
      </c>
    </row>
    <row r="19" spans="1:1" x14ac:dyDescent="0.2">
      <c r="A19" t="s">
        <v>4</v>
      </c>
    </row>
    <row r="20" spans="1:1" x14ac:dyDescent="0.2">
      <c r="A20" s="9" t="s">
        <v>3</v>
      </c>
    </row>
    <row r="21" spans="1:1" x14ac:dyDescent="0.2">
      <c r="A21" s="9" t="s">
        <v>5</v>
      </c>
    </row>
    <row r="22" spans="1:1" x14ac:dyDescent="0.2">
      <c r="A22" s="9" t="s">
        <v>6</v>
      </c>
    </row>
  </sheetData>
  <hyperlinks>
    <hyperlink ref="A22" r:id="rId1" xr:uid="{8ACA1C01-5877-9149-8BBC-ADDF321F600C}"/>
    <hyperlink ref="A20" r:id="rId2" xr:uid="{D0A8939C-4BDD-A142-9221-FFDB6D70B781}"/>
    <hyperlink ref="A21" r:id="rId3" xr:uid="{7C3B150E-FD96-BD4D-8529-FE060A37FF60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A9DB9-2E59-1B4E-85DD-092F35B70DB7}">
  <dimension ref="A1:H22"/>
  <sheetViews>
    <sheetView workbookViewId="0">
      <selection activeCell="A21" sqref="A21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83920</v>
      </c>
      <c r="C2" s="1">
        <v>77611</v>
      </c>
      <c r="D2" s="43">
        <f>(Table55456791564708453758187151163[[#This Row],[This Week]]-Table55456791564708453758187151163[[#This Row],[Last Week]])/Table55456791564708453758187151163[[#This Row],[Last Week]]</f>
        <v>8.1290023321436394E-2</v>
      </c>
      <c r="E2" s="1">
        <v>51619</v>
      </c>
      <c r="F2" s="1">
        <v>3773514</v>
      </c>
      <c r="G2" s="1">
        <v>2082395</v>
      </c>
      <c r="H2" s="1">
        <f>H9+H10</f>
        <v>15156945</v>
      </c>
    </row>
    <row r="3" spans="1:8" x14ac:dyDescent="0.2">
      <c r="A3" s="10" t="s">
        <v>13</v>
      </c>
      <c r="B3" s="1">
        <v>2161</v>
      </c>
      <c r="C3" s="1">
        <v>1816</v>
      </c>
      <c r="D3" s="43">
        <f>(Table55456791564708453758187151163[[#This Row],[This Week]]-Table55456791564708453758187151163[[#This Row],[Last Week]])/Table55456791564708453758187151163[[#This Row],[Last Week]]</f>
        <v>0.18997797356828194</v>
      </c>
      <c r="E3" s="1">
        <v>27437</v>
      </c>
      <c r="F3" s="1">
        <v>469086</v>
      </c>
      <c r="G3" s="1">
        <v>822397</v>
      </c>
      <c r="H3" s="1">
        <f>H11+H13</f>
        <v>9217329</v>
      </c>
    </row>
    <row r="4" spans="1:8" x14ac:dyDescent="0.2">
      <c r="A4" s="10" t="s">
        <v>14</v>
      </c>
      <c r="B4" s="1">
        <v>849</v>
      </c>
      <c r="C4" s="1">
        <v>923</v>
      </c>
      <c r="D4" s="43">
        <f>(Table55456791564708453758187151163[[#This Row],[This Week]]-Table55456791564708453758187151163[[#This Row],[Last Week]])/Table55456791564708453758187151163[[#This Row],[Last Week]]</f>
        <v>-8.017334777898158E-2</v>
      </c>
      <c r="E4" s="1">
        <v>1849</v>
      </c>
      <c r="F4" s="1">
        <v>43756</v>
      </c>
      <c r="G4" s="1">
        <v>161529</v>
      </c>
      <c r="H4" s="1">
        <v>24539903</v>
      </c>
    </row>
    <row r="5" spans="1:8" x14ac:dyDescent="0.2">
      <c r="A5" s="8" t="s">
        <v>15</v>
      </c>
      <c r="B5" s="1">
        <v>35</v>
      </c>
      <c r="C5" s="1">
        <v>29</v>
      </c>
      <c r="D5" s="43">
        <f>(Table55456791564708453758187151163[[#This Row],[This Week]]-Table55456791564708453758187151163[[#This Row],[Last Week]])/Table55456791564708453758187151163[[#This Row],[Last Week]]</f>
        <v>0.20689655172413793</v>
      </c>
      <c r="E5" s="1">
        <v>97</v>
      </c>
      <c r="F5" s="1">
        <v>3086</v>
      </c>
      <c r="G5" s="1">
        <v>4552</v>
      </c>
      <c r="H5" s="1">
        <v>114332</v>
      </c>
    </row>
    <row r="6" spans="1:8" x14ac:dyDescent="0.2">
      <c r="A6" s="31" t="s">
        <v>16</v>
      </c>
      <c r="B6" s="32">
        <f>SUM(B2:B5)</f>
        <v>86965</v>
      </c>
      <c r="C6" s="32">
        <f>SUM(C2:C5)</f>
        <v>80379</v>
      </c>
      <c r="D6" s="46">
        <f>(Table55456791564708453758187151163[[#This Row],[This Week]]-Table55456791564708453758187151163[[#This Row],[Last Week]])/Table55456791564708453758187151163[[#This Row],[Last Week]]</f>
        <v>8.1936824294902899E-2</v>
      </c>
      <c r="E6" s="32">
        <f>SUM(E2:E5)+42</f>
        <v>81044</v>
      </c>
      <c r="F6" s="32">
        <f>SUM(F2:F5)</f>
        <v>4289442</v>
      </c>
      <c r="G6" s="32">
        <f>SUM(G2:G5)+37174</f>
        <v>3108047</v>
      </c>
      <c r="H6" s="32">
        <f>SUM(H2:H5)</f>
        <v>49028509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53462</v>
      </c>
      <c r="C9" s="1">
        <v>45961</v>
      </c>
      <c r="D9" s="43">
        <f>(Table5155578101665718558768288152164[[#This Row],[This Week]]-Table5155578101665718558768288152164[[#This Row],[Last Week]])/Table5155578101665718558768288152164[[#This Row],[Last Week]]</f>
        <v>0.16320358564870216</v>
      </c>
      <c r="E9" s="1">
        <v>51619</v>
      </c>
      <c r="F9" s="1">
        <v>2204509</v>
      </c>
      <c r="G9" s="1">
        <v>2082395</v>
      </c>
      <c r="H9" s="1">
        <v>12542557</v>
      </c>
    </row>
    <row r="10" spans="1:8" x14ac:dyDescent="0.2">
      <c r="A10" s="44" t="s">
        <v>18</v>
      </c>
      <c r="B10" s="1">
        <v>30458</v>
      </c>
      <c r="C10" s="1">
        <v>31650</v>
      </c>
      <c r="D10" s="43">
        <f>(Table5155578101665718558768288152164[[#This Row],[This Week]]-Table5155578101665718558768288152164[[#This Row],[Last Week]])/Table5155578101665718558768288152164[[#This Row],[Last Week]]</f>
        <v>-3.7661927330173775E-2</v>
      </c>
      <c r="E10" s="1" t="s">
        <v>17</v>
      </c>
      <c r="F10" s="1">
        <v>1569005</v>
      </c>
      <c r="G10" s="1" t="s">
        <v>17</v>
      </c>
      <c r="H10" s="1">
        <v>2614388</v>
      </c>
    </row>
    <row r="11" spans="1:8" x14ac:dyDescent="0.2">
      <c r="A11" s="44" t="s">
        <v>21</v>
      </c>
      <c r="B11" s="1">
        <v>1726</v>
      </c>
      <c r="C11" s="1">
        <v>103</v>
      </c>
      <c r="D11" s="43">
        <f>(Table5155578101665718558768288152164[[#This Row],[This Week]]-Table5155578101665718558768288152164[[#This Row],[Last Week]])/Table5155578101665718558768288152164[[#This Row],[Last Week]]</f>
        <v>15.757281553398059</v>
      </c>
      <c r="E11" s="1">
        <v>10138</v>
      </c>
      <c r="F11" s="1">
        <v>178180</v>
      </c>
      <c r="G11" s="1">
        <v>298103</v>
      </c>
      <c r="H11" s="1">
        <v>1573150</v>
      </c>
    </row>
    <row r="12" spans="1:8" x14ac:dyDescent="0.2">
      <c r="A12" s="42" t="s">
        <v>22</v>
      </c>
      <c r="B12" s="1">
        <v>824</v>
      </c>
      <c r="C12" s="1">
        <v>867</v>
      </c>
      <c r="D12" s="43">
        <f>(Table5155578101665718558768288152164[[#This Row],[This Week]]-Table5155578101665718558768288152164[[#This Row],[Last Week]])/Table5155578101665718558768288152164[[#This Row],[Last Week]]</f>
        <v>-4.9596309111880045E-2</v>
      </c>
      <c r="E12" s="1">
        <v>1704</v>
      </c>
      <c r="F12" s="1">
        <v>41180</v>
      </c>
      <c r="G12" s="1">
        <v>132231</v>
      </c>
      <c r="H12" s="1">
        <v>1145426</v>
      </c>
    </row>
    <row r="13" spans="1:8" x14ac:dyDescent="0.2">
      <c r="A13" s="44" t="s">
        <v>13</v>
      </c>
      <c r="B13" s="1">
        <v>435</v>
      </c>
      <c r="C13" s="1">
        <v>1713</v>
      </c>
      <c r="D13" s="43">
        <f>(Table5155578101665718558768288152164[[#This Row],[This Week]]-Table5155578101665718558768288152164[[#This Row],[Last Week]])/Table5155578101665718558768288152164[[#This Row],[Last Week]]</f>
        <v>-0.74605954465849389</v>
      </c>
      <c r="E13" s="1">
        <v>17299</v>
      </c>
      <c r="F13" s="1">
        <v>290906</v>
      </c>
      <c r="G13" s="1">
        <v>524294</v>
      </c>
      <c r="H13" s="1">
        <v>7644179</v>
      </c>
    </row>
    <row r="14" spans="1:8" x14ac:dyDescent="0.2">
      <c r="A14" s="42" t="s">
        <v>23</v>
      </c>
      <c r="B14" s="1">
        <v>25</v>
      </c>
      <c r="C14" s="1">
        <v>56</v>
      </c>
      <c r="D14" s="43">
        <f>(Table5155578101665718558768288152164[[#This Row],[This Week]]-Table5155578101665718558768288152164[[#This Row],[Last Week]])/Table5155578101665718558768288152164[[#This Row],[Last Week]]</f>
        <v>-0.5535714285714286</v>
      </c>
      <c r="E14" s="1">
        <v>145</v>
      </c>
      <c r="F14" s="1">
        <v>2576</v>
      </c>
      <c r="G14" s="1">
        <v>28207</v>
      </c>
      <c r="H14" s="1">
        <v>5888491</v>
      </c>
    </row>
    <row r="15" spans="1:8" x14ac:dyDescent="0.2">
      <c r="A15" s="38" t="s">
        <v>19</v>
      </c>
      <c r="B15" s="1">
        <v>24</v>
      </c>
      <c r="C15" s="1">
        <v>17</v>
      </c>
      <c r="D15" s="43">
        <f>(Table5155578101665718558768288152164[[#This Row],[This Week]]-Table5155578101665718558768288152164[[#This Row],[Last Week]])/Table5155578101665718558768288152164[[#This Row],[Last Week]]</f>
        <v>0.41176470588235292</v>
      </c>
      <c r="E15" s="1">
        <v>62</v>
      </c>
      <c r="F15" s="1">
        <v>2159</v>
      </c>
      <c r="G15" s="1">
        <v>3093</v>
      </c>
      <c r="H15" s="1">
        <v>20801</v>
      </c>
    </row>
    <row r="16" spans="1:8" x14ac:dyDescent="0.2">
      <c r="A16" s="59" t="s">
        <v>20</v>
      </c>
      <c r="B16" s="1">
        <v>11</v>
      </c>
      <c r="C16" s="1">
        <v>12</v>
      </c>
      <c r="D16" s="43">
        <f>(Table5155578101665718558768288152164[[#This Row],[This Week]]-Table5155578101665718558768288152164[[#This Row],[Last Week]])/Table5155578101665718558768288152164[[#This Row],[Last Week]]</f>
        <v>-8.3333333333333329E-2</v>
      </c>
      <c r="E16" s="1">
        <v>35</v>
      </c>
      <c r="F16" s="1">
        <v>927</v>
      </c>
      <c r="G16" s="1">
        <v>1459</v>
      </c>
      <c r="H16" s="1">
        <v>21529</v>
      </c>
    </row>
    <row r="19" spans="1:1" x14ac:dyDescent="0.2">
      <c r="A19" t="s">
        <v>4</v>
      </c>
    </row>
    <row r="20" spans="1:1" x14ac:dyDescent="0.2">
      <c r="A20" s="9" t="s">
        <v>5</v>
      </c>
    </row>
    <row r="21" spans="1:1" x14ac:dyDescent="0.2">
      <c r="A21" s="9" t="s">
        <v>3</v>
      </c>
    </row>
    <row r="22" spans="1:1" x14ac:dyDescent="0.2">
      <c r="A22" s="9" t="s">
        <v>6</v>
      </c>
    </row>
  </sheetData>
  <hyperlinks>
    <hyperlink ref="A21" r:id="rId1" xr:uid="{4122FDA7-1DA3-CE48-BD8D-6EB1BC03362D}"/>
    <hyperlink ref="A20" r:id="rId2" xr:uid="{3FD26BE3-49BA-AF4C-8F18-ED0174C26A17}"/>
    <hyperlink ref="A22" r:id="rId3" xr:uid="{A44F29E6-EFBC-4742-B7EB-222345FD3714}"/>
  </hyperlinks>
  <pageMargins left="0.7" right="0.7" top="0.75" bottom="0.75" header="0.3" footer="0.3"/>
  <pageSetup paperSize="9" orientation="portrait" horizontalDpi="0" verticalDpi="0"/>
  <ignoredErrors>
    <ignoredError sqref="G6" formula="1"/>
  </ignoredErrors>
  <tableParts count="2">
    <tablePart r:id="rId4"/>
    <tablePart r:id="rId5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7B5A-A2FB-7E42-BF16-C6672AF0A663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110029</v>
      </c>
      <c r="C2" s="1">
        <v>83920</v>
      </c>
      <c r="D2" s="43">
        <f>(Table55456791564708453758187119167[[#This Row],[This Week]]-Table55456791564708453758187119167[[#This Row],[Last Week]])/Table55456791564708453758187119167[[#This Row],[Last Week]]</f>
        <v>0.31111773117254526</v>
      </c>
      <c r="E2" s="1">
        <v>239740</v>
      </c>
      <c r="F2" s="1">
        <v>3883543</v>
      </c>
      <c r="G2" s="1">
        <v>2322135</v>
      </c>
      <c r="H2" s="1">
        <f>H9+H10</f>
        <v>15266974</v>
      </c>
    </row>
    <row r="3" spans="1:8" x14ac:dyDescent="0.2">
      <c r="A3" s="10" t="s">
        <v>13</v>
      </c>
      <c r="B3" s="1">
        <v>1801</v>
      </c>
      <c r="C3" s="1">
        <v>2161</v>
      </c>
      <c r="D3" s="43">
        <f>(Table55456791564708453758187119167[[#This Row],[This Week]]-Table55456791564708453758187119167[[#This Row],[Last Week]])/Table55456791564708453758187119167[[#This Row],[Last Week]]</f>
        <v>-0.16658954187875982</v>
      </c>
      <c r="E3" s="1">
        <v>24857</v>
      </c>
      <c r="F3" s="1">
        <v>470887</v>
      </c>
      <c r="G3" s="1">
        <v>847254</v>
      </c>
      <c r="H3" s="1">
        <f>H12+H13</f>
        <v>9219130</v>
      </c>
    </row>
    <row r="4" spans="1:8" x14ac:dyDescent="0.2">
      <c r="A4" s="10" t="s">
        <v>14</v>
      </c>
      <c r="B4" s="1">
        <v>5272</v>
      </c>
      <c r="C4" s="1">
        <v>849</v>
      </c>
      <c r="D4" s="43">
        <f>(Table55456791564708453758187119167[[#This Row],[This Week]]-Table55456791564708453758187119167[[#This Row],[Last Week]])/Table55456791564708453758187119167[[#This Row],[Last Week]]</f>
        <v>5.2096584216725557</v>
      </c>
      <c r="E4" s="1">
        <v>1687</v>
      </c>
      <c r="F4" s="1">
        <v>49028</v>
      </c>
      <c r="G4" s="1">
        <v>163216</v>
      </c>
      <c r="H4" s="1">
        <v>24545175</v>
      </c>
    </row>
    <row r="5" spans="1:8" x14ac:dyDescent="0.2">
      <c r="A5" s="8" t="s">
        <v>15</v>
      </c>
      <c r="B5" s="1">
        <v>31</v>
      </c>
      <c r="C5" s="1">
        <v>35</v>
      </c>
      <c r="D5" s="43">
        <f>(Table55456791564708453758187119167[[#This Row],[This Week]]-Table55456791564708453758187119167[[#This Row],[Last Week]])/Table55456791564708453758187119167[[#This Row],[Last Week]]</f>
        <v>-0.11428571428571428</v>
      </c>
      <c r="E5" s="1">
        <v>513</v>
      </c>
      <c r="F5" s="1">
        <v>3117</v>
      </c>
      <c r="G5" s="1">
        <v>5065</v>
      </c>
      <c r="H5" s="1">
        <v>114363</v>
      </c>
    </row>
    <row r="6" spans="1:8" x14ac:dyDescent="0.2">
      <c r="A6" s="31" t="s">
        <v>16</v>
      </c>
      <c r="B6" s="32">
        <f>SUM(B2:B5)</f>
        <v>117133</v>
      </c>
      <c r="C6" s="32">
        <f>SUM(C2:C5)</f>
        <v>86965</v>
      </c>
      <c r="D6" s="46">
        <f>(Table55456791564708453758187119167[[#This Row],[This Week]]-Table55456791564708453758187119167[[#This Row],[Last Week]])/Table55456791564708453758187119167[[#This Row],[Last Week]]</f>
        <v>0.34689817742770079</v>
      </c>
      <c r="E6" s="32">
        <f>SUM(E2:E5)+28</f>
        <v>266825</v>
      </c>
      <c r="F6" s="32">
        <f>SUM(F2:F5)</f>
        <v>4406575</v>
      </c>
      <c r="G6" s="32">
        <f>SUM(G2:G5)+37202</f>
        <v>3374872</v>
      </c>
      <c r="H6" s="32">
        <f>SUM(H2:H5)</f>
        <v>49145642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77846</v>
      </c>
      <c r="C9" s="1">
        <v>53462</v>
      </c>
      <c r="D9" s="43">
        <f>(Table5155578101665718558768288120168[[#This Row],[This Week]]-Table5155578101665718558768288120168[[#This Row],[Last Week]])/Table5155578101665718558768288120168[[#This Row],[Last Week]]</f>
        <v>0.45609965957128429</v>
      </c>
      <c r="E9" s="1">
        <v>61804</v>
      </c>
      <c r="F9" s="1">
        <v>2282355</v>
      </c>
      <c r="G9" s="1">
        <v>2144199</v>
      </c>
      <c r="H9" s="1">
        <v>12620403</v>
      </c>
    </row>
    <row r="10" spans="1:8" x14ac:dyDescent="0.2">
      <c r="A10" s="44" t="s">
        <v>18</v>
      </c>
      <c r="B10" s="1">
        <v>32183</v>
      </c>
      <c r="C10" s="1">
        <v>30458</v>
      </c>
      <c r="D10" s="43">
        <f>(Table5155578101665718558768288120168[[#This Row],[This Week]]-Table5155578101665718558768288120168[[#This Row],[Last Week]])/Table5155578101665718558768288120168[[#This Row],[Last Week]]</f>
        <v>5.6635366734519667E-2</v>
      </c>
      <c r="E10" s="1">
        <v>177936</v>
      </c>
      <c r="F10" s="1">
        <v>1601188</v>
      </c>
      <c r="G10" s="1">
        <v>177936</v>
      </c>
      <c r="H10" s="1">
        <v>2646571</v>
      </c>
    </row>
    <row r="11" spans="1:8" x14ac:dyDescent="0.2">
      <c r="A11" s="18" t="s">
        <v>22</v>
      </c>
      <c r="B11" s="1">
        <v>5209</v>
      </c>
      <c r="C11" s="1">
        <v>824</v>
      </c>
      <c r="D11" s="43">
        <f>(Table5155578101665718558768288120168[[#This Row],[This Week]]-Table5155578101665718558768288120168[[#This Row],[Last Week]])/Table5155578101665718558768288120168[[#This Row],[Last Week]]</f>
        <v>5.3216019417475726</v>
      </c>
      <c r="E11" s="1">
        <v>1516</v>
      </c>
      <c r="F11" s="1">
        <v>46389</v>
      </c>
      <c r="G11" s="1">
        <v>133747</v>
      </c>
      <c r="H11" s="1">
        <v>1150635</v>
      </c>
    </row>
    <row r="12" spans="1:8" x14ac:dyDescent="0.2">
      <c r="A12" s="22" t="s">
        <v>13</v>
      </c>
      <c r="B12" s="1">
        <v>1423</v>
      </c>
      <c r="C12" s="1">
        <v>435</v>
      </c>
      <c r="D12" s="43">
        <f>(Table5155578101665718558768288120168[[#This Row],[This Week]]-Table5155578101665718558768288120168[[#This Row],[Last Week]])/Table5155578101665718558768288120168[[#This Row],[Last Week]]</f>
        <v>2.2712643678160918</v>
      </c>
      <c r="E12" s="1">
        <v>15482</v>
      </c>
      <c r="F12" s="1">
        <v>292329</v>
      </c>
      <c r="G12" s="1">
        <v>539776</v>
      </c>
      <c r="H12" s="1">
        <v>7645602</v>
      </c>
    </row>
    <row r="13" spans="1:8" x14ac:dyDescent="0.2">
      <c r="A13" s="54" t="s">
        <v>21</v>
      </c>
      <c r="B13" s="1">
        <v>378</v>
      </c>
      <c r="C13" s="1">
        <v>1726</v>
      </c>
      <c r="D13" s="43">
        <f>(Table5155578101665718558768288120168[[#This Row],[This Week]]-Table5155578101665718558768288120168[[#This Row],[Last Week]])/Table5155578101665718558768288120168[[#This Row],[Last Week]]</f>
        <v>-0.78099652375434536</v>
      </c>
      <c r="E13" s="1">
        <v>9375</v>
      </c>
      <c r="F13" s="1">
        <v>178558</v>
      </c>
      <c r="G13" s="1">
        <v>307478</v>
      </c>
      <c r="H13" s="1">
        <v>1573528</v>
      </c>
    </row>
    <row r="14" spans="1:8" x14ac:dyDescent="0.2">
      <c r="A14" s="26" t="s">
        <v>23</v>
      </c>
      <c r="B14" s="1">
        <v>63</v>
      </c>
      <c r="C14" s="1">
        <v>25</v>
      </c>
      <c r="D14" s="43">
        <f>(Table5155578101665718558768288120168[[#This Row],[This Week]]-Table5155578101665718558768288120168[[#This Row],[Last Week]])/Table5155578101665718558768288120168[[#This Row],[Last Week]]</f>
        <v>1.52</v>
      </c>
      <c r="E14" s="1">
        <v>171</v>
      </c>
      <c r="F14" s="1">
        <v>2639</v>
      </c>
      <c r="G14" s="1">
        <v>28378</v>
      </c>
      <c r="H14" s="1">
        <v>5888554</v>
      </c>
    </row>
    <row r="15" spans="1:8" x14ac:dyDescent="0.2">
      <c r="A15" s="38" t="s">
        <v>19</v>
      </c>
      <c r="B15" s="1">
        <v>18</v>
      </c>
      <c r="C15" s="1">
        <v>24</v>
      </c>
      <c r="D15" s="43">
        <f>(Table5155578101665718558768288120168[[#This Row],[This Week]]-Table5155578101665718558768288120168[[#This Row],[Last Week]])/Table5155578101665718558768288120168[[#This Row],[Last Week]]</f>
        <v>-0.25</v>
      </c>
      <c r="E15" s="1">
        <v>358</v>
      </c>
      <c r="F15" s="1">
        <v>2177</v>
      </c>
      <c r="G15" s="1">
        <v>3451</v>
      </c>
      <c r="H15" s="1">
        <v>20819</v>
      </c>
    </row>
    <row r="16" spans="1:8" x14ac:dyDescent="0.2">
      <c r="A16" s="53" t="s">
        <v>20</v>
      </c>
      <c r="B16" s="1">
        <v>13</v>
      </c>
      <c r="C16" s="1">
        <v>11</v>
      </c>
      <c r="D16" s="43">
        <f>(Table5155578101665718558768288120168[[#This Row],[This Week]]-Table5155578101665718558768288120168[[#This Row],[Last Week]])/Table5155578101665718558768288120168[[#This Row],[Last Week]]</f>
        <v>0.18181818181818182</v>
      </c>
      <c r="E16" s="1">
        <v>155</v>
      </c>
      <c r="F16" s="1">
        <v>940</v>
      </c>
      <c r="G16" s="1">
        <v>1614</v>
      </c>
      <c r="H16" s="1">
        <v>21542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display="Sources: Gematsu" xr:uid="{C32E37A9-745A-254C-83E1-3EA901D8D62A}"/>
    <hyperlink ref="A20" r:id="rId2" xr:uid="{DED68A63-1E23-BF45-AF3F-78686F7C8E73}"/>
    <hyperlink ref="A22" r:id="rId3" xr:uid="{8BFAC7A4-3A94-6040-A824-96A343F12691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BBBB-E319-3D46-B98E-021BF6FB9789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70542</v>
      </c>
      <c r="C2" s="1">
        <v>110029</v>
      </c>
      <c r="D2" s="43">
        <f>(Table55456791564708453758187119171[[#This Row],[This Week]]-Table55456791564708453758187119171[[#This Row],[Last Week]])/Table55456791564708453758187119171[[#This Row],[Last Week]]</f>
        <v>-0.35887811395177632</v>
      </c>
      <c r="E2" s="1">
        <v>196489</v>
      </c>
      <c r="F2" s="1">
        <v>3954085</v>
      </c>
      <c r="G2" s="1">
        <v>2518624</v>
      </c>
      <c r="H2" s="1">
        <f>H9+H10</f>
        <v>15337516</v>
      </c>
    </row>
    <row r="3" spans="1:8" x14ac:dyDescent="0.2">
      <c r="A3" s="10" t="s">
        <v>13</v>
      </c>
      <c r="B3" s="1">
        <v>2954</v>
      </c>
      <c r="C3" s="1">
        <v>1801</v>
      </c>
      <c r="D3" s="43">
        <f>(Table55456791564708453758187119171[[#This Row],[This Week]]-Table55456791564708453758187119171[[#This Row],[Last Week]])/Table55456791564708453758187119171[[#This Row],[Last Week]]</f>
        <v>0.640199888950583</v>
      </c>
      <c r="E3" s="1">
        <v>24658</v>
      </c>
      <c r="F3" s="1">
        <v>473841</v>
      </c>
      <c r="G3" s="1">
        <v>871912</v>
      </c>
      <c r="H3" s="1">
        <f>H12+H13</f>
        <v>9222084</v>
      </c>
    </row>
    <row r="4" spans="1:8" x14ac:dyDescent="0.2">
      <c r="A4" s="10" t="s">
        <v>14</v>
      </c>
      <c r="B4" s="1">
        <v>3828</v>
      </c>
      <c r="C4" s="1">
        <v>5272</v>
      </c>
      <c r="D4" s="43">
        <f>(Table55456791564708453758187119171[[#This Row],[This Week]]-Table55456791564708453758187119171[[#This Row],[Last Week]])/Table55456791564708453758187119171[[#This Row],[Last Week]]</f>
        <v>-0.27389984825493169</v>
      </c>
      <c r="E4" s="1">
        <v>2384</v>
      </c>
      <c r="F4" s="1">
        <v>52856</v>
      </c>
      <c r="G4" s="1">
        <v>165600</v>
      </c>
      <c r="H4" s="1">
        <v>24549003</v>
      </c>
    </row>
    <row r="5" spans="1:8" x14ac:dyDescent="0.2">
      <c r="A5" s="8" t="s">
        <v>15</v>
      </c>
      <c r="B5" s="1">
        <v>29</v>
      </c>
      <c r="C5" s="1">
        <v>31</v>
      </c>
      <c r="D5" s="43">
        <f>(Table55456791564708453758187119171[[#This Row],[This Week]]-Table55456791564708453758187119171[[#This Row],[Last Week]])/Table55456791564708453758187119171[[#This Row],[Last Week]]</f>
        <v>-6.4516129032258063E-2</v>
      </c>
      <c r="E5" s="1">
        <v>158</v>
      </c>
      <c r="F5" s="1">
        <v>3146</v>
      </c>
      <c r="G5" s="1">
        <v>5223</v>
      </c>
      <c r="H5" s="1">
        <v>114392</v>
      </c>
    </row>
    <row r="6" spans="1:8" x14ac:dyDescent="0.2">
      <c r="A6" s="31" t="s">
        <v>16</v>
      </c>
      <c r="B6" s="32">
        <f>SUM(B2:B5)</f>
        <v>77353</v>
      </c>
      <c r="C6" s="32">
        <f>SUM(C2:C5)</f>
        <v>117133</v>
      </c>
      <c r="D6" s="46">
        <f>(Table55456791564708453758187119171[[#This Row],[This Week]]-Table55456791564708453758187119171[[#This Row],[Last Week]])/Table55456791564708453758187119171[[#This Row],[Last Week]]</f>
        <v>-0.33961394312448245</v>
      </c>
      <c r="E6" s="32">
        <f>SUM(E2:E5)+39</f>
        <v>223728</v>
      </c>
      <c r="F6" s="32">
        <f>SUM(F2:F5)</f>
        <v>4483928</v>
      </c>
      <c r="G6" s="32">
        <f>SUM(G2:G5)+37241</f>
        <v>3598600</v>
      </c>
      <c r="H6" s="32">
        <f>SUM(H2:H5)</f>
        <v>49222995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42111</v>
      </c>
      <c r="C9" s="1">
        <v>77846</v>
      </c>
      <c r="D9" s="43">
        <f>(Table5155578101665718558768288120172[[#This Row],[This Week]]-Table5155578101665718558768288120172[[#This Row],[Last Week]])/Table5155578101665718558768288120172[[#This Row],[Last Week]]</f>
        <v>-0.45904734989594842</v>
      </c>
      <c r="E9" s="1">
        <v>115732</v>
      </c>
      <c r="F9" s="1">
        <v>2324466</v>
      </c>
      <c r="G9" s="1">
        <v>2259931</v>
      </c>
      <c r="H9" s="1">
        <v>12662514</v>
      </c>
    </row>
    <row r="10" spans="1:8" x14ac:dyDescent="0.2">
      <c r="A10" s="44" t="s">
        <v>18</v>
      </c>
      <c r="B10" s="1">
        <v>28431</v>
      </c>
      <c r="C10" s="1">
        <v>32183</v>
      </c>
      <c r="D10" s="43">
        <f>(Table5155578101665718558768288120172[[#This Row],[This Week]]-Table5155578101665718558768288120172[[#This Row],[Last Week]])/Table5155578101665718558768288120172[[#This Row],[Last Week]]</f>
        <v>-0.11658328931423423</v>
      </c>
      <c r="E10" s="1">
        <v>80757</v>
      </c>
      <c r="F10" s="1">
        <v>1629619</v>
      </c>
      <c r="G10" s="1">
        <v>258693</v>
      </c>
      <c r="H10" s="1">
        <v>2675002</v>
      </c>
    </row>
    <row r="11" spans="1:8" x14ac:dyDescent="0.2">
      <c r="A11" s="18" t="s">
        <v>22</v>
      </c>
      <c r="B11" s="1">
        <v>3774</v>
      </c>
      <c r="C11" s="1">
        <v>5209</v>
      </c>
      <c r="D11" s="43">
        <f>(Table5155578101665718558768288120172[[#This Row],[This Week]]-Table5155578101665718558768288120172[[#This Row],[Last Week]])/Table5155578101665718558768288120172[[#This Row],[Last Week]]</f>
        <v>-0.27548473795354195</v>
      </c>
      <c r="E11" s="1">
        <v>2181</v>
      </c>
      <c r="F11" s="1">
        <v>50163</v>
      </c>
      <c r="G11" s="1">
        <v>135928</v>
      </c>
      <c r="H11" s="1">
        <v>1154409</v>
      </c>
    </row>
    <row r="12" spans="1:8" x14ac:dyDescent="0.2">
      <c r="A12" s="22" t="s">
        <v>13</v>
      </c>
      <c r="B12" s="1">
        <v>2473</v>
      </c>
      <c r="C12" s="1">
        <v>1423</v>
      </c>
      <c r="D12" s="43">
        <f>(Table5155578101665718558768288120172[[#This Row],[This Week]]-Table5155578101665718558768288120172[[#This Row],[Last Week]])/Table5155578101665718558768288120172[[#This Row],[Last Week]]</f>
        <v>0.73787772312016864</v>
      </c>
      <c r="E12" s="1">
        <v>15034</v>
      </c>
      <c r="F12" s="1">
        <v>294802</v>
      </c>
      <c r="G12" s="1">
        <v>554810</v>
      </c>
      <c r="H12" s="1">
        <v>7648075</v>
      </c>
    </row>
    <row r="13" spans="1:8" x14ac:dyDescent="0.2">
      <c r="A13" s="54" t="s">
        <v>21</v>
      </c>
      <c r="B13" s="1">
        <v>481</v>
      </c>
      <c r="C13" s="1">
        <v>378</v>
      </c>
      <c r="D13" s="43">
        <f>(Table5155578101665718558768288120172[[#This Row],[This Week]]-Table5155578101665718558768288120172[[#This Row],[Last Week]])/Table5155578101665718558768288120172[[#This Row],[Last Week]]</f>
        <v>0.2724867724867725</v>
      </c>
      <c r="E13" s="1">
        <v>9624</v>
      </c>
      <c r="F13" s="1">
        <v>179039</v>
      </c>
      <c r="G13" s="1">
        <v>317102</v>
      </c>
      <c r="H13" s="1">
        <v>1574009</v>
      </c>
    </row>
    <row r="14" spans="1:8" x14ac:dyDescent="0.2">
      <c r="A14" s="26" t="s">
        <v>23</v>
      </c>
      <c r="B14" s="1">
        <v>54</v>
      </c>
      <c r="C14" s="1">
        <v>63</v>
      </c>
      <c r="D14" s="43">
        <f>(Table5155578101665718558768288120172[[#This Row],[This Week]]-Table5155578101665718558768288120172[[#This Row],[Last Week]])/Table5155578101665718558768288120172[[#This Row],[Last Week]]</f>
        <v>-0.14285714285714285</v>
      </c>
      <c r="E14" s="1">
        <v>203</v>
      </c>
      <c r="F14" s="1">
        <v>2693</v>
      </c>
      <c r="G14" s="1">
        <v>28581</v>
      </c>
      <c r="H14" s="1">
        <v>5888608</v>
      </c>
    </row>
    <row r="15" spans="1:8" x14ac:dyDescent="0.2">
      <c r="A15" s="38" t="s">
        <v>19</v>
      </c>
      <c r="B15" s="1">
        <v>15</v>
      </c>
      <c r="C15" s="1">
        <v>18</v>
      </c>
      <c r="D15" s="43">
        <f>(Table5155578101665718558768288120172[[#This Row],[This Week]]-Table5155578101665718558768288120172[[#This Row],[Last Week]])/Table5155578101665718558768288120172[[#This Row],[Last Week]]</f>
        <v>-0.16666666666666666</v>
      </c>
      <c r="E15" s="1">
        <v>83</v>
      </c>
      <c r="F15" s="1">
        <v>2192</v>
      </c>
      <c r="G15" s="1">
        <v>3534</v>
      </c>
      <c r="H15" s="1">
        <v>20834</v>
      </c>
    </row>
    <row r="16" spans="1:8" x14ac:dyDescent="0.2">
      <c r="A16" s="53" t="s">
        <v>20</v>
      </c>
      <c r="B16" s="1">
        <v>14</v>
      </c>
      <c r="C16" s="1">
        <v>13</v>
      </c>
      <c r="D16" s="43">
        <f>(Table5155578101665718558768288120172[[#This Row],[This Week]]-Table5155578101665718558768288120172[[#This Row],[Last Week]])/Table5155578101665718558768288120172[[#This Row],[Last Week]]</f>
        <v>7.6923076923076927E-2</v>
      </c>
      <c r="E16" s="1">
        <v>75</v>
      </c>
      <c r="F16" s="1">
        <v>954</v>
      </c>
      <c r="G16" s="1">
        <v>1689</v>
      </c>
      <c r="H16" s="1">
        <v>21556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8E5313DA-0A01-9B4C-813C-B4E379669D93}"/>
    <hyperlink ref="A20" r:id="rId2" xr:uid="{ADE2ED7B-58B4-E943-9790-63E1BDE8B2F5}"/>
    <hyperlink ref="A22" r:id="rId3" xr:uid="{7078C264-BF11-0A4A-9F0C-AA3DE46E7D5F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218D-D57D-9B4D-ABC8-EB06FE1A6383}">
  <dimension ref="A1:H22"/>
  <sheetViews>
    <sheetView workbookViewId="0">
      <selection activeCell="H1" sqref="H1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67987</v>
      </c>
      <c r="C2" s="1">
        <v>96458</v>
      </c>
      <c r="D2" s="16">
        <f>(B2-C2)/C2</f>
        <v>-0.29516473491053102</v>
      </c>
      <c r="E2" s="1">
        <v>51556</v>
      </c>
      <c r="F2" s="1">
        <v>565573</v>
      </c>
      <c r="G2" s="1">
        <v>432062</v>
      </c>
      <c r="H2" s="1">
        <f>H9+H10</f>
        <v>11949004</v>
      </c>
    </row>
    <row r="3" spans="1:8" x14ac:dyDescent="0.2">
      <c r="A3" s="10" t="s">
        <v>13</v>
      </c>
      <c r="B3" s="1">
        <v>6330</v>
      </c>
      <c r="C3" s="1">
        <v>6325</v>
      </c>
      <c r="D3" s="16">
        <f t="shared" ref="D3:D5" si="0">(B3-C3)/C3</f>
        <v>7.9051383399209485E-4</v>
      </c>
      <c r="E3" s="1">
        <v>51704</v>
      </c>
      <c r="F3" s="1">
        <v>78258</v>
      </c>
      <c r="G3" s="1">
        <v>220823</v>
      </c>
      <c r="H3" s="1">
        <f>H11+H12</f>
        <v>8826501</v>
      </c>
    </row>
    <row r="4" spans="1:8" x14ac:dyDescent="0.2">
      <c r="A4" s="10" t="s">
        <v>14</v>
      </c>
      <c r="B4" s="1">
        <v>718</v>
      </c>
      <c r="C4" s="1">
        <v>766</v>
      </c>
      <c r="D4" s="16">
        <f t="shared" si="0"/>
        <v>-6.2663185378590072E-2</v>
      </c>
      <c r="E4" s="1">
        <v>4654</v>
      </c>
      <c r="F4" s="1">
        <v>6457</v>
      </c>
      <c r="G4" s="1">
        <v>44055</v>
      </c>
      <c r="H4" s="1">
        <v>24502771</v>
      </c>
    </row>
    <row r="5" spans="1:8" x14ac:dyDescent="0.2">
      <c r="A5" s="8" t="s">
        <v>15</v>
      </c>
      <c r="B5" s="1">
        <v>58</v>
      </c>
      <c r="C5" s="1">
        <v>74</v>
      </c>
      <c r="D5" s="16">
        <f t="shared" si="0"/>
        <v>-0.21621621621621623</v>
      </c>
      <c r="E5" s="1">
        <v>130</v>
      </c>
      <c r="F5" s="1">
        <v>377</v>
      </c>
      <c r="G5" s="1">
        <v>733</v>
      </c>
      <c r="H5" s="1">
        <v>111621</v>
      </c>
    </row>
    <row r="6" spans="1:8" x14ac:dyDescent="0.2">
      <c r="A6" s="31" t="s">
        <v>16</v>
      </c>
      <c r="B6" s="32">
        <f>SUM(B2:B5)</f>
        <v>75093</v>
      </c>
      <c r="C6" s="32">
        <f>SUM(C2:C5)</f>
        <v>103623</v>
      </c>
      <c r="D6" s="33">
        <f t="shared" ref="D6" si="1">(B6-C6)/C6</f>
        <v>-0.27532497611534118</v>
      </c>
      <c r="E6" s="32">
        <f>SUM(E2:E5)+1787</f>
        <v>109831</v>
      </c>
      <c r="F6" s="32">
        <f t="shared" ref="F6:H6" si="2">SUM(F2:F5)</f>
        <v>650665</v>
      </c>
      <c r="G6" s="32">
        <f>SUM(G2:G5)+8918</f>
        <v>706591</v>
      </c>
      <c r="H6" s="32">
        <f t="shared" si="2"/>
        <v>45389897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45720</v>
      </c>
      <c r="C9" s="1">
        <v>62920</v>
      </c>
      <c r="D9" s="43">
        <f>(Table5155578[[#This Row],[This Week]]-Table5155578[[#This Row],[Last Week]])/Table5155578[[#This Row],[Last Week]]</f>
        <v>-0.27336300063572788</v>
      </c>
      <c r="E9" s="1">
        <v>51556</v>
      </c>
      <c r="F9" s="1">
        <v>361416</v>
      </c>
      <c r="G9" s="1">
        <v>432062</v>
      </c>
      <c r="H9" s="1">
        <v>10699464</v>
      </c>
    </row>
    <row r="10" spans="1:8" x14ac:dyDescent="0.2">
      <c r="A10" s="44" t="s">
        <v>18</v>
      </c>
      <c r="B10" s="1">
        <v>22267</v>
      </c>
      <c r="C10" s="1">
        <v>33538</v>
      </c>
      <c r="D10" s="43">
        <f>(Table5155578[[#This Row],[This Week]]-Table5155578[[#This Row],[Last Week]])/Table5155578[[#This Row],[Last Week]]</f>
        <v>-0.33606655137456021</v>
      </c>
      <c r="E10" s="36"/>
      <c r="F10" s="1">
        <v>204157</v>
      </c>
      <c r="G10" s="1" t="s">
        <v>17</v>
      </c>
      <c r="H10" s="1">
        <v>1249540</v>
      </c>
    </row>
    <row r="11" spans="1:8" x14ac:dyDescent="0.2">
      <c r="A11" s="42" t="s">
        <v>13</v>
      </c>
      <c r="B11" s="1">
        <v>4121</v>
      </c>
      <c r="C11" s="1">
        <v>2147</v>
      </c>
      <c r="D11" s="43">
        <f>(Table5155578[[#This Row],[This Week]]-Table5155578[[#This Row],[Last Week]])/Table5155578[[#This Row],[Last Week]]</f>
        <v>0.91942244993013511</v>
      </c>
      <c r="E11" s="1">
        <v>19097</v>
      </c>
      <c r="F11" s="1">
        <v>3810</v>
      </c>
      <c r="G11" s="1">
        <v>140742</v>
      </c>
      <c r="H11" s="1">
        <v>7391373</v>
      </c>
    </row>
    <row r="12" spans="1:8" x14ac:dyDescent="0.2">
      <c r="A12" s="42" t="s">
        <v>21</v>
      </c>
      <c r="B12" s="1">
        <v>2209</v>
      </c>
      <c r="C12" s="1">
        <v>4178</v>
      </c>
      <c r="D12" s="43">
        <f>(Table5155578[[#This Row],[This Week]]-Table5155578[[#This Row],[Last Week]])/Table5155578[[#This Row],[Last Week]]</f>
        <v>-0.47127812350406895</v>
      </c>
      <c r="E12" s="1">
        <v>32607</v>
      </c>
      <c r="F12" s="1">
        <v>40158</v>
      </c>
      <c r="G12" s="1">
        <v>80081</v>
      </c>
      <c r="H12" s="1">
        <v>1435128</v>
      </c>
    </row>
    <row r="13" spans="1:8" x14ac:dyDescent="0.2">
      <c r="A13" s="42" t="s">
        <v>22</v>
      </c>
      <c r="B13" s="1">
        <v>660</v>
      </c>
      <c r="C13" s="1">
        <v>692</v>
      </c>
      <c r="D13" s="43">
        <f>(Table5155578[[#This Row],[This Week]]-Table5155578[[#This Row],[Last Week]])/Table5155578[[#This Row],[Last Week]]</f>
        <v>-4.6242774566473986E-2</v>
      </c>
      <c r="E13" s="1">
        <v>3273</v>
      </c>
      <c r="F13" s="1">
        <v>6143</v>
      </c>
      <c r="G13" s="1">
        <v>34938</v>
      </c>
      <c r="H13" s="1">
        <v>1110556</v>
      </c>
    </row>
    <row r="14" spans="1:8" x14ac:dyDescent="0.2">
      <c r="A14" s="42" t="s">
        <v>23</v>
      </c>
      <c r="B14" s="1">
        <v>58</v>
      </c>
      <c r="C14" s="1">
        <v>74</v>
      </c>
      <c r="D14" s="43">
        <f>(Table5155578[[#This Row],[This Week]]-Table5155578[[#This Row],[Last Week]])/Table5155578[[#This Row],[Last Week]]</f>
        <v>-0.21621621621621623</v>
      </c>
      <c r="E14" s="1">
        <v>1209</v>
      </c>
      <c r="F14" s="1">
        <v>314</v>
      </c>
      <c r="G14" s="1">
        <v>8142</v>
      </c>
      <c r="H14" s="1">
        <v>5886229</v>
      </c>
    </row>
    <row r="15" spans="1:8" x14ac:dyDescent="0.2">
      <c r="A15" s="42" t="s">
        <v>20</v>
      </c>
      <c r="B15" s="1">
        <v>32</v>
      </c>
      <c r="C15" s="1">
        <v>33</v>
      </c>
      <c r="D15" s="43">
        <f>(Table5155578[[#This Row],[This Week]]-Table5155578[[#This Row],[Last Week]])/Table5155578[[#This Row],[Last Week]]</f>
        <v>-3.0303030303030304E-2</v>
      </c>
      <c r="E15" s="1">
        <v>24</v>
      </c>
      <c r="F15" s="1">
        <v>150</v>
      </c>
      <c r="G15" s="1">
        <v>174</v>
      </c>
      <c r="H15" s="1">
        <v>20752</v>
      </c>
    </row>
    <row r="16" spans="1:8" x14ac:dyDescent="0.2">
      <c r="A16" s="45" t="s">
        <v>19</v>
      </c>
      <c r="B16" s="1">
        <v>26</v>
      </c>
      <c r="C16" s="1">
        <v>41</v>
      </c>
      <c r="D16" s="43">
        <f>(Table5155578[[#This Row],[This Week]]-Table5155578[[#This Row],[Last Week]])/Table5155578[[#This Row],[Last Week]]</f>
        <v>-0.36585365853658536</v>
      </c>
      <c r="E16" s="1">
        <v>106</v>
      </c>
      <c r="F16" s="1">
        <v>227</v>
      </c>
      <c r="G16" s="1">
        <v>559</v>
      </c>
      <c r="H16" s="1">
        <v>18869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dataConsolidate/>
  <hyperlinks>
    <hyperlink ref="A21" r:id="rId1" xr:uid="{849FF0FA-A991-A44E-96A0-82F09B8E8530}"/>
    <hyperlink ref="A22" r:id="rId2" xr:uid="{DC8A8DE6-F5FB-A54B-BA6A-BE93F6320102}"/>
    <hyperlink ref="A20" r:id="rId3" xr:uid="{4BF5F86B-1323-6441-B781-A46B13C065AA}"/>
  </hyperlinks>
  <pageMargins left="0.7" right="0.7" top="0.75" bottom="0.75" header="0.3" footer="0.3"/>
  <ignoredErrors>
    <ignoredError sqref="D2 D3:D6" calculatedColumn="1"/>
    <ignoredError sqref="G6" formula="1"/>
  </ignoredErrors>
  <tableParts count="2">
    <tablePart r:id="rId4"/>
    <tablePart r:id="rId5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5AD0-E04D-D24B-9FF7-65CC270B004F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91093</v>
      </c>
      <c r="C2" s="1">
        <v>70542</v>
      </c>
      <c r="D2" s="43">
        <f>(Table55456791564708453758187119175[[#This Row],[This Week]]-Table55456791564708453758187119175[[#This Row],[Last Week]])/Table55456791564708453758187119175[[#This Row],[Last Week]]</f>
        <v>0.29132998780868136</v>
      </c>
      <c r="E2" s="1">
        <v>89137</v>
      </c>
      <c r="F2" s="1">
        <v>4045178</v>
      </c>
      <c r="G2" s="1">
        <v>2607761</v>
      </c>
      <c r="H2" s="1">
        <f>H9+H10</f>
        <v>15428609</v>
      </c>
    </row>
    <row r="3" spans="1:8" x14ac:dyDescent="0.2">
      <c r="A3" s="10" t="s">
        <v>13</v>
      </c>
      <c r="B3" s="1">
        <v>6539</v>
      </c>
      <c r="C3" s="1">
        <v>2954</v>
      </c>
      <c r="D3" s="43">
        <f>(Table55456791564708453758187119175[[#This Row],[This Week]]-Table55456791564708453758187119175[[#This Row],[Last Week]])/Table55456791564708453758187119175[[#This Row],[Last Week]]</f>
        <v>1.2136086662153014</v>
      </c>
      <c r="E3" s="1">
        <v>12388</v>
      </c>
      <c r="F3" s="1">
        <v>480380</v>
      </c>
      <c r="G3" s="1">
        <v>884300</v>
      </c>
      <c r="H3" s="1">
        <f>H11+H13</f>
        <v>9228623</v>
      </c>
    </row>
    <row r="4" spans="1:8" x14ac:dyDescent="0.2">
      <c r="A4" s="10" t="s">
        <v>14</v>
      </c>
      <c r="B4" s="1">
        <v>1568</v>
      </c>
      <c r="C4" s="1">
        <v>3828</v>
      </c>
      <c r="D4" s="43">
        <f>(Table55456791564708453758187119175[[#This Row],[This Week]]-Table55456791564708453758187119175[[#This Row],[Last Week]])/Table55456791564708453758187119175[[#This Row],[Last Week]]</f>
        <v>-0.59038662486938354</v>
      </c>
      <c r="E4" s="1">
        <v>1303</v>
      </c>
      <c r="F4" s="1">
        <v>54424</v>
      </c>
      <c r="G4" s="1">
        <v>166903</v>
      </c>
      <c r="H4" s="1">
        <v>24550571</v>
      </c>
    </row>
    <row r="5" spans="1:8" x14ac:dyDescent="0.2">
      <c r="A5" s="8" t="s">
        <v>15</v>
      </c>
      <c r="B5" s="1">
        <v>25</v>
      </c>
      <c r="C5" s="1">
        <v>29</v>
      </c>
      <c r="D5" s="43">
        <f>(Table55456791564708453758187119175[[#This Row],[This Week]]-Table55456791564708453758187119175[[#This Row],[Last Week]])/Table55456791564708453758187119175[[#This Row],[Last Week]]</f>
        <v>-0.13793103448275862</v>
      </c>
      <c r="E5" s="1">
        <v>126</v>
      </c>
      <c r="F5" s="1">
        <v>3171</v>
      </c>
      <c r="G5" s="1">
        <v>5349</v>
      </c>
      <c r="H5" s="1">
        <v>114417</v>
      </c>
    </row>
    <row r="6" spans="1:8" x14ac:dyDescent="0.2">
      <c r="A6" s="31" t="s">
        <v>16</v>
      </c>
      <c r="B6" s="32">
        <f>SUM(B2:B5)</f>
        <v>99225</v>
      </c>
      <c r="C6" s="32">
        <f>SUM(C2:C5)</f>
        <v>77353</v>
      </c>
      <c r="D6" s="46">
        <f>(Table55456791564708453758187119175[[#This Row],[This Week]]-Table55456791564708453758187119175[[#This Row],[Last Week]])/Table55456791564708453758187119175[[#This Row],[Last Week]]</f>
        <v>0.28275567851279199</v>
      </c>
      <c r="E6" s="32">
        <f>SUM(E2:E5)+32</f>
        <v>102986</v>
      </c>
      <c r="F6" s="32">
        <f>SUM(F2:F5)</f>
        <v>4583153</v>
      </c>
      <c r="G6" s="32">
        <f>SUM(G2:G5)+37273</f>
        <v>3701586</v>
      </c>
      <c r="H6" s="32">
        <f>SUM(H2:H5)</f>
        <v>49322220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66157</v>
      </c>
      <c r="C9" s="1">
        <v>42111</v>
      </c>
      <c r="D9" s="43">
        <f>(Table5155578101665718558768288120176[[#This Row],[This Week]]-Table5155578101665718558768288120176[[#This Row],[Last Week]])/Table5155578101665718558768288120176[[#This Row],[Last Week]]</f>
        <v>0.57101469924722759</v>
      </c>
      <c r="E9" s="1">
        <v>50469</v>
      </c>
      <c r="F9" s="1">
        <v>2390623</v>
      </c>
      <c r="G9" s="1">
        <v>2310400</v>
      </c>
      <c r="H9" s="1">
        <v>12728671</v>
      </c>
    </row>
    <row r="10" spans="1:8" x14ac:dyDescent="0.2">
      <c r="A10" s="44" t="s">
        <v>18</v>
      </c>
      <c r="B10" s="1">
        <v>24936</v>
      </c>
      <c r="C10" s="1">
        <v>28431</v>
      </c>
      <c r="D10" s="43">
        <f>(Table5155578101665718558768288120176[[#This Row],[This Week]]-Table5155578101665718558768288120176[[#This Row],[Last Week]])/Table5155578101665718558768288120176[[#This Row],[Last Week]]</f>
        <v>-0.12292919700327108</v>
      </c>
      <c r="E10" s="1">
        <v>38668</v>
      </c>
      <c r="F10" s="1">
        <v>1654555</v>
      </c>
      <c r="G10" s="1">
        <v>297361</v>
      </c>
      <c r="H10" s="1">
        <v>2699938</v>
      </c>
    </row>
    <row r="11" spans="1:8" x14ac:dyDescent="0.2">
      <c r="A11" s="44" t="s">
        <v>13</v>
      </c>
      <c r="B11" s="1">
        <v>6097</v>
      </c>
      <c r="C11" s="1">
        <v>2473</v>
      </c>
      <c r="D11" s="43">
        <f>(Table5155578101665718558768288120176[[#This Row],[This Week]]-Table5155578101665718558768288120176[[#This Row],[Last Week]])/Table5155578101665718558768288120176[[#This Row],[Last Week]]</f>
        <v>1.4654266073594824</v>
      </c>
      <c r="E11" s="1">
        <v>7080</v>
      </c>
      <c r="F11" s="1">
        <v>300899</v>
      </c>
      <c r="G11" s="1">
        <v>561890</v>
      </c>
      <c r="H11" s="1">
        <v>7654172</v>
      </c>
    </row>
    <row r="12" spans="1:8" x14ac:dyDescent="0.2">
      <c r="A12" s="42" t="s">
        <v>22</v>
      </c>
      <c r="B12" s="1">
        <v>1538</v>
      </c>
      <c r="C12" s="1">
        <v>3774</v>
      </c>
      <c r="D12" s="43">
        <f>(Table5155578101665718558768288120176[[#This Row],[This Week]]-Table5155578101665718558768288120176[[#This Row],[Last Week]])/Table5155578101665718558768288120176[[#This Row],[Last Week]]</f>
        <v>-0.59247482776894544</v>
      </c>
      <c r="E12" s="1">
        <v>1173</v>
      </c>
      <c r="F12" s="1">
        <v>51701</v>
      </c>
      <c r="G12" s="1">
        <v>137101</v>
      </c>
      <c r="H12" s="1">
        <v>1155947</v>
      </c>
    </row>
    <row r="13" spans="1:8" x14ac:dyDescent="0.2">
      <c r="A13" s="44" t="s">
        <v>21</v>
      </c>
      <c r="B13" s="1">
        <v>442</v>
      </c>
      <c r="C13" s="1">
        <v>481</v>
      </c>
      <c r="D13" s="43">
        <f>(Table5155578101665718558768288120176[[#This Row],[This Week]]-Table5155578101665718558768288120176[[#This Row],[Last Week]])/Table5155578101665718558768288120176[[#This Row],[Last Week]]</f>
        <v>-8.1081081081081086E-2</v>
      </c>
      <c r="E13" s="1">
        <v>5308</v>
      </c>
      <c r="F13" s="1">
        <v>179481</v>
      </c>
      <c r="G13" s="1">
        <v>322410</v>
      </c>
      <c r="H13" s="1">
        <v>1574451</v>
      </c>
    </row>
    <row r="14" spans="1:8" x14ac:dyDescent="0.2">
      <c r="A14" s="42" t="s">
        <v>23</v>
      </c>
      <c r="B14" s="1">
        <v>30</v>
      </c>
      <c r="C14" s="1">
        <v>54</v>
      </c>
      <c r="D14" s="43">
        <f>(Table5155578101665718558768288120176[[#This Row],[This Week]]-Table5155578101665718558768288120176[[#This Row],[Last Week]])/Table5155578101665718558768288120176[[#This Row],[Last Week]]</f>
        <v>-0.44444444444444442</v>
      </c>
      <c r="E14" s="1">
        <v>130</v>
      </c>
      <c r="F14" s="1">
        <v>2723</v>
      </c>
      <c r="G14" s="1">
        <v>28711</v>
      </c>
      <c r="H14" s="1">
        <v>5888638</v>
      </c>
    </row>
    <row r="15" spans="1:8" x14ac:dyDescent="0.2">
      <c r="A15" s="38" t="s">
        <v>19</v>
      </c>
      <c r="B15" s="1">
        <v>13</v>
      </c>
      <c r="C15" s="1">
        <v>15</v>
      </c>
      <c r="D15" s="43">
        <f>(Table5155578101665718558768288120176[[#This Row],[This Week]]-Table5155578101665718558768288120176[[#This Row],[Last Week]])/Table5155578101665718558768288120176[[#This Row],[Last Week]]</f>
        <v>-0.13333333333333333</v>
      </c>
      <c r="E15" s="1">
        <v>87</v>
      </c>
      <c r="F15" s="1">
        <v>2205</v>
      </c>
      <c r="G15" s="1">
        <v>3621</v>
      </c>
      <c r="H15" s="1">
        <v>20847</v>
      </c>
    </row>
    <row r="16" spans="1:8" x14ac:dyDescent="0.2">
      <c r="A16" s="59" t="s">
        <v>20</v>
      </c>
      <c r="B16" s="1">
        <v>12</v>
      </c>
      <c r="C16" s="1">
        <v>14</v>
      </c>
      <c r="D16" s="43">
        <f>(Table5155578101665718558768288120176[[#This Row],[This Week]]-Table5155578101665718558768288120176[[#This Row],[Last Week]])/Table5155578101665718558768288120176[[#This Row],[Last Week]]</f>
        <v>-0.14285714285714285</v>
      </c>
      <c r="E16" s="1">
        <v>39</v>
      </c>
      <c r="F16" s="1">
        <v>966</v>
      </c>
      <c r="G16" s="1">
        <v>1728</v>
      </c>
      <c r="H16" s="1">
        <v>21568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D66C1A7D-9C80-A544-9D4A-D84DFCD0FF2D}"/>
    <hyperlink ref="A20" r:id="rId2" xr:uid="{F5EB6B61-FCEC-A440-B39A-1D2D763FB658}"/>
    <hyperlink ref="A22" r:id="rId3" xr:uid="{3531EC72-F9AB-1249-9E44-B19092C13606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281F-8713-5648-9CA8-B0CBAEBD0D06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108575</v>
      </c>
      <c r="C2" s="1">
        <v>91093</v>
      </c>
      <c r="D2" s="43">
        <f>(Table55456791564708453758187119179[[#This Row],[This Week]]-Table55456791564708453758187119179[[#This Row],[Last Week]])/Table55456791564708453758187119179[[#This Row],[Last Week]]</f>
        <v>0.19191375846662204</v>
      </c>
      <c r="E2" s="1">
        <v>56680</v>
      </c>
      <c r="F2" s="1">
        <v>4153753</v>
      </c>
      <c r="G2" s="1">
        <v>2664441</v>
      </c>
      <c r="H2" s="1">
        <f>H9+H10</f>
        <v>15537184</v>
      </c>
    </row>
    <row r="3" spans="1:8" x14ac:dyDescent="0.2">
      <c r="A3" s="10" t="s">
        <v>13</v>
      </c>
      <c r="B3" s="1">
        <v>4533</v>
      </c>
      <c r="C3" s="1">
        <v>6539</v>
      </c>
      <c r="D3" s="43">
        <f>(Table55456791564708453758187119179[[#This Row],[This Week]]-Table55456791564708453758187119179[[#This Row],[Last Week]])/Table55456791564708453758187119179[[#This Row],[Last Week]]</f>
        <v>-0.30677473619819545</v>
      </c>
      <c r="E3" s="1">
        <v>7849</v>
      </c>
      <c r="F3" s="1">
        <v>484913</v>
      </c>
      <c r="G3" s="1">
        <v>892149</v>
      </c>
      <c r="H3" s="1">
        <f>H11+H13</f>
        <v>9233156</v>
      </c>
    </row>
    <row r="4" spans="1:8" x14ac:dyDescent="0.2">
      <c r="A4" s="10" t="s">
        <v>14</v>
      </c>
      <c r="B4" s="1">
        <v>947</v>
      </c>
      <c r="C4" s="1">
        <v>1568</v>
      </c>
      <c r="D4" s="43">
        <f>(Table55456791564708453758187119179[[#This Row],[This Week]]-Table55456791564708453758187119179[[#This Row],[Last Week]])/Table55456791564708453758187119179[[#This Row],[Last Week]]</f>
        <v>-0.39604591836734693</v>
      </c>
      <c r="E4" s="1">
        <v>1041</v>
      </c>
      <c r="F4" s="1">
        <v>55371</v>
      </c>
      <c r="G4" s="1">
        <v>167944</v>
      </c>
      <c r="H4" s="1">
        <v>24551518</v>
      </c>
    </row>
    <row r="5" spans="1:8" x14ac:dyDescent="0.2">
      <c r="A5" s="8" t="s">
        <v>15</v>
      </c>
      <c r="B5" s="1">
        <v>30</v>
      </c>
      <c r="C5" s="1">
        <v>25</v>
      </c>
      <c r="D5" s="43">
        <f>(Table55456791564708453758187119179[[#This Row],[This Week]]-Table55456791564708453758187119179[[#This Row],[Last Week]])/Table55456791564708453758187119179[[#This Row],[Last Week]]</f>
        <v>0.2</v>
      </c>
      <c r="E5" s="1">
        <v>78</v>
      </c>
      <c r="F5" s="1">
        <v>3201</v>
      </c>
      <c r="G5" s="1">
        <v>5427</v>
      </c>
      <c r="H5" s="1">
        <v>114447</v>
      </c>
    </row>
    <row r="6" spans="1:8" x14ac:dyDescent="0.2">
      <c r="A6" s="31" t="s">
        <v>16</v>
      </c>
      <c r="B6" s="32">
        <f>SUM(B2:B5)</f>
        <v>114085</v>
      </c>
      <c r="C6" s="32">
        <f>SUM(C2:C5)</f>
        <v>99225</v>
      </c>
      <c r="D6" s="46">
        <f>(Table55456791564708453758187119179[[#This Row],[This Week]]-Table55456791564708453758187119179[[#This Row],[Last Week]])/Table55456791564708453758187119179[[#This Row],[Last Week]]</f>
        <v>0.14976064499874023</v>
      </c>
      <c r="E6" s="32">
        <f>SUM(E2:E5)+26</f>
        <v>65674</v>
      </c>
      <c r="F6" s="32">
        <f>SUM(F2:F5)</f>
        <v>4697238</v>
      </c>
      <c r="G6" s="32">
        <f>SUM(G2:G5)+37299</f>
        <v>3767260</v>
      </c>
      <c r="H6" s="32">
        <f>SUM(H2:H5)</f>
        <v>49436305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83992</v>
      </c>
      <c r="C9" s="1">
        <v>66157</v>
      </c>
      <c r="D9" s="43">
        <f>(Table5155578101665718558768288120180[[#This Row],[This Week]]-Table5155578101665718558768288120180[[#This Row],[Last Week]])/Table5155578101665718558768288120180[[#This Row],[Last Week]]</f>
        <v>0.26958598485421043</v>
      </c>
      <c r="E9" s="1">
        <v>39364</v>
      </c>
      <c r="F9" s="1">
        <v>2474615</v>
      </c>
      <c r="G9" s="1">
        <v>2349764</v>
      </c>
      <c r="H9" s="1">
        <v>12812663</v>
      </c>
    </row>
    <row r="10" spans="1:8" x14ac:dyDescent="0.2">
      <c r="A10" s="44" t="s">
        <v>18</v>
      </c>
      <c r="B10" s="1">
        <v>24583</v>
      </c>
      <c r="C10" s="1">
        <v>24936</v>
      </c>
      <c r="D10" s="43">
        <f>(Table5155578101665718558768288120180[[#This Row],[This Week]]-Table5155578101665718558768288120180[[#This Row],[Last Week]])/Table5155578101665718558768288120180[[#This Row],[Last Week]]</f>
        <v>-1.4156239974334297E-2</v>
      </c>
      <c r="E10" s="1">
        <v>17316</v>
      </c>
      <c r="F10" s="1">
        <v>1679138</v>
      </c>
      <c r="G10" s="1">
        <v>314677</v>
      </c>
      <c r="H10" s="1">
        <v>2724521</v>
      </c>
    </row>
    <row r="11" spans="1:8" x14ac:dyDescent="0.2">
      <c r="A11" s="44" t="s">
        <v>13</v>
      </c>
      <c r="B11" s="1">
        <v>4368</v>
      </c>
      <c r="C11" s="1">
        <v>6097</v>
      </c>
      <c r="D11" s="43">
        <f>(Table5155578101665718558768288120180[[#This Row],[This Week]]-Table5155578101665718558768288120180[[#This Row],[Last Week]])/Table5155578101665718558768288120180[[#This Row],[Last Week]]</f>
        <v>-0.28358208955223879</v>
      </c>
      <c r="E11" s="1">
        <v>4575</v>
      </c>
      <c r="F11" s="1">
        <v>305267</v>
      </c>
      <c r="G11" s="1">
        <v>566465</v>
      </c>
      <c r="H11" s="1">
        <v>7658540</v>
      </c>
    </row>
    <row r="12" spans="1:8" x14ac:dyDescent="0.2">
      <c r="A12" s="42" t="s">
        <v>22</v>
      </c>
      <c r="B12" s="1">
        <v>928</v>
      </c>
      <c r="C12" s="1">
        <v>1538</v>
      </c>
      <c r="D12" s="43">
        <f>(Table5155578101665718558768288120180[[#This Row],[This Week]]-Table5155578101665718558768288120180[[#This Row],[Last Week]])/Table5155578101665718558768288120180[[#This Row],[Last Week]]</f>
        <v>-0.39661898569570869</v>
      </c>
      <c r="E12" s="1">
        <v>937</v>
      </c>
      <c r="F12" s="1">
        <v>52629</v>
      </c>
      <c r="G12" s="1">
        <v>138038</v>
      </c>
      <c r="H12" s="1">
        <v>1156875</v>
      </c>
    </row>
    <row r="13" spans="1:8" x14ac:dyDescent="0.2">
      <c r="A13" s="44" t="s">
        <v>21</v>
      </c>
      <c r="B13" s="1">
        <v>165</v>
      </c>
      <c r="C13" s="1">
        <v>442</v>
      </c>
      <c r="D13" s="43">
        <f>(Table5155578101665718558768288120180[[#This Row],[This Week]]-Table5155578101665718558768288120180[[#This Row],[Last Week]])/Table5155578101665718558768288120180[[#This Row],[Last Week]]</f>
        <v>-0.62669683257918551</v>
      </c>
      <c r="E13" s="1">
        <v>3274</v>
      </c>
      <c r="F13" s="1">
        <v>179646</v>
      </c>
      <c r="G13" s="1">
        <v>325684</v>
      </c>
      <c r="H13" s="1">
        <v>1574616</v>
      </c>
    </row>
    <row r="14" spans="1:8" x14ac:dyDescent="0.2">
      <c r="A14" s="42" t="s">
        <v>23</v>
      </c>
      <c r="B14" s="1">
        <v>19</v>
      </c>
      <c r="C14" s="1">
        <v>30</v>
      </c>
      <c r="D14" s="43">
        <f>(Table5155578101665718558768288120180[[#This Row],[This Week]]-Table5155578101665718558768288120180[[#This Row],[Last Week]])/Table5155578101665718558768288120180[[#This Row],[Last Week]]</f>
        <v>-0.36666666666666664</v>
      </c>
      <c r="E14" s="1">
        <v>104</v>
      </c>
      <c r="F14" s="1">
        <v>2742</v>
      </c>
      <c r="G14" s="1">
        <v>28815</v>
      </c>
      <c r="H14" s="1">
        <v>5888657</v>
      </c>
    </row>
    <row r="15" spans="1:8" x14ac:dyDescent="0.2">
      <c r="A15" s="38" t="s">
        <v>19</v>
      </c>
      <c r="B15" s="1">
        <v>17</v>
      </c>
      <c r="C15" s="1">
        <v>13</v>
      </c>
      <c r="D15" s="43">
        <f>(Table5155578101665718558768288120180[[#This Row],[This Week]]-Table5155578101665718558768288120180[[#This Row],[Last Week]])/Table5155578101665718558768288120180[[#This Row],[Last Week]]</f>
        <v>0.30769230769230771</v>
      </c>
      <c r="E15" s="1">
        <v>45</v>
      </c>
      <c r="F15" s="1">
        <v>2222</v>
      </c>
      <c r="G15" s="1">
        <v>3666</v>
      </c>
      <c r="H15" s="1">
        <v>20864</v>
      </c>
    </row>
    <row r="16" spans="1:8" x14ac:dyDescent="0.2">
      <c r="A16" s="59" t="s">
        <v>20</v>
      </c>
      <c r="B16" s="1">
        <v>13</v>
      </c>
      <c r="C16" s="1">
        <v>12</v>
      </c>
      <c r="D16" s="43">
        <f>(Table5155578101665718558768288120180[[#This Row],[This Week]]-Table5155578101665718558768288120180[[#This Row],[Last Week]])/Table5155578101665718558768288120180[[#This Row],[Last Week]]</f>
        <v>8.3333333333333329E-2</v>
      </c>
      <c r="E16" s="1">
        <v>33</v>
      </c>
      <c r="F16" s="1">
        <v>979</v>
      </c>
      <c r="G16" s="1">
        <v>1761</v>
      </c>
      <c r="H16" s="1">
        <v>21581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26E5C757-7DEF-8E44-ABA8-590A13BBA9A0}"/>
    <hyperlink ref="A20" r:id="rId2" xr:uid="{5A5AE587-72F9-6D4C-84B2-96F932099F0E}"/>
    <hyperlink ref="A22" r:id="rId3" xr:uid="{537B8925-BC30-C34F-87CD-EB1493AF09F4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BAB0-2375-4440-B601-58547F94DE30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95852</v>
      </c>
      <c r="C2" s="1">
        <v>108575</v>
      </c>
      <c r="D2" s="43">
        <f>(Table55456791564708453758187119183[[#This Row],[This Week]]-Table55456791564708453758187119183[[#This Row],[Last Week]])/Table55456791564708453758187119183[[#This Row],[Last Week]]</f>
        <v>-0.11718167165553765</v>
      </c>
      <c r="E2" s="1">
        <v>54067</v>
      </c>
      <c r="F2" s="1">
        <v>4249605</v>
      </c>
      <c r="G2" s="1">
        <v>2718508</v>
      </c>
      <c r="H2" s="1">
        <f>H9+H10</f>
        <v>15633036</v>
      </c>
    </row>
    <row r="3" spans="1:8" x14ac:dyDescent="0.2">
      <c r="A3" s="10" t="s">
        <v>13</v>
      </c>
      <c r="B3" s="1">
        <v>3517</v>
      </c>
      <c r="C3" s="1">
        <v>4533</v>
      </c>
      <c r="D3" s="43">
        <f>(Table55456791564708453758187119183[[#This Row],[This Week]]-Table55456791564708453758187119183[[#This Row],[Last Week]])/Table55456791564708453758187119183[[#This Row],[Last Week]]</f>
        <v>-0.2241341275093757</v>
      </c>
      <c r="E3" s="1">
        <v>7362</v>
      </c>
      <c r="F3" s="1">
        <v>488430</v>
      </c>
      <c r="G3" s="1">
        <v>899511</v>
      </c>
      <c r="H3" s="1">
        <f>H11+H13</f>
        <v>9236673</v>
      </c>
    </row>
    <row r="4" spans="1:8" x14ac:dyDescent="0.2">
      <c r="A4" s="10" t="s">
        <v>14</v>
      </c>
      <c r="B4" s="1">
        <v>856</v>
      </c>
      <c r="C4" s="1">
        <v>947</v>
      </c>
      <c r="D4" s="43">
        <f>(Table55456791564708453758187119183[[#This Row],[This Week]]-Table55456791564708453758187119183[[#This Row],[Last Week]])/Table55456791564708453758187119183[[#This Row],[Last Week]]</f>
        <v>-9.6092925026399156E-2</v>
      </c>
      <c r="E4" s="1">
        <v>1110</v>
      </c>
      <c r="F4" s="1">
        <v>56227</v>
      </c>
      <c r="G4" s="1">
        <v>169054</v>
      </c>
      <c r="H4" s="1">
        <v>24552374</v>
      </c>
    </row>
    <row r="5" spans="1:8" x14ac:dyDescent="0.2">
      <c r="A5" s="8" t="s">
        <v>15</v>
      </c>
      <c r="B5" s="1">
        <v>58</v>
      </c>
      <c r="C5" s="1">
        <v>30</v>
      </c>
      <c r="D5" s="43">
        <f>(Table55456791564708453758187119183[[#This Row],[This Week]]-Table55456791564708453758187119183[[#This Row],[Last Week]])/Table55456791564708453758187119183[[#This Row],[Last Week]]</f>
        <v>0.93333333333333335</v>
      </c>
      <c r="E5" s="1">
        <v>142</v>
      </c>
      <c r="F5" s="1">
        <v>3259</v>
      </c>
      <c r="G5" s="1">
        <v>5569</v>
      </c>
      <c r="H5" s="1">
        <v>114505</v>
      </c>
    </row>
    <row r="6" spans="1:8" x14ac:dyDescent="0.2">
      <c r="A6" s="31" t="s">
        <v>16</v>
      </c>
      <c r="B6" s="32">
        <f>SUM(B2:B5)</f>
        <v>100283</v>
      </c>
      <c r="C6" s="32">
        <f>SUM(C2:C5)</f>
        <v>114085</v>
      </c>
      <c r="D6" s="46">
        <f>(Table55456791564708453758187119183[[#This Row],[This Week]]-Table55456791564708453758187119183[[#This Row],[Last Week]])/Table55456791564708453758187119183[[#This Row],[Last Week]]</f>
        <v>-0.12097997107419906</v>
      </c>
      <c r="E6" s="32">
        <f>SUM(E2:E5)+27</f>
        <v>62708</v>
      </c>
      <c r="F6" s="32">
        <f>SUM(F2:F5)</f>
        <v>4797521</v>
      </c>
      <c r="G6" s="32">
        <f>SUM(G2:G5)+37326</f>
        <v>3829968</v>
      </c>
      <c r="H6" s="32">
        <f>SUM(H2:H5)</f>
        <v>49536588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74858</v>
      </c>
      <c r="C9" s="1">
        <v>83992</v>
      </c>
      <c r="D9" s="43">
        <f>(Table5155578101665718558768288120184[[#This Row],[This Week]]-Table5155578101665718558768288120184[[#This Row],[Last Week]])/Table5155578101665718558768288120184[[#This Row],[Last Week]]</f>
        <v>-0.10874845223354605</v>
      </c>
      <c r="E9" s="1">
        <v>34821</v>
      </c>
      <c r="F9" s="1">
        <v>2549473</v>
      </c>
      <c r="G9" s="1">
        <v>2384585</v>
      </c>
      <c r="H9" s="1">
        <v>12887521</v>
      </c>
    </row>
    <row r="10" spans="1:8" x14ac:dyDescent="0.2">
      <c r="A10" s="44" t="s">
        <v>18</v>
      </c>
      <c r="B10" s="1">
        <v>20994</v>
      </c>
      <c r="C10" s="1">
        <v>24583</v>
      </c>
      <c r="D10" s="43">
        <f>(Table5155578101665718558768288120184[[#This Row],[This Week]]-Table5155578101665718558768288120184[[#This Row],[Last Week]])/Table5155578101665718558768288120184[[#This Row],[Last Week]]</f>
        <v>-0.14599519993491436</v>
      </c>
      <c r="E10" s="1">
        <v>19246</v>
      </c>
      <c r="F10" s="1">
        <v>1700132</v>
      </c>
      <c r="G10" s="1">
        <v>333923</v>
      </c>
      <c r="H10" s="1">
        <v>2745515</v>
      </c>
    </row>
    <row r="11" spans="1:8" x14ac:dyDescent="0.2">
      <c r="A11" s="44" t="s">
        <v>13</v>
      </c>
      <c r="B11" s="1">
        <v>3411</v>
      </c>
      <c r="C11" s="1">
        <v>4368</v>
      </c>
      <c r="D11" s="43">
        <f>(Table5155578101665718558768288120184[[#This Row],[This Week]]-Table5155578101665718558768288120184[[#This Row],[Last Week]])/Table5155578101665718558768288120184[[#This Row],[Last Week]]</f>
        <v>-0.21909340659340659</v>
      </c>
      <c r="E11" s="1">
        <v>4273</v>
      </c>
      <c r="F11" s="1">
        <v>308678</v>
      </c>
      <c r="G11" s="1">
        <v>570738</v>
      </c>
      <c r="H11" s="1">
        <v>7661951</v>
      </c>
    </row>
    <row r="12" spans="1:8" x14ac:dyDescent="0.2">
      <c r="A12" s="42" t="s">
        <v>22</v>
      </c>
      <c r="B12" s="1">
        <v>836</v>
      </c>
      <c r="C12" s="1">
        <v>928</v>
      </c>
      <c r="D12" s="43">
        <f>(Table5155578101665718558768288120184[[#This Row],[This Week]]-Table5155578101665718558768288120184[[#This Row],[Last Week]])/Table5155578101665718558768288120184[[#This Row],[Last Week]]</f>
        <v>-9.9137931034482762E-2</v>
      </c>
      <c r="E12" s="1">
        <v>1013</v>
      </c>
      <c r="F12" s="1">
        <v>53465</v>
      </c>
      <c r="G12" s="1">
        <v>139051</v>
      </c>
      <c r="H12" s="1">
        <v>1157711</v>
      </c>
    </row>
    <row r="13" spans="1:8" x14ac:dyDescent="0.2">
      <c r="A13" s="44" t="s">
        <v>21</v>
      </c>
      <c r="B13" s="1">
        <v>106</v>
      </c>
      <c r="C13" s="1">
        <v>165</v>
      </c>
      <c r="D13" s="43">
        <f>(Table5155578101665718558768288120184[[#This Row],[This Week]]-Table5155578101665718558768288120184[[#This Row],[Last Week]])/Table5155578101665718558768288120184[[#This Row],[Last Week]]</f>
        <v>-0.3575757575757576</v>
      </c>
      <c r="E13" s="1">
        <v>3089</v>
      </c>
      <c r="F13" s="1">
        <v>179752</v>
      </c>
      <c r="G13" s="1">
        <v>328773</v>
      </c>
      <c r="H13" s="1">
        <v>1574722</v>
      </c>
    </row>
    <row r="14" spans="1:8" x14ac:dyDescent="0.2">
      <c r="A14" s="42" t="s">
        <v>19</v>
      </c>
      <c r="B14" s="1">
        <v>37</v>
      </c>
      <c r="C14" s="1">
        <v>17</v>
      </c>
      <c r="D14" s="43">
        <f>(Table5155578101665718558768288120184[[#This Row],[This Week]]-Table5155578101665718558768288120184[[#This Row],[Last Week]])/Table5155578101665718558768288120184[[#This Row],[Last Week]]</f>
        <v>1.1764705882352942</v>
      </c>
      <c r="E14" s="1">
        <v>64</v>
      </c>
      <c r="F14" s="1">
        <v>2259</v>
      </c>
      <c r="G14" s="1">
        <v>3730</v>
      </c>
      <c r="H14" s="1">
        <v>20901</v>
      </c>
    </row>
    <row r="15" spans="1:8" x14ac:dyDescent="0.2">
      <c r="A15" s="35" t="s">
        <v>20</v>
      </c>
      <c r="B15" s="1">
        <v>21</v>
      </c>
      <c r="C15" s="1">
        <v>13</v>
      </c>
      <c r="D15" s="43">
        <f>(Table5155578101665718558768288120184[[#This Row],[This Week]]-Table5155578101665718558768288120184[[#This Row],[Last Week]])/Table5155578101665718558768288120184[[#This Row],[Last Week]]</f>
        <v>0.61538461538461542</v>
      </c>
      <c r="E15" s="1">
        <v>78</v>
      </c>
      <c r="F15" s="1">
        <v>1000</v>
      </c>
      <c r="G15" s="1">
        <v>1839</v>
      </c>
      <c r="H15" s="1">
        <v>21602</v>
      </c>
    </row>
    <row r="16" spans="1:8" x14ac:dyDescent="0.2">
      <c r="A16" s="42" t="s">
        <v>23</v>
      </c>
      <c r="B16" s="1">
        <v>20</v>
      </c>
      <c r="C16" s="1">
        <v>19</v>
      </c>
      <c r="D16" s="43">
        <f>(Table5155578101665718558768288120184[[#This Row],[This Week]]-Table5155578101665718558768288120184[[#This Row],[Last Week]])/Table5155578101665718558768288120184[[#This Row],[Last Week]]</f>
        <v>5.2631578947368418E-2</v>
      </c>
      <c r="E16" s="1">
        <v>97</v>
      </c>
      <c r="F16" s="1">
        <v>2762</v>
      </c>
      <c r="G16" s="1">
        <v>28912</v>
      </c>
      <c r="H16" s="1">
        <v>5888677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B58483C4-2726-C74E-A8E2-AF83CB71D278}"/>
    <hyperlink ref="A20" r:id="rId2" xr:uid="{06F47847-28EC-BD4A-B073-A12A9D7D6B62}"/>
    <hyperlink ref="A22" r:id="rId3" xr:uid="{6EFB3AE7-7EDB-AB4F-8DAB-F3A6D7958554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A1FE-3EE6-564A-B457-616781A10380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64768</v>
      </c>
      <c r="C2" s="1">
        <v>95852</v>
      </c>
      <c r="D2" s="43">
        <f>(Table55456791564708453758187119187[[#This Row],[This Week]]-Table55456791564708453758187119187[[#This Row],[Last Week]])/Table55456791564708453758187119187[[#This Row],[Last Week]]</f>
        <v>-0.32429161624170594</v>
      </c>
      <c r="E2" s="1">
        <v>69438</v>
      </c>
      <c r="F2" s="1">
        <v>4314373</v>
      </c>
      <c r="G2" s="1">
        <v>2787946</v>
      </c>
      <c r="H2" s="1">
        <f>H9+H10</f>
        <v>15697804</v>
      </c>
    </row>
    <row r="3" spans="1:8" x14ac:dyDescent="0.2">
      <c r="A3" s="10" t="s">
        <v>13</v>
      </c>
      <c r="B3" s="1">
        <v>3137</v>
      </c>
      <c r="C3" s="1">
        <v>3517</v>
      </c>
      <c r="D3" s="43">
        <f>(Table55456791564708453758187119187[[#This Row],[This Week]]-Table55456791564708453758187119187[[#This Row],[Last Week]])/Table55456791564708453758187119187[[#This Row],[Last Week]]</f>
        <v>-0.10804663065112312</v>
      </c>
      <c r="E3" s="1">
        <v>7422</v>
      </c>
      <c r="F3" s="1">
        <v>491567</v>
      </c>
      <c r="G3" s="1">
        <v>906933</v>
      </c>
      <c r="H3" s="1">
        <f>H11+H13</f>
        <v>9239810</v>
      </c>
    </row>
    <row r="4" spans="1:8" x14ac:dyDescent="0.2">
      <c r="A4" s="10" t="s">
        <v>14</v>
      </c>
      <c r="B4" s="1">
        <v>856</v>
      </c>
      <c r="C4" s="1">
        <v>856</v>
      </c>
      <c r="D4" s="43">
        <f>(Table55456791564708453758187119187[[#This Row],[This Week]]-Table55456791564708453758187119187[[#This Row],[Last Week]])/Table55456791564708453758187119187[[#This Row],[Last Week]]</f>
        <v>0</v>
      </c>
      <c r="E4" s="1">
        <v>1241</v>
      </c>
      <c r="F4" s="1">
        <v>57083</v>
      </c>
      <c r="G4" s="1">
        <v>170295</v>
      </c>
      <c r="H4" s="1">
        <v>24553230</v>
      </c>
    </row>
    <row r="5" spans="1:8" x14ac:dyDescent="0.2">
      <c r="A5" s="8" t="s">
        <v>15</v>
      </c>
      <c r="B5" s="1">
        <v>47</v>
      </c>
      <c r="C5" s="1">
        <v>58</v>
      </c>
      <c r="D5" s="43">
        <f>(Table55456791564708453758187119187[[#This Row],[This Week]]-Table55456791564708453758187119187[[#This Row],[Last Week]])/Table55456791564708453758187119187[[#This Row],[Last Week]]</f>
        <v>-0.18965517241379309</v>
      </c>
      <c r="E5" s="1">
        <v>81</v>
      </c>
      <c r="F5" s="1">
        <v>3306</v>
      </c>
      <c r="G5" s="1">
        <v>5650</v>
      </c>
      <c r="H5" s="1">
        <v>114552</v>
      </c>
    </row>
    <row r="6" spans="1:8" x14ac:dyDescent="0.2">
      <c r="A6" s="31" t="s">
        <v>16</v>
      </c>
      <c r="B6" s="32">
        <f>SUM(B2:B5)</f>
        <v>68808</v>
      </c>
      <c r="C6" s="32">
        <f>SUM(C2:C5)</f>
        <v>100283</v>
      </c>
      <c r="D6" s="46">
        <f>(Table55456791564708453758187119187[[#This Row],[This Week]]-Table55456791564708453758187119187[[#This Row],[Last Week]])/Table55456791564708453758187119187[[#This Row],[Last Week]]</f>
        <v>-0.31386177118753927</v>
      </c>
      <c r="E6" s="32">
        <f>SUM(E2:E5)+23</f>
        <v>78205</v>
      </c>
      <c r="F6" s="32">
        <f>SUM(F2:F5)</f>
        <v>4866329</v>
      </c>
      <c r="G6" s="32">
        <f>SUM(G2:G5)+37349</f>
        <v>3908173</v>
      </c>
      <c r="H6" s="32">
        <f>SUM(H2:H5)</f>
        <v>49605396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48682</v>
      </c>
      <c r="C9" s="1">
        <v>74858</v>
      </c>
      <c r="D9" s="43">
        <f>(Table5155578101665718558768288120188[[#This Row],[This Week]]-Table5155578101665718558768288120188[[#This Row],[Last Week]])/Table5155578101665718558768288120188[[#This Row],[Last Week]]</f>
        <v>-0.3496753853963504</v>
      </c>
      <c r="E9" s="1">
        <v>51190</v>
      </c>
      <c r="F9" s="1">
        <v>2598155</v>
      </c>
      <c r="G9" s="1">
        <v>2435775</v>
      </c>
      <c r="H9" s="1">
        <v>12936203</v>
      </c>
    </row>
    <row r="10" spans="1:8" x14ac:dyDescent="0.2">
      <c r="A10" s="44" t="s">
        <v>18</v>
      </c>
      <c r="B10" s="1">
        <v>16086</v>
      </c>
      <c r="C10" s="1">
        <v>20994</v>
      </c>
      <c r="D10" s="43">
        <f>(Table5155578101665718558768288120188[[#This Row],[This Week]]-Table5155578101665718558768288120188[[#This Row],[Last Week]])/Table5155578101665718558768288120188[[#This Row],[Last Week]]</f>
        <v>-0.23378108030865963</v>
      </c>
      <c r="E10" s="1">
        <v>18248</v>
      </c>
      <c r="F10" s="1">
        <v>1716218</v>
      </c>
      <c r="G10" s="1">
        <v>352171</v>
      </c>
      <c r="H10" s="1">
        <v>2761601</v>
      </c>
    </row>
    <row r="11" spans="1:8" x14ac:dyDescent="0.2">
      <c r="A11" s="44" t="s">
        <v>13</v>
      </c>
      <c r="B11" s="1">
        <v>3005</v>
      </c>
      <c r="C11" s="1">
        <v>3411</v>
      </c>
      <c r="D11" s="43">
        <f>(Table5155578101665718558768288120188[[#This Row],[This Week]]-Table5155578101665718558768288120188[[#This Row],[Last Week]])/Table5155578101665718558768288120188[[#This Row],[Last Week]]</f>
        <v>-0.11902667839343301</v>
      </c>
      <c r="E11" s="1">
        <v>4453</v>
      </c>
      <c r="F11" s="1">
        <v>311683</v>
      </c>
      <c r="G11" s="1">
        <v>575191</v>
      </c>
      <c r="H11" s="1">
        <v>7664956</v>
      </c>
    </row>
    <row r="12" spans="1:8" x14ac:dyDescent="0.2">
      <c r="A12" s="42" t="s">
        <v>22</v>
      </c>
      <c r="B12" s="1">
        <v>836</v>
      </c>
      <c r="C12" s="1">
        <v>836</v>
      </c>
      <c r="D12" s="43">
        <f>(Table5155578101665718558768288120188[[#This Row],[This Week]]-Table5155578101665718558768288120188[[#This Row],[Last Week]])/Table5155578101665718558768288120188[[#This Row],[Last Week]]</f>
        <v>0</v>
      </c>
      <c r="E12" s="1">
        <v>1121</v>
      </c>
      <c r="F12" s="1">
        <v>54301</v>
      </c>
      <c r="G12" s="1">
        <v>140172</v>
      </c>
      <c r="H12" s="1">
        <v>1158547</v>
      </c>
    </row>
    <row r="13" spans="1:8" x14ac:dyDescent="0.2">
      <c r="A13" s="44" t="s">
        <v>21</v>
      </c>
      <c r="B13" s="1">
        <v>132</v>
      </c>
      <c r="C13" s="1">
        <v>106</v>
      </c>
      <c r="D13" s="43">
        <f>(Table5155578101665718558768288120188[[#This Row],[This Week]]-Table5155578101665718558768288120188[[#This Row],[Last Week]])/Table5155578101665718558768288120188[[#This Row],[Last Week]]</f>
        <v>0.24528301886792453</v>
      </c>
      <c r="E13" s="1">
        <v>2969</v>
      </c>
      <c r="F13" s="1">
        <v>179884</v>
      </c>
      <c r="G13" s="1">
        <v>331742</v>
      </c>
      <c r="H13" s="1">
        <v>1574854</v>
      </c>
    </row>
    <row r="14" spans="1:8" x14ac:dyDescent="0.2">
      <c r="A14" s="42" t="s">
        <v>19</v>
      </c>
      <c r="B14" s="1">
        <v>28</v>
      </c>
      <c r="C14" s="1">
        <v>37</v>
      </c>
      <c r="D14" s="43">
        <f>(Table5155578101665718558768288120188[[#This Row],[This Week]]-Table5155578101665718558768288120188[[#This Row],[Last Week]])/Table5155578101665718558768288120188[[#This Row],[Last Week]]</f>
        <v>-0.24324324324324326</v>
      </c>
      <c r="E14" s="1">
        <v>40</v>
      </c>
      <c r="F14" s="1">
        <v>2287</v>
      </c>
      <c r="G14" s="1">
        <v>3770</v>
      </c>
      <c r="H14" s="1">
        <v>20929</v>
      </c>
    </row>
    <row r="15" spans="1:8" x14ac:dyDescent="0.2">
      <c r="A15" s="38" t="s">
        <v>23</v>
      </c>
      <c r="B15" s="1">
        <v>20</v>
      </c>
      <c r="C15" s="1">
        <v>20</v>
      </c>
      <c r="D15" s="43">
        <f>(Table5155578101665718558768288120188[[#This Row],[This Week]]-Table5155578101665718558768288120188[[#This Row],[Last Week]])/Table5155578101665718558768288120188[[#This Row],[Last Week]]</f>
        <v>0</v>
      </c>
      <c r="E15" s="1">
        <v>120</v>
      </c>
      <c r="F15" s="1">
        <v>2782</v>
      </c>
      <c r="G15" s="1">
        <v>29032</v>
      </c>
      <c r="H15" s="1">
        <v>5888697</v>
      </c>
    </row>
    <row r="16" spans="1:8" x14ac:dyDescent="0.2">
      <c r="A16" s="53" t="s">
        <v>20</v>
      </c>
      <c r="B16" s="1">
        <v>19</v>
      </c>
      <c r="C16" s="1">
        <v>21</v>
      </c>
      <c r="D16" s="43">
        <f>(Table5155578101665718558768288120188[[#This Row],[This Week]]-Table5155578101665718558768288120188[[#This Row],[Last Week]])/Table5155578101665718558768288120188[[#This Row],[Last Week]]</f>
        <v>-9.5238095238095233E-2</v>
      </c>
      <c r="E16" s="1">
        <v>41</v>
      </c>
      <c r="F16" s="1">
        <v>1019</v>
      </c>
      <c r="G16" s="1">
        <v>1880</v>
      </c>
      <c r="H16" s="1">
        <v>21621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B62D80E5-0851-6748-BC20-40FB3FD83FD3}"/>
    <hyperlink ref="A20" r:id="rId2" xr:uid="{1428A99A-E72E-F245-9EBC-E52B581AEAAB}"/>
    <hyperlink ref="A22" r:id="rId3" xr:uid="{1F2F2E4A-2CD3-E140-95A8-6928EE28D78F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7631-BF4E-7146-9CAC-6F63AA6F8F54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86985</v>
      </c>
      <c r="C2" s="1">
        <v>64768</v>
      </c>
      <c r="D2" s="43">
        <f>(Table55456791564708453758187119187191[[#This Row],[This Week]]-Table55456791564708453758187119187191[[#This Row],[Last Week]])/Table55456791564708453758187119187191[[#This Row],[Last Week]]</f>
        <v>0.34302433300395258</v>
      </c>
      <c r="E2" s="1">
        <v>119397</v>
      </c>
      <c r="F2" s="1">
        <v>4401358</v>
      </c>
      <c r="G2" s="1">
        <v>2907343</v>
      </c>
      <c r="H2" s="1">
        <f>H9+H10</f>
        <v>15784789</v>
      </c>
    </row>
    <row r="3" spans="1:8" x14ac:dyDescent="0.2">
      <c r="A3" s="10" t="s">
        <v>13</v>
      </c>
      <c r="B3" s="1">
        <v>3150</v>
      </c>
      <c r="C3" s="1">
        <v>3137</v>
      </c>
      <c r="D3" s="43">
        <f>(Table55456791564708453758187119187191[[#This Row],[This Week]]-Table55456791564708453758187119187191[[#This Row],[Last Week]])/Table55456791564708453758187119187191[[#This Row],[Last Week]]</f>
        <v>4.1440867070449477E-3</v>
      </c>
      <c r="E3" s="1">
        <v>8338</v>
      </c>
      <c r="F3" s="1">
        <v>494717</v>
      </c>
      <c r="G3" s="1">
        <v>915271</v>
      </c>
      <c r="H3" s="1">
        <f>H11+H13</f>
        <v>9242960</v>
      </c>
    </row>
    <row r="4" spans="1:8" x14ac:dyDescent="0.2">
      <c r="A4" s="10" t="s">
        <v>14</v>
      </c>
      <c r="B4" s="1">
        <v>1467</v>
      </c>
      <c r="C4" s="1">
        <v>608</v>
      </c>
      <c r="D4" s="43">
        <f>(Table55456791564708453758187119187191[[#This Row],[This Week]]-Table55456791564708453758187119187191[[#This Row],[Last Week]])/Table55456791564708453758187119187191[[#This Row],[Last Week]]</f>
        <v>1.412828947368421</v>
      </c>
      <c r="E4" s="1">
        <v>1070</v>
      </c>
      <c r="F4" s="1">
        <v>58302</v>
      </c>
      <c r="G4" s="1">
        <v>171365</v>
      </c>
      <c r="H4" s="1">
        <v>24554449</v>
      </c>
    </row>
    <row r="5" spans="1:8" x14ac:dyDescent="0.2">
      <c r="A5" s="8" t="s">
        <v>15</v>
      </c>
      <c r="B5" s="1">
        <v>36</v>
      </c>
      <c r="C5" s="1">
        <v>47</v>
      </c>
      <c r="D5" s="43">
        <f>(Table55456791564708453758187119187191[[#This Row],[This Week]]-Table55456791564708453758187119187191[[#This Row],[Last Week]])/Table55456791564708453758187119187191[[#This Row],[Last Week]]</f>
        <v>-0.23404255319148937</v>
      </c>
      <c r="E5" s="1">
        <v>75</v>
      </c>
      <c r="F5" s="1">
        <v>3342</v>
      </c>
      <c r="G5" s="1">
        <v>5725</v>
      </c>
      <c r="H5" s="1">
        <v>114588</v>
      </c>
    </row>
    <row r="6" spans="1:8" x14ac:dyDescent="0.2">
      <c r="A6" s="31" t="s">
        <v>16</v>
      </c>
      <c r="B6" s="32">
        <f>SUM(B2:B5)</f>
        <v>91638</v>
      </c>
      <c r="C6" s="32">
        <f>SUM(C2:C5)</f>
        <v>68560</v>
      </c>
      <c r="D6" s="46">
        <f>(Table55456791564708453758187119187191[[#This Row],[This Week]]-Table55456791564708453758187119187191[[#This Row],[Last Week]])/Table55456791564708453758187119187191[[#This Row],[Last Week]]</f>
        <v>0.33661026837806302</v>
      </c>
      <c r="E6" s="32">
        <f>SUM(E2:E5)+41</f>
        <v>128921</v>
      </c>
      <c r="F6" s="32">
        <f>SUM(F2:F5)</f>
        <v>4957719</v>
      </c>
      <c r="G6" s="32">
        <f>SUM(G2:G5)+37390</f>
        <v>4037094</v>
      </c>
      <c r="H6" s="32">
        <f>SUM(H2:H5)</f>
        <v>49696786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66682</v>
      </c>
      <c r="C9" s="1">
        <v>48682</v>
      </c>
      <c r="D9" s="43">
        <f>(Table5155578101665718558768288120188192[[#This Row],[This Week]]-Table5155578101665718558768288120188192[[#This Row],[Last Week]])/Table5155578101665718558768288120188192[[#This Row],[Last Week]]</f>
        <v>0.36974651822028676</v>
      </c>
      <c r="E9" s="1">
        <v>53125</v>
      </c>
      <c r="F9" s="1">
        <v>2664837</v>
      </c>
      <c r="G9" s="1">
        <v>2488900</v>
      </c>
      <c r="H9" s="1">
        <v>13002885</v>
      </c>
    </row>
    <row r="10" spans="1:8" x14ac:dyDescent="0.2">
      <c r="A10" s="44" t="s">
        <v>18</v>
      </c>
      <c r="B10" s="1">
        <v>20303</v>
      </c>
      <c r="C10" s="1">
        <v>16086</v>
      </c>
      <c r="D10" s="43">
        <f>(Table5155578101665718558768288120188192[[#This Row],[This Week]]-Table5155578101665718558768288120188192[[#This Row],[Last Week]])/Table5155578101665718558768288120188192[[#This Row],[Last Week]]</f>
        <v>0.26215342533880392</v>
      </c>
      <c r="E10" s="1">
        <v>66272</v>
      </c>
      <c r="F10" s="1">
        <v>1736521</v>
      </c>
      <c r="G10" s="1">
        <v>418443</v>
      </c>
      <c r="H10" s="1">
        <v>2781904</v>
      </c>
    </row>
    <row r="11" spans="1:8" x14ac:dyDescent="0.2">
      <c r="A11" s="44" t="s">
        <v>13</v>
      </c>
      <c r="B11" s="1">
        <v>3066</v>
      </c>
      <c r="C11" s="1">
        <v>3005</v>
      </c>
      <c r="D11" s="43">
        <f>(Table5155578101665718558768288120188192[[#This Row],[This Week]]-Table5155578101665718558768288120188192[[#This Row],[Last Week]])/Table5155578101665718558768288120188192[[#This Row],[Last Week]]</f>
        <v>2.0299500831946756E-2</v>
      </c>
      <c r="E11" s="1">
        <v>4992</v>
      </c>
      <c r="F11" s="1">
        <v>314749</v>
      </c>
      <c r="G11" s="1">
        <v>580183</v>
      </c>
      <c r="H11" s="1">
        <v>7668022</v>
      </c>
    </row>
    <row r="12" spans="1:8" x14ac:dyDescent="0.2">
      <c r="A12" s="42" t="s">
        <v>22</v>
      </c>
      <c r="B12" s="1">
        <v>1438</v>
      </c>
      <c r="C12" s="1">
        <v>592</v>
      </c>
      <c r="D12" s="43">
        <f>(Table5155578101665718558768288120188192[[#This Row],[This Week]]-Table5155578101665718558768288120188192[[#This Row],[Last Week]])/Table5155578101665718558768288120188192[[#This Row],[Last Week]]</f>
        <v>1.4290540540540539</v>
      </c>
      <c r="E12" s="1">
        <v>989</v>
      </c>
      <c r="F12" s="1">
        <v>55495</v>
      </c>
      <c r="G12" s="1">
        <v>141161</v>
      </c>
      <c r="H12" s="1">
        <v>1159741</v>
      </c>
    </row>
    <row r="13" spans="1:8" x14ac:dyDescent="0.2">
      <c r="A13" s="44" t="s">
        <v>21</v>
      </c>
      <c r="B13" s="1">
        <v>84</v>
      </c>
      <c r="C13" s="1">
        <v>132</v>
      </c>
      <c r="D13" s="43">
        <f>(Table5155578101665718558768288120188192[[#This Row],[This Week]]-Table5155578101665718558768288120188192[[#This Row],[Last Week]])/Table5155578101665718558768288120188192[[#This Row],[Last Week]]</f>
        <v>-0.36363636363636365</v>
      </c>
      <c r="E13" s="1">
        <v>3346</v>
      </c>
      <c r="F13" s="1">
        <v>179968</v>
      </c>
      <c r="G13" s="1">
        <v>335088</v>
      </c>
      <c r="H13" s="1">
        <v>1574938</v>
      </c>
    </row>
    <row r="14" spans="1:8" x14ac:dyDescent="0.2">
      <c r="A14" s="42" t="s">
        <v>23</v>
      </c>
      <c r="B14" s="1">
        <v>29</v>
      </c>
      <c r="C14" s="1">
        <v>16</v>
      </c>
      <c r="D14" s="43">
        <f>(Table5155578101665718558768288120188192[[#This Row],[This Week]]-Table5155578101665718558768288120188192[[#This Row],[Last Week]])/Table5155578101665718558768288120188192[[#This Row],[Last Week]]</f>
        <v>0.8125</v>
      </c>
      <c r="E14" s="1">
        <v>81</v>
      </c>
      <c r="F14" s="1">
        <v>2807</v>
      </c>
      <c r="G14" s="1">
        <v>29113</v>
      </c>
      <c r="H14" s="1">
        <v>5888722</v>
      </c>
    </row>
    <row r="15" spans="1:8" x14ac:dyDescent="0.2">
      <c r="A15" s="38" t="s">
        <v>19</v>
      </c>
      <c r="B15" s="1">
        <v>21</v>
      </c>
      <c r="C15" s="1">
        <v>28</v>
      </c>
      <c r="D15" s="43">
        <f>(Table5155578101665718558768288120188192[[#This Row],[This Week]]-Table5155578101665718558768288120188192[[#This Row],[Last Week]])/Table5155578101665718558768288120188192[[#This Row],[Last Week]]</f>
        <v>-0.25</v>
      </c>
      <c r="E15" s="1">
        <v>43</v>
      </c>
      <c r="F15" s="1">
        <v>2308</v>
      </c>
      <c r="G15" s="1">
        <v>3813</v>
      </c>
      <c r="H15" s="1">
        <v>20950</v>
      </c>
    </row>
    <row r="16" spans="1:8" x14ac:dyDescent="0.2">
      <c r="A16" s="59" t="s">
        <v>20</v>
      </c>
      <c r="B16" s="1">
        <v>15</v>
      </c>
      <c r="C16" s="1">
        <v>19</v>
      </c>
      <c r="D16" s="43">
        <f>(Table5155578101665718558768288120188192[[#This Row],[This Week]]-Table5155578101665718558768288120188192[[#This Row],[Last Week]])/Table5155578101665718558768288120188192[[#This Row],[Last Week]]</f>
        <v>-0.21052631578947367</v>
      </c>
      <c r="E16" s="1">
        <v>32</v>
      </c>
      <c r="F16" s="1">
        <v>1034</v>
      </c>
      <c r="G16" s="1">
        <v>1912</v>
      </c>
      <c r="H16" s="1">
        <v>21636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53B5F080-7781-5548-A52C-4B629271080A}"/>
    <hyperlink ref="A20" r:id="rId2" xr:uid="{9D92BBF9-BCC5-DD46-A201-AC8F292AB280}"/>
    <hyperlink ref="A22" r:id="rId3" xr:uid="{FF3231EE-4AD6-C541-ACFC-3E95F5C5FA2A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87F0-893B-534D-95B5-C4D2598DE768}">
  <dimension ref="A1:H22"/>
  <sheetViews>
    <sheetView workbookViewId="0">
      <selection activeCell="E34" sqref="E34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139200</v>
      </c>
      <c r="C2" s="1">
        <v>86985</v>
      </c>
      <c r="D2" s="43">
        <f>(Table55456791564708453758187119187195[[#This Row],[This Week]]-Table55456791564708453758187119187195[[#This Row],[Last Week]])/Table55456791564708453758187119187195[[#This Row],[Last Week]]</f>
        <v>0.60027590963959299</v>
      </c>
      <c r="E2" s="1">
        <v>88772</v>
      </c>
      <c r="F2" s="1">
        <v>4540558</v>
      </c>
      <c r="G2" s="1">
        <v>2996115</v>
      </c>
      <c r="H2" s="1">
        <f>H9+H10</f>
        <v>15923989</v>
      </c>
    </row>
    <row r="3" spans="1:8" x14ac:dyDescent="0.2">
      <c r="A3" s="10" t="s">
        <v>13</v>
      </c>
      <c r="B3" s="1">
        <v>3275</v>
      </c>
      <c r="C3" s="1">
        <v>3150</v>
      </c>
      <c r="D3" s="43">
        <f>(Table55456791564708453758187119187195[[#This Row],[This Week]]-Table55456791564708453758187119187195[[#This Row],[Last Week]])/Table55456791564708453758187119187195[[#This Row],[Last Week]]</f>
        <v>3.968253968253968E-2</v>
      </c>
      <c r="E3" s="1">
        <v>15810</v>
      </c>
      <c r="F3" s="1">
        <v>497992</v>
      </c>
      <c r="G3" s="1">
        <v>931081</v>
      </c>
      <c r="H3" s="1">
        <f>H11+H13</f>
        <v>9246235</v>
      </c>
    </row>
    <row r="4" spans="1:8" x14ac:dyDescent="0.2">
      <c r="A4" s="10" t="s">
        <v>14</v>
      </c>
      <c r="B4" s="1">
        <v>561</v>
      </c>
      <c r="C4" s="1">
        <v>1467</v>
      </c>
      <c r="D4" s="43">
        <f>(Table55456791564708453758187119187195[[#This Row],[This Week]]-Table55456791564708453758187119187195[[#This Row],[Last Week]])/Table55456791564708453758187119187195[[#This Row],[Last Week]]</f>
        <v>-0.6175869120654397</v>
      </c>
      <c r="E4" s="1">
        <v>1774</v>
      </c>
      <c r="F4" s="1">
        <v>58863</v>
      </c>
      <c r="G4" s="1">
        <v>173139</v>
      </c>
      <c r="H4" s="1">
        <v>24555010</v>
      </c>
    </row>
    <row r="5" spans="1:8" x14ac:dyDescent="0.2">
      <c r="A5" s="8" t="s">
        <v>15</v>
      </c>
      <c r="B5" s="1">
        <v>29</v>
      </c>
      <c r="C5" s="1">
        <v>36</v>
      </c>
      <c r="D5" s="43">
        <f>(Table55456791564708453758187119187195[[#This Row],[This Week]]-Table55456791564708453758187119187195[[#This Row],[Last Week]])/Table55456791564708453758187119187195[[#This Row],[Last Week]]</f>
        <v>-0.19444444444444445</v>
      </c>
      <c r="E5" s="1">
        <v>64</v>
      </c>
      <c r="F5" s="1">
        <v>3371</v>
      </c>
      <c r="G5" s="1">
        <v>5789</v>
      </c>
      <c r="H5" s="1">
        <v>114617</v>
      </c>
    </row>
    <row r="6" spans="1:8" x14ac:dyDescent="0.2">
      <c r="A6" s="31" t="s">
        <v>16</v>
      </c>
      <c r="B6" s="32">
        <f>SUM(B2:B5)</f>
        <v>143065</v>
      </c>
      <c r="C6" s="32">
        <f>SUM(C2:C5)</f>
        <v>91638</v>
      </c>
      <c r="D6" s="46">
        <f>(Table55456791564708453758187119187195[[#This Row],[This Week]]-Table55456791564708453758187119187195[[#This Row],[Last Week]])/Table55456791564708453758187119187195[[#This Row],[Last Week]]</f>
        <v>0.56119731988912891</v>
      </c>
      <c r="E6" s="32">
        <f>SUM(E2:E5)+22</f>
        <v>106442</v>
      </c>
      <c r="F6" s="32">
        <f>SUM(F2:F5)</f>
        <v>5100784</v>
      </c>
      <c r="G6" s="32">
        <f>SUM(G2:G5)+37412</f>
        <v>4143536</v>
      </c>
      <c r="H6" s="32">
        <f>SUM(H2:H5)</f>
        <v>49839851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119109</v>
      </c>
      <c r="C9" s="1">
        <v>66682</v>
      </c>
      <c r="D9" s="43">
        <f>(Table5155578101665718558768288120188196[[#This Row],[This Week]]-Table5155578101665718558768288120188196[[#This Row],[Last Week]])/Table5155578101665718558768288120188196[[#This Row],[Last Week]]</f>
        <v>0.78622416844125853</v>
      </c>
      <c r="E9" s="1">
        <v>54249</v>
      </c>
      <c r="F9" s="1">
        <v>2783946</v>
      </c>
      <c r="G9" s="1">
        <v>2543149</v>
      </c>
      <c r="H9" s="1">
        <v>13121994</v>
      </c>
    </row>
    <row r="10" spans="1:8" x14ac:dyDescent="0.2">
      <c r="A10" s="44" t="s">
        <v>18</v>
      </c>
      <c r="B10" s="1">
        <v>20091</v>
      </c>
      <c r="C10" s="1">
        <v>20303</v>
      </c>
      <c r="D10" s="43">
        <f>(Table5155578101665718558768288120188196[[#This Row],[This Week]]-Table5155578101665718558768288120188196[[#This Row],[Last Week]])/Table5155578101665718558768288120188196[[#This Row],[Last Week]]</f>
        <v>-1.0441806629562133E-2</v>
      </c>
      <c r="E10" s="1">
        <v>34523</v>
      </c>
      <c r="F10" s="1">
        <v>1756612</v>
      </c>
      <c r="G10" s="1">
        <v>452966</v>
      </c>
      <c r="H10" s="1">
        <v>2801995</v>
      </c>
    </row>
    <row r="11" spans="1:8" x14ac:dyDescent="0.2">
      <c r="A11" s="44" t="s">
        <v>13</v>
      </c>
      <c r="B11" s="1">
        <v>3184</v>
      </c>
      <c r="C11" s="1">
        <v>3066</v>
      </c>
      <c r="D11" s="43">
        <f>(Table5155578101665718558768288120188196[[#This Row],[This Week]]-Table5155578101665718558768288120188196[[#This Row],[Last Week]])/Table5155578101665718558768288120188196[[#This Row],[Last Week]]</f>
        <v>3.8486627527723416E-2</v>
      </c>
      <c r="E11" s="1">
        <v>7264</v>
      </c>
      <c r="F11" s="1">
        <v>317933</v>
      </c>
      <c r="G11" s="1">
        <v>587447</v>
      </c>
      <c r="H11" s="1">
        <v>7671206</v>
      </c>
    </row>
    <row r="12" spans="1:8" x14ac:dyDescent="0.2">
      <c r="A12" s="42" t="s">
        <v>22</v>
      </c>
      <c r="B12" s="1">
        <v>536</v>
      </c>
      <c r="C12" s="1">
        <v>1438</v>
      </c>
      <c r="D12" s="43">
        <f>(Table5155578101665718558768288120188196[[#This Row],[This Week]]-Table5155578101665718558768288120188196[[#This Row],[Last Week]])/Table5155578101665718558768288120188196[[#This Row],[Last Week]]</f>
        <v>-0.62726008344923501</v>
      </c>
      <c r="E12" s="1">
        <v>1720</v>
      </c>
      <c r="F12" s="1">
        <v>56031</v>
      </c>
      <c r="G12" s="1">
        <v>142881</v>
      </c>
      <c r="H12" s="1">
        <v>1160277</v>
      </c>
    </row>
    <row r="13" spans="1:8" x14ac:dyDescent="0.2">
      <c r="A13" s="44" t="s">
        <v>21</v>
      </c>
      <c r="B13" s="1">
        <v>91</v>
      </c>
      <c r="C13" s="1">
        <v>84</v>
      </c>
      <c r="D13" s="43">
        <f>(Table5155578101665718558768288120188196[[#This Row],[This Week]]-Table5155578101665718558768288120188196[[#This Row],[Last Week]])/Table5155578101665718558768288120188196[[#This Row],[Last Week]]</f>
        <v>8.3333333333333329E-2</v>
      </c>
      <c r="E13" s="1">
        <v>8546</v>
      </c>
      <c r="F13" s="1">
        <v>180059</v>
      </c>
      <c r="G13" s="1">
        <v>343634</v>
      </c>
      <c r="H13" s="1">
        <v>1575029</v>
      </c>
    </row>
    <row r="14" spans="1:8" x14ac:dyDescent="0.2">
      <c r="A14" s="42" t="s">
        <v>23</v>
      </c>
      <c r="B14" s="1">
        <v>25</v>
      </c>
      <c r="C14" s="1">
        <v>29</v>
      </c>
      <c r="D14" s="43">
        <f>(Table5155578101665718558768288120188196[[#This Row],[This Week]]-Table5155578101665718558768288120188196[[#This Row],[Last Week]])/Table5155578101665718558768288120188196[[#This Row],[Last Week]]</f>
        <v>-0.13793103448275862</v>
      </c>
      <c r="E14" s="1">
        <v>54</v>
      </c>
      <c r="F14" s="1">
        <v>2832</v>
      </c>
      <c r="G14" s="1">
        <v>29167</v>
      </c>
      <c r="H14" s="1">
        <v>5888747</v>
      </c>
    </row>
    <row r="15" spans="1:8" x14ac:dyDescent="0.2">
      <c r="A15" s="38" t="s">
        <v>19</v>
      </c>
      <c r="B15" s="1">
        <v>16</v>
      </c>
      <c r="C15" s="1">
        <v>21</v>
      </c>
      <c r="D15" s="43">
        <f>(Table5155578101665718558768288120188196[[#This Row],[This Week]]-Table5155578101665718558768288120188196[[#This Row],[Last Week]])/Table5155578101665718558768288120188196[[#This Row],[Last Week]]</f>
        <v>-0.23809523809523808</v>
      </c>
      <c r="E15" s="1">
        <v>30</v>
      </c>
      <c r="F15" s="1">
        <v>2324</v>
      </c>
      <c r="G15" s="1">
        <v>3843</v>
      </c>
      <c r="H15" s="1">
        <v>20966</v>
      </c>
    </row>
    <row r="16" spans="1:8" x14ac:dyDescent="0.2">
      <c r="A16" s="59" t="s">
        <v>20</v>
      </c>
      <c r="B16" s="1">
        <v>13</v>
      </c>
      <c r="C16" s="1">
        <v>15</v>
      </c>
      <c r="D16" s="43">
        <f>(Table5155578101665718558768288120188196[[#This Row],[This Week]]-Table5155578101665718558768288120188196[[#This Row],[Last Week]])/Table5155578101665718558768288120188196[[#This Row],[Last Week]]</f>
        <v>-0.13333333333333333</v>
      </c>
      <c r="E16" s="1">
        <v>34</v>
      </c>
      <c r="F16" s="1">
        <v>1047</v>
      </c>
      <c r="G16" s="1">
        <v>1946</v>
      </c>
      <c r="H16" s="1">
        <v>21649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A98BE505-F5A4-E049-8B48-AB1BAC8640FF}"/>
    <hyperlink ref="A20" r:id="rId2" xr:uid="{07A811F6-E766-024B-802A-2779A492E72D}"/>
    <hyperlink ref="A22" r:id="rId3" xr:uid="{C7E724EE-F387-6040-822E-A074FDE0EA58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79656-C221-3C4D-A50C-238EA6E5162E}">
  <dimension ref="A1:H28"/>
  <sheetViews>
    <sheetView workbookViewId="0">
      <selection activeCell="A25" sqref="A25:A28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71" t="s">
        <v>27</v>
      </c>
      <c r="B2" s="67">
        <v>118085</v>
      </c>
      <c r="C2" s="67" t="s">
        <v>17</v>
      </c>
      <c r="D2" s="72" t="s">
        <v>32</v>
      </c>
      <c r="E2" s="67" t="s">
        <v>17</v>
      </c>
      <c r="F2" s="67">
        <v>118085</v>
      </c>
      <c r="G2" s="67" t="s">
        <v>17</v>
      </c>
      <c r="H2" s="67">
        <f>H11+H15</f>
        <v>118085</v>
      </c>
    </row>
    <row r="3" spans="1:8" x14ac:dyDescent="0.2">
      <c r="A3" s="3" t="s">
        <v>12</v>
      </c>
      <c r="B3" s="1">
        <v>116267</v>
      </c>
      <c r="C3" s="1">
        <v>139200</v>
      </c>
      <c r="D3" s="43">
        <f>(Table55456791564708453758187119187195199[[#This Row],[This Week]]-Table55456791564708453758187119187195199[[#This Row],[Last Week]])/Table55456791564708453758187119187195199[[#This Row],[Last Week]]</f>
        <v>-0.16474856321839079</v>
      </c>
      <c r="E3" s="1">
        <v>180136</v>
      </c>
      <c r="F3" s="1">
        <v>4656825</v>
      </c>
      <c r="G3" s="1">
        <v>3176251</v>
      </c>
      <c r="H3" s="1">
        <f>H12+H13</f>
        <v>16040256</v>
      </c>
    </row>
    <row r="4" spans="1:8" x14ac:dyDescent="0.2">
      <c r="A4" s="71" t="s">
        <v>28</v>
      </c>
      <c r="B4" s="67">
        <v>20534</v>
      </c>
      <c r="C4" s="67" t="s">
        <v>17</v>
      </c>
      <c r="D4" s="68" t="s">
        <v>32</v>
      </c>
      <c r="E4" s="67" t="s">
        <v>17</v>
      </c>
      <c r="F4" s="67">
        <v>20534</v>
      </c>
      <c r="G4" s="67" t="s">
        <v>17</v>
      </c>
      <c r="H4" s="67">
        <f>H14+H16</f>
        <v>20534</v>
      </c>
    </row>
    <row r="5" spans="1:8" x14ac:dyDescent="0.2">
      <c r="A5" s="10" t="s">
        <v>13</v>
      </c>
      <c r="B5" s="1">
        <v>2974</v>
      </c>
      <c r="C5" s="1">
        <v>3275</v>
      </c>
      <c r="D5" s="43">
        <f>(Table55456791564708453758187119187195199[[#This Row],[This Week]]-Table55456791564708453758187119187195199[[#This Row],[Last Week]])/Table55456791564708453758187119187195199[[#This Row],[Last Week]]</f>
        <v>-9.1908396946564885E-2</v>
      </c>
      <c r="E5" s="1">
        <v>8094</v>
      </c>
      <c r="F5" s="1">
        <v>500966</v>
      </c>
      <c r="G5" s="1">
        <v>939175</v>
      </c>
      <c r="H5" s="1">
        <f>H17+H19</f>
        <v>9249209</v>
      </c>
    </row>
    <row r="6" spans="1:8" x14ac:dyDescent="0.2">
      <c r="A6" s="10" t="s">
        <v>14</v>
      </c>
      <c r="B6" s="1">
        <v>474</v>
      </c>
      <c r="C6" s="1">
        <v>561</v>
      </c>
      <c r="D6" s="43">
        <f>(Table55456791564708453758187119187195199[[#This Row],[This Week]]-Table55456791564708453758187119187195199[[#This Row],[Last Week]])/Table55456791564708453758187119187195199[[#This Row],[Last Week]]</f>
        <v>-0.15508021390374332</v>
      </c>
      <c r="E6" s="1">
        <v>1262</v>
      </c>
      <c r="F6" s="1">
        <v>59337</v>
      </c>
      <c r="G6" s="1">
        <v>174401</v>
      </c>
      <c r="H6" s="1">
        <v>24555484</v>
      </c>
    </row>
    <row r="7" spans="1:8" x14ac:dyDescent="0.2">
      <c r="A7" s="8" t="s">
        <v>15</v>
      </c>
      <c r="B7" s="1">
        <v>25</v>
      </c>
      <c r="C7" s="1">
        <v>29</v>
      </c>
      <c r="D7" s="43">
        <f>(Table55456791564708453758187119187195199[[#This Row],[This Week]]-Table55456791564708453758187119187195199[[#This Row],[Last Week]])/Table55456791564708453758187119187195199[[#This Row],[Last Week]]</f>
        <v>-0.13793103448275862</v>
      </c>
      <c r="E7" s="1">
        <v>80</v>
      </c>
      <c r="F7" s="1">
        <v>3396</v>
      </c>
      <c r="G7" s="1">
        <v>5869</v>
      </c>
      <c r="H7" s="1">
        <v>114642</v>
      </c>
    </row>
    <row r="8" spans="1:8" x14ac:dyDescent="0.2">
      <c r="A8" s="31" t="s">
        <v>16</v>
      </c>
      <c r="B8" s="32">
        <f>SUM(B2:B7)</f>
        <v>258359</v>
      </c>
      <c r="C8" s="32">
        <f>SUM(C2:C7)</f>
        <v>143065</v>
      </c>
      <c r="D8" s="46">
        <f>(Table55456791564708453758187119187195199[[#This Row],[This Week]]-Table55456791564708453758187119187195199[[#This Row],[Last Week]])/Table55456791564708453758187119187195199[[#This Row],[Last Week]]</f>
        <v>0.80588543668961665</v>
      </c>
      <c r="E8" s="32">
        <f>SUM(E2:E7)+20</f>
        <v>189592</v>
      </c>
      <c r="F8" s="32">
        <f>SUM(F2:F7)</f>
        <v>5359143</v>
      </c>
      <c r="G8" s="32">
        <f>SUM(G2:G7)+37432</f>
        <v>4333128</v>
      </c>
      <c r="H8" s="32">
        <f>SUM(H2:H7)</f>
        <v>50098210</v>
      </c>
    </row>
    <row r="9" spans="1:8" x14ac:dyDescent="0.2">
      <c r="A9" s="17"/>
      <c r="B9" s="6"/>
      <c r="C9" s="6"/>
      <c r="D9" s="12"/>
      <c r="E9" s="6"/>
      <c r="F9" s="6"/>
      <c r="G9" s="6"/>
      <c r="H9" s="6"/>
    </row>
    <row r="10" spans="1:8" x14ac:dyDescent="0.2">
      <c r="A10" s="6" t="s">
        <v>0</v>
      </c>
      <c r="B10" s="6" t="s">
        <v>8</v>
      </c>
      <c r="C10" s="6" t="s">
        <v>1</v>
      </c>
      <c r="D10" s="6" t="s">
        <v>2</v>
      </c>
      <c r="E10" s="6" t="s">
        <v>24</v>
      </c>
      <c r="F10" s="6" t="s">
        <v>10</v>
      </c>
      <c r="G10" s="6" t="s">
        <v>11</v>
      </c>
      <c r="H10" s="6" t="s">
        <v>9</v>
      </c>
    </row>
    <row r="11" spans="1:8" x14ac:dyDescent="0.2">
      <c r="A11" s="66" t="s">
        <v>27</v>
      </c>
      <c r="B11" s="67">
        <v>103901</v>
      </c>
      <c r="C11" s="67" t="s">
        <v>17</v>
      </c>
      <c r="D11" s="68" t="s">
        <v>32</v>
      </c>
      <c r="E11" s="67" t="s">
        <v>17</v>
      </c>
      <c r="F11" s="67">
        <v>103901</v>
      </c>
      <c r="G11" s="67" t="s">
        <v>17</v>
      </c>
      <c r="H11" s="67">
        <v>103901</v>
      </c>
    </row>
    <row r="12" spans="1:8" x14ac:dyDescent="0.2">
      <c r="A12" s="42" t="s">
        <v>12</v>
      </c>
      <c r="B12" s="1">
        <v>93671</v>
      </c>
      <c r="C12" s="1">
        <v>119109</v>
      </c>
      <c r="D12" s="43">
        <f>(Table5155578101665718558768288120188196200[[#This Row],[This Week]]-Table5155578101665718558768288120188196200[[#This Row],[Last Week]])/Table5155578101665718558768288120188196200[[#This Row],[Last Week]]</f>
        <v>-0.21356908378040282</v>
      </c>
      <c r="E12" s="1">
        <v>82571</v>
      </c>
      <c r="F12" s="1">
        <v>2877617</v>
      </c>
      <c r="G12" s="1">
        <v>2625720</v>
      </c>
      <c r="H12" s="1">
        <v>13215665</v>
      </c>
    </row>
    <row r="13" spans="1:8" x14ac:dyDescent="0.2">
      <c r="A13" s="37" t="s">
        <v>18</v>
      </c>
      <c r="B13" s="1">
        <v>22596</v>
      </c>
      <c r="C13" s="1">
        <v>20091</v>
      </c>
      <c r="D13" s="43">
        <f>(Table5155578101665718558768288120188196200[[#This Row],[This Week]]-Table5155578101665718558768288120188196200[[#This Row],[Last Week]])/Table5155578101665718558768288120188196200[[#This Row],[Last Week]]</f>
        <v>0.12468269374346723</v>
      </c>
      <c r="E13" s="1">
        <v>97565</v>
      </c>
      <c r="F13" s="1">
        <v>1779208</v>
      </c>
      <c r="G13" s="1">
        <v>550531</v>
      </c>
      <c r="H13" s="1">
        <v>2824591</v>
      </c>
    </row>
    <row r="14" spans="1:8" x14ac:dyDescent="0.2">
      <c r="A14" s="69" t="s">
        <v>30</v>
      </c>
      <c r="B14" s="67">
        <v>16247</v>
      </c>
      <c r="C14" s="67" t="s">
        <v>17</v>
      </c>
      <c r="D14" s="68" t="s">
        <v>32</v>
      </c>
      <c r="E14" s="67" t="s">
        <v>17</v>
      </c>
      <c r="F14" s="67">
        <v>16247</v>
      </c>
      <c r="G14" s="67" t="s">
        <v>17</v>
      </c>
      <c r="H14" s="67">
        <v>16247</v>
      </c>
    </row>
    <row r="15" spans="1:8" x14ac:dyDescent="0.2">
      <c r="A15" s="66" t="s">
        <v>29</v>
      </c>
      <c r="B15" s="67">
        <v>14184</v>
      </c>
      <c r="C15" s="67" t="s">
        <v>17</v>
      </c>
      <c r="D15" s="68" t="s">
        <v>32</v>
      </c>
      <c r="E15" s="67" t="s">
        <v>17</v>
      </c>
      <c r="F15" s="67">
        <v>14184</v>
      </c>
      <c r="G15" s="67" t="s">
        <v>17</v>
      </c>
      <c r="H15" s="67">
        <v>14184</v>
      </c>
    </row>
    <row r="16" spans="1:8" x14ac:dyDescent="0.2">
      <c r="A16" s="70" t="s">
        <v>31</v>
      </c>
      <c r="B16" s="67">
        <v>4287</v>
      </c>
      <c r="C16" s="67" t="s">
        <v>17</v>
      </c>
      <c r="D16" s="68" t="s">
        <v>32</v>
      </c>
      <c r="E16" s="67" t="s">
        <v>17</v>
      </c>
      <c r="F16" s="67">
        <v>4287</v>
      </c>
      <c r="G16" s="67" t="s">
        <v>17</v>
      </c>
      <c r="H16" s="67">
        <v>4287</v>
      </c>
    </row>
    <row r="17" spans="1:8" x14ac:dyDescent="0.2">
      <c r="A17" s="44" t="s">
        <v>13</v>
      </c>
      <c r="B17" s="1">
        <v>2903</v>
      </c>
      <c r="C17" s="1">
        <v>3184</v>
      </c>
      <c r="D17" s="43">
        <f>(Table5155578101665718558768288120188196200[[#This Row],[This Week]]-Table5155578101665718558768288120188196200[[#This Row],[Last Week]])/Table5155578101665718558768288120188196200[[#This Row],[Last Week]]</f>
        <v>-8.8253768844221106E-2</v>
      </c>
      <c r="E17" s="1">
        <v>4393</v>
      </c>
      <c r="F17" s="1">
        <v>320836</v>
      </c>
      <c r="G17" s="1">
        <v>591840</v>
      </c>
      <c r="H17" s="1">
        <v>7674109</v>
      </c>
    </row>
    <row r="18" spans="1:8" x14ac:dyDescent="0.2">
      <c r="A18" s="42" t="s">
        <v>22</v>
      </c>
      <c r="B18" s="1">
        <v>474</v>
      </c>
      <c r="C18" s="1">
        <v>536</v>
      </c>
      <c r="D18" s="43">
        <f>(Table5155578101665718558768288120188196200[[#This Row],[This Week]]-Table5155578101665718558768288120188196200[[#This Row],[Last Week]])/Table5155578101665718558768288120188196200[[#This Row],[Last Week]]</f>
        <v>-0.11567164179104478</v>
      </c>
      <c r="E18" s="1">
        <v>1188</v>
      </c>
      <c r="F18" s="1">
        <v>56505</v>
      </c>
      <c r="G18" s="1">
        <v>144069</v>
      </c>
      <c r="H18" s="1">
        <v>1160751</v>
      </c>
    </row>
    <row r="19" spans="1:8" x14ac:dyDescent="0.2">
      <c r="A19" s="44" t="s">
        <v>21</v>
      </c>
      <c r="B19" s="1">
        <v>71</v>
      </c>
      <c r="C19" s="1">
        <v>91</v>
      </c>
      <c r="D19" s="43">
        <f>(Table5155578101665718558768288120188196200[[#This Row],[This Week]]-Table5155578101665718558768288120188196200[[#This Row],[Last Week]])/Table5155578101665718558768288120188196200[[#This Row],[Last Week]]</f>
        <v>-0.21978021978021978</v>
      </c>
      <c r="E19" s="1">
        <v>3701</v>
      </c>
      <c r="F19" s="1">
        <v>180130</v>
      </c>
      <c r="G19" s="1">
        <v>347335</v>
      </c>
      <c r="H19" s="1">
        <v>1575100</v>
      </c>
    </row>
    <row r="20" spans="1:8" x14ac:dyDescent="0.2">
      <c r="A20" s="42" t="s">
        <v>23</v>
      </c>
      <c r="B20" s="1">
        <v>23</v>
      </c>
      <c r="C20" s="1">
        <v>25</v>
      </c>
      <c r="D20" s="43">
        <f>(Table5155578101665718558768288120188196200[[#This Row],[This Week]]-Table5155578101665718558768288120188196200[[#This Row],[Last Week]])/Table5155578101665718558768288120188196200[[#This Row],[Last Week]]</f>
        <v>-0.08</v>
      </c>
      <c r="E20" s="1">
        <v>74</v>
      </c>
      <c r="F20" s="1">
        <v>2859</v>
      </c>
      <c r="G20" s="12">
        <v>29241</v>
      </c>
      <c r="H20" s="1">
        <v>5888774</v>
      </c>
    </row>
    <row r="21" spans="1:8" x14ac:dyDescent="0.2">
      <c r="A21" s="38" t="s">
        <v>19</v>
      </c>
      <c r="B21" s="1">
        <v>14</v>
      </c>
      <c r="C21" s="1">
        <v>16</v>
      </c>
      <c r="D21" s="43">
        <f>(Table5155578101665718558768288120188196200[[#This Row],[This Week]]-Table5155578101665718558768288120188196200[[#This Row],[Last Week]])/Table5155578101665718558768288120188196200[[#This Row],[Last Week]]</f>
        <v>-0.125</v>
      </c>
      <c r="E21" s="1">
        <v>39</v>
      </c>
      <c r="F21" s="1">
        <v>2338</v>
      </c>
      <c r="G21" s="1">
        <v>3882</v>
      </c>
      <c r="H21" s="1">
        <v>20980</v>
      </c>
    </row>
    <row r="22" spans="1:8" x14ac:dyDescent="0.2">
      <c r="A22" s="59" t="s">
        <v>20</v>
      </c>
      <c r="B22" s="1">
        <v>11</v>
      </c>
      <c r="C22" s="1">
        <v>13</v>
      </c>
      <c r="D22" s="43">
        <f>(Table5155578101665718558768288120188196200[[#This Row],[This Week]]-Table5155578101665718558768288120188196200[[#This Row],[Last Week]])/Table5155578101665718558768288120188196200[[#This Row],[Last Week]]</f>
        <v>-0.15384615384615385</v>
      </c>
      <c r="E22" s="1">
        <v>41</v>
      </c>
      <c r="F22" s="1">
        <v>1058</v>
      </c>
      <c r="G22" s="1">
        <v>1987</v>
      </c>
      <c r="H22" s="1">
        <v>21660</v>
      </c>
    </row>
    <row r="25" spans="1:8" x14ac:dyDescent="0.2">
      <c r="A25" t="s">
        <v>4</v>
      </c>
    </row>
    <row r="26" spans="1:8" x14ac:dyDescent="0.2">
      <c r="A26" s="4" t="s">
        <v>5</v>
      </c>
    </row>
    <row r="27" spans="1:8" x14ac:dyDescent="0.2">
      <c r="A27" s="4" t="s">
        <v>3</v>
      </c>
    </row>
    <row r="28" spans="1:8" x14ac:dyDescent="0.2">
      <c r="A28" s="4" t="s">
        <v>6</v>
      </c>
    </row>
  </sheetData>
  <hyperlinks>
    <hyperlink ref="A27" r:id="rId1" xr:uid="{FB6F579B-DD9C-4747-BD80-CBE1978E8B37}"/>
    <hyperlink ref="A26" r:id="rId2" xr:uid="{66AB6115-C99E-934F-8F0C-BB43E9926126}"/>
    <hyperlink ref="A28" r:id="rId3" xr:uid="{D8B99199-8EE2-F74B-AF98-CB8D0A011AD5}"/>
  </hyperlinks>
  <pageMargins left="0.7" right="0.7" top="0.75" bottom="0.75" header="0.3" footer="0.3"/>
  <ignoredErrors>
    <ignoredError sqref="G8" formula="1"/>
  </ignoredErrors>
  <tableParts count="2">
    <tablePart r:id="rId4"/>
    <tablePart r:id="rId5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D2EA-D37B-EB49-91C8-75156217839C}">
  <dimension ref="A1:H28"/>
  <sheetViews>
    <sheetView workbookViewId="0">
      <selection activeCell="A25" sqref="A25:A28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179143</v>
      </c>
      <c r="C2" s="1">
        <v>116267</v>
      </c>
      <c r="D2" s="11">
        <f>(Table55456791564708453758187119187195199231[[#This Row],[This Week]]-Table55456791564708453758187119187195199231[[#This Row],[Last Week]])/Table55456791564708453758187119187195199231[[#This Row],[Last Week]]</f>
        <v>0.54078973397438657</v>
      </c>
      <c r="E2" s="1">
        <v>179992</v>
      </c>
      <c r="F2" s="1">
        <v>4835968</v>
      </c>
      <c r="G2" s="1">
        <v>3356243</v>
      </c>
      <c r="H2" s="1">
        <f>H11+H13</f>
        <v>16219399</v>
      </c>
    </row>
    <row r="3" spans="1:8" x14ac:dyDescent="0.2">
      <c r="A3" s="10" t="s">
        <v>27</v>
      </c>
      <c r="B3" s="1">
        <v>42891</v>
      </c>
      <c r="C3" s="1">
        <v>118085</v>
      </c>
      <c r="D3" s="43">
        <f>(Table55456791564708453758187119187195199231[[#This Row],[This Week]]-Table55456791564708453758187119187195199231[[#This Row],[Last Week]])/Table55456791564708453758187119187195199231[[#This Row],[Last Week]]</f>
        <v>-0.6367785916924249</v>
      </c>
      <c r="E3" s="1" t="s">
        <v>17</v>
      </c>
      <c r="F3" s="1">
        <v>160976</v>
      </c>
      <c r="G3" s="1" t="s">
        <v>17</v>
      </c>
      <c r="H3" s="1">
        <f>H12+H14</f>
        <v>160976</v>
      </c>
    </row>
    <row r="4" spans="1:8" x14ac:dyDescent="0.2">
      <c r="A4" s="10" t="s">
        <v>28</v>
      </c>
      <c r="B4" s="1">
        <v>3684</v>
      </c>
      <c r="C4" s="1">
        <v>20534</v>
      </c>
      <c r="D4" s="43">
        <f>(Table55456791564708453758187119187195199231[[#This Row],[This Week]]-Table55456791564708453758187119187195199231[[#This Row],[Last Week]])/Table55456791564708453758187119187195199231[[#This Row],[Last Week]]</f>
        <v>-0.82059024057660468</v>
      </c>
      <c r="E4" s="1" t="s">
        <v>17</v>
      </c>
      <c r="F4" s="1">
        <v>24218</v>
      </c>
      <c r="G4" s="1" t="s">
        <v>17</v>
      </c>
      <c r="H4" s="1">
        <f>H15+H17</f>
        <v>24218</v>
      </c>
    </row>
    <row r="5" spans="1:8" x14ac:dyDescent="0.2">
      <c r="A5" s="10" t="s">
        <v>13</v>
      </c>
      <c r="B5" s="1">
        <v>2767</v>
      </c>
      <c r="C5" s="1">
        <v>2974</v>
      </c>
      <c r="D5" s="43">
        <f>(Table55456791564708453758187119187195199231[[#This Row],[This Week]]-Table55456791564708453758187119187195199231[[#This Row],[Last Week]])/Table55456791564708453758187119187195199231[[#This Row],[Last Week]]</f>
        <v>-6.9603227975790188E-2</v>
      </c>
      <c r="E5" s="1">
        <v>7073</v>
      </c>
      <c r="F5" s="1">
        <v>503733</v>
      </c>
      <c r="G5" s="1">
        <v>946248</v>
      </c>
      <c r="H5" s="1">
        <f>H16+H19</f>
        <v>9251976</v>
      </c>
    </row>
    <row r="6" spans="1:8" x14ac:dyDescent="0.2">
      <c r="A6" s="10" t="s">
        <v>14</v>
      </c>
      <c r="B6" s="1">
        <v>588</v>
      </c>
      <c r="C6" s="1">
        <v>497</v>
      </c>
      <c r="D6" s="43">
        <f>(Table55456791564708453758187119187195199231[[#This Row],[This Week]]-Table55456791564708453758187119187195199231[[#This Row],[Last Week]])/Table55456791564708453758187119187195199231[[#This Row],[Last Week]]</f>
        <v>0.18309859154929578</v>
      </c>
      <c r="E6" s="1">
        <v>1073</v>
      </c>
      <c r="F6" s="1">
        <v>59948</v>
      </c>
      <c r="G6" s="1">
        <v>175474</v>
      </c>
      <c r="H6" s="1">
        <v>24556095</v>
      </c>
    </row>
    <row r="7" spans="1:8" x14ac:dyDescent="0.2">
      <c r="A7" s="8" t="s">
        <v>15</v>
      </c>
      <c r="B7" s="1">
        <v>29</v>
      </c>
      <c r="C7" s="1">
        <v>25</v>
      </c>
      <c r="D7" s="43">
        <f>(Table55456791564708453758187119187195199231[[#This Row],[This Week]]-Table55456791564708453758187119187195199231[[#This Row],[Last Week]])/Table55456791564708453758187119187195199231[[#This Row],[Last Week]]</f>
        <v>0.16</v>
      </c>
      <c r="E7" s="1">
        <v>110</v>
      </c>
      <c r="F7" s="1">
        <v>3425</v>
      </c>
      <c r="G7" s="1">
        <v>5979</v>
      </c>
      <c r="H7" s="1">
        <v>114671</v>
      </c>
    </row>
    <row r="8" spans="1:8" x14ac:dyDescent="0.2">
      <c r="A8" s="31" t="s">
        <v>16</v>
      </c>
      <c r="B8" s="32">
        <f>SUM(B2:B7)</f>
        <v>229102</v>
      </c>
      <c r="C8" s="32">
        <f>SUM(C2:C7)</f>
        <v>258382</v>
      </c>
      <c r="D8" s="46">
        <f>(Table55456791564708453758187119187195199231[[#This Row],[This Week]]-Table55456791564708453758187119187195199231[[#This Row],[Last Week]])/Table55456791564708453758187119187195199231[[#This Row],[Last Week]]</f>
        <v>-0.11332058734741585</v>
      </c>
      <c r="E8" s="32">
        <f>SUM(E2:E7)+23</f>
        <v>188271</v>
      </c>
      <c r="F8" s="32">
        <f>SUM(F2:F7)</f>
        <v>5588268</v>
      </c>
      <c r="G8" s="32">
        <f>SUM(G2:G7)+37455</f>
        <v>4521399</v>
      </c>
      <c r="H8" s="32">
        <f>SUM(H2:H7)</f>
        <v>50327335</v>
      </c>
    </row>
    <row r="9" spans="1:8" x14ac:dyDescent="0.2">
      <c r="A9" s="17"/>
      <c r="B9" s="6"/>
      <c r="C9" s="6"/>
      <c r="D9" s="12"/>
      <c r="E9" s="6"/>
      <c r="F9" s="6"/>
      <c r="G9" s="6"/>
      <c r="H9" s="6"/>
    </row>
    <row r="10" spans="1:8" x14ac:dyDescent="0.2">
      <c r="A10" s="6" t="s">
        <v>0</v>
      </c>
      <c r="B10" s="6" t="s">
        <v>8</v>
      </c>
      <c r="C10" s="6" t="s">
        <v>1</v>
      </c>
      <c r="D10" s="6" t="s">
        <v>2</v>
      </c>
      <c r="E10" s="6" t="s">
        <v>24</v>
      </c>
      <c r="F10" s="6" t="s">
        <v>10</v>
      </c>
      <c r="G10" s="6" t="s">
        <v>11</v>
      </c>
      <c r="H10" s="6" t="s">
        <v>9</v>
      </c>
    </row>
    <row r="11" spans="1:8" x14ac:dyDescent="0.2">
      <c r="A11" s="42" t="s">
        <v>12</v>
      </c>
      <c r="B11" s="1">
        <v>151092</v>
      </c>
      <c r="C11" s="1">
        <v>93671</v>
      </c>
      <c r="D11" s="43">
        <f>(Table5155578101665718558768288120188196200232[[#This Row],[This Week]]-Table5155578101665718558768288120188196200232[[#This Row],[Last Week]])/Table5155578101665718558768288120188196200232[[#This Row],[Last Week]]</f>
        <v>0.61300722742364233</v>
      </c>
      <c r="E11" s="1">
        <v>102294</v>
      </c>
      <c r="F11" s="1">
        <v>3028709</v>
      </c>
      <c r="G11" s="1">
        <v>2728014</v>
      </c>
      <c r="H11" s="1">
        <v>13366757</v>
      </c>
    </row>
    <row r="12" spans="1:8" x14ac:dyDescent="0.2">
      <c r="A12" s="42" t="s">
        <v>27</v>
      </c>
      <c r="B12" s="1">
        <v>32335</v>
      </c>
      <c r="C12" s="1">
        <v>103901</v>
      </c>
      <c r="D12" s="43">
        <f>(Table5155578101665718558768288120188196200232[[#This Row],[This Week]]-Table5155578101665718558768288120188196200232[[#This Row],[Last Week]])/Table5155578101665718558768288120188196200232[[#This Row],[Last Week]]</f>
        <v>-0.68879029075754805</v>
      </c>
      <c r="E12" s="1" t="s">
        <v>17</v>
      </c>
      <c r="F12" s="1">
        <v>136236</v>
      </c>
      <c r="G12" s="1" t="s">
        <v>17</v>
      </c>
      <c r="H12" s="1">
        <v>136236</v>
      </c>
    </row>
    <row r="13" spans="1:8" x14ac:dyDescent="0.2">
      <c r="A13" s="37" t="s">
        <v>18</v>
      </c>
      <c r="B13" s="1">
        <v>28051</v>
      </c>
      <c r="C13" s="1">
        <v>22596</v>
      </c>
      <c r="D13" s="43">
        <f>(Table5155578101665718558768288120188196200232[[#This Row],[This Week]]-Table5155578101665718558768288120188196200232[[#This Row],[Last Week]])/Table5155578101665718558768288120188196200232[[#This Row],[Last Week]]</f>
        <v>0.241414409630023</v>
      </c>
      <c r="E13" s="1">
        <v>77698</v>
      </c>
      <c r="F13" s="1">
        <v>1807259</v>
      </c>
      <c r="G13" s="1">
        <v>628229</v>
      </c>
      <c r="H13" s="1">
        <v>2852642</v>
      </c>
    </row>
    <row r="14" spans="1:8" x14ac:dyDescent="0.2">
      <c r="A14" s="73" t="s">
        <v>29</v>
      </c>
      <c r="B14" s="1">
        <v>10556</v>
      </c>
      <c r="C14" s="1">
        <v>14184</v>
      </c>
      <c r="D14" s="43">
        <f>(Table5155578101665718558768288120188196200232[[#This Row],[This Week]]-Table5155578101665718558768288120188196200232[[#This Row],[Last Week]])/Table5155578101665718558768288120188196200232[[#This Row],[Last Week]]</f>
        <v>-0.25578116187253241</v>
      </c>
      <c r="E14" s="1" t="s">
        <v>17</v>
      </c>
      <c r="F14" s="1">
        <v>24740</v>
      </c>
      <c r="G14" s="1" t="s">
        <v>17</v>
      </c>
      <c r="H14" s="1">
        <v>24740</v>
      </c>
    </row>
    <row r="15" spans="1:8" x14ac:dyDescent="0.2">
      <c r="A15" s="57" t="s">
        <v>30</v>
      </c>
      <c r="B15" s="1">
        <v>3026</v>
      </c>
      <c r="C15" s="1">
        <v>16247</v>
      </c>
      <c r="D15" s="43">
        <f>(Table5155578101665718558768288120188196200232[[#This Row],[This Week]]-Table5155578101665718558768288120188196200232[[#This Row],[Last Week]])/Table5155578101665718558768288120188196200232[[#This Row],[Last Week]]</f>
        <v>-0.81375023081184217</v>
      </c>
      <c r="E15" s="1" t="s">
        <v>17</v>
      </c>
      <c r="F15" s="1">
        <v>19273</v>
      </c>
      <c r="G15" s="1" t="s">
        <v>17</v>
      </c>
      <c r="H15" s="1">
        <v>19273</v>
      </c>
    </row>
    <row r="16" spans="1:8" x14ac:dyDescent="0.2">
      <c r="A16" s="44" t="s">
        <v>13</v>
      </c>
      <c r="B16" s="1">
        <v>2691</v>
      </c>
      <c r="C16" s="1">
        <v>2903</v>
      </c>
      <c r="D16" s="43">
        <f>(Table5155578101665718558768288120188196200232[[#This Row],[This Week]]-Table5155578101665718558768288120188196200232[[#This Row],[Last Week]])/Table5155578101665718558768288120188196200232[[#This Row],[Last Week]]</f>
        <v>-7.3027902170168787E-2</v>
      </c>
      <c r="E16" s="1">
        <v>4213</v>
      </c>
      <c r="F16" s="1">
        <v>323527</v>
      </c>
      <c r="G16" s="1">
        <v>596053</v>
      </c>
      <c r="H16" s="1">
        <v>7676800</v>
      </c>
    </row>
    <row r="17" spans="1:8" x14ac:dyDescent="0.2">
      <c r="A17" s="65" t="s">
        <v>31</v>
      </c>
      <c r="B17" s="1">
        <v>658</v>
      </c>
      <c r="C17" s="1">
        <v>4287</v>
      </c>
      <c r="D17" s="43">
        <f>(Table5155578101665718558768288120188196200232[[#This Row],[This Week]]-Table5155578101665718558768288120188196200232[[#This Row],[Last Week]])/Table5155578101665718558768288120188196200232[[#This Row],[Last Week]]</f>
        <v>-0.84651271285281082</v>
      </c>
      <c r="E17" s="1" t="s">
        <v>17</v>
      </c>
      <c r="F17" s="1">
        <v>4945</v>
      </c>
      <c r="G17" s="1" t="s">
        <v>17</v>
      </c>
      <c r="H17" s="1">
        <v>4945</v>
      </c>
    </row>
    <row r="18" spans="1:8" x14ac:dyDescent="0.2">
      <c r="A18" s="42" t="s">
        <v>22</v>
      </c>
      <c r="B18" s="1">
        <v>565</v>
      </c>
      <c r="C18" s="1">
        <v>474</v>
      </c>
      <c r="D18" s="43">
        <f>(Table5155578101665718558768288120188196200232[[#This Row],[This Week]]-Table5155578101665718558768288120188196200232[[#This Row],[Last Week]])/Table5155578101665718558768288120188196200232[[#This Row],[Last Week]]</f>
        <v>0.19198312236286919</v>
      </c>
      <c r="E18" s="1">
        <v>992</v>
      </c>
      <c r="F18" s="1">
        <v>57070</v>
      </c>
      <c r="G18" s="1">
        <v>145061</v>
      </c>
      <c r="H18" s="1">
        <v>1161316</v>
      </c>
    </row>
    <row r="19" spans="1:8" x14ac:dyDescent="0.2">
      <c r="A19" s="44" t="s">
        <v>21</v>
      </c>
      <c r="B19" s="1">
        <v>76</v>
      </c>
      <c r="C19" s="1">
        <v>71</v>
      </c>
      <c r="D19" s="43">
        <f>(Table5155578101665718558768288120188196200232[[#This Row],[This Week]]-Table5155578101665718558768288120188196200232[[#This Row],[Last Week]])/Table5155578101665718558768288120188196200232[[#This Row],[Last Week]]</f>
        <v>7.0422535211267609E-2</v>
      </c>
      <c r="E19" s="1">
        <v>2860</v>
      </c>
      <c r="F19" s="1">
        <v>180206</v>
      </c>
      <c r="G19" s="1">
        <v>350195</v>
      </c>
      <c r="H19" s="1">
        <v>1575176</v>
      </c>
    </row>
    <row r="20" spans="1:8" x14ac:dyDescent="0.2">
      <c r="A20" s="42" t="s">
        <v>23</v>
      </c>
      <c r="B20" s="1">
        <v>23</v>
      </c>
      <c r="C20" s="1">
        <v>23</v>
      </c>
      <c r="D20" s="43">
        <f>(Table5155578101665718558768288120188196200232[[#This Row],[This Week]]-Table5155578101665718558768288120188196200232[[#This Row],[Last Week]])/Table5155578101665718558768288120188196200232[[#This Row],[Last Week]]</f>
        <v>0</v>
      </c>
      <c r="E20" s="1">
        <v>81</v>
      </c>
      <c r="F20" s="1">
        <v>2878</v>
      </c>
      <c r="G20" s="1">
        <v>29322</v>
      </c>
      <c r="H20" s="1">
        <v>5888793</v>
      </c>
    </row>
    <row r="21" spans="1:8" x14ac:dyDescent="0.2">
      <c r="A21" s="38" t="s">
        <v>19</v>
      </c>
      <c r="B21" s="1">
        <v>17</v>
      </c>
      <c r="C21" s="1">
        <v>14</v>
      </c>
      <c r="D21" s="43">
        <f>(Table5155578101665718558768288120188196200232[[#This Row],[This Week]]-Table5155578101665718558768288120188196200232[[#This Row],[Last Week]])/Table5155578101665718558768288120188196200232[[#This Row],[Last Week]]</f>
        <v>0.21428571428571427</v>
      </c>
      <c r="E21" s="1">
        <v>49</v>
      </c>
      <c r="F21" s="1">
        <v>2355</v>
      </c>
      <c r="G21" s="1">
        <v>3931</v>
      </c>
      <c r="H21" s="1">
        <v>20997</v>
      </c>
    </row>
    <row r="22" spans="1:8" x14ac:dyDescent="0.2">
      <c r="A22" s="59" t="s">
        <v>20</v>
      </c>
      <c r="B22" s="1">
        <v>12</v>
      </c>
      <c r="C22" s="1">
        <v>11</v>
      </c>
      <c r="D22" s="43">
        <f>(Table5155578101665718558768288120188196200232[[#This Row],[This Week]]-Table5155578101665718558768288120188196200232[[#This Row],[Last Week]])/Table5155578101665718558768288120188196200232[[#This Row],[Last Week]]</f>
        <v>9.0909090909090912E-2</v>
      </c>
      <c r="E22" s="1">
        <v>61</v>
      </c>
      <c r="F22" s="1">
        <v>1070</v>
      </c>
      <c r="G22" s="1">
        <v>2048</v>
      </c>
      <c r="H22" s="1">
        <v>21672</v>
      </c>
    </row>
    <row r="25" spans="1:8" x14ac:dyDescent="0.2">
      <c r="A25" t="s">
        <v>4</v>
      </c>
    </row>
    <row r="26" spans="1:8" x14ac:dyDescent="0.2">
      <c r="A26" s="4" t="s">
        <v>5</v>
      </c>
    </row>
    <row r="27" spans="1:8" x14ac:dyDescent="0.2">
      <c r="A27" s="4" t="s">
        <v>3</v>
      </c>
    </row>
    <row r="28" spans="1:8" x14ac:dyDescent="0.2">
      <c r="A28" s="4" t="s">
        <v>6</v>
      </c>
    </row>
  </sheetData>
  <hyperlinks>
    <hyperlink ref="A27" r:id="rId1" xr:uid="{C4E113E6-2A69-9C43-AB49-5A1647010336}"/>
    <hyperlink ref="A26" r:id="rId2" xr:uid="{6E934383-81A9-F74F-BB33-B6086617A905}"/>
    <hyperlink ref="A28" r:id="rId3" xr:uid="{D9A9D16F-D2AE-C642-809E-B3FC67FA44BF}"/>
  </hyperlinks>
  <pageMargins left="0.7" right="0.7" top="0.75" bottom="0.75" header="0.3" footer="0.3"/>
  <ignoredErrors>
    <ignoredError sqref="G8" formula="1"/>
  </ignoredErrors>
  <tableParts count="2">
    <tablePart r:id="rId4"/>
    <tablePart r:id="rId5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6AD8-C314-CE45-8775-151699C84233}">
  <dimension ref="A1:H28"/>
  <sheetViews>
    <sheetView workbookViewId="0">
      <selection activeCell="A25" sqref="A25:A28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145178</v>
      </c>
      <c r="C2" s="1">
        <v>179143</v>
      </c>
      <c r="D2" s="11">
        <f>(Table55456791564708453758187119187195199231243[[#This Row],[This Week]]-Table55456791564708453758187119187195199231243[[#This Row],[Last Week]])/Table55456791564708453758187119187195199231243[[#This Row],[Last Week]]</f>
        <v>-0.18959713748234649</v>
      </c>
      <c r="E2" s="1">
        <v>186763</v>
      </c>
      <c r="F2" s="1">
        <v>4981146</v>
      </c>
      <c r="G2" s="1">
        <v>3543006</v>
      </c>
      <c r="H2" s="6">
        <f>H11+H13</f>
        <v>16364577</v>
      </c>
    </row>
    <row r="3" spans="1:8" x14ac:dyDescent="0.2">
      <c r="A3" s="10" t="s">
        <v>27</v>
      </c>
      <c r="B3" s="1">
        <v>40459</v>
      </c>
      <c r="C3" s="1">
        <v>42891</v>
      </c>
      <c r="D3" s="43">
        <f>(Table55456791564708453758187119187195199231243[[#This Row],[This Week]]-Table55456791564708453758187119187195199231243[[#This Row],[Last Week]])/Table55456791564708453758187119187195199231243[[#This Row],[Last Week]]</f>
        <v>-5.6701872187638433E-2</v>
      </c>
      <c r="E3" s="1" t="s">
        <v>17</v>
      </c>
      <c r="F3" s="1">
        <v>201435</v>
      </c>
      <c r="G3" s="1" t="s">
        <v>17</v>
      </c>
      <c r="H3" s="1">
        <f>H12+H14</f>
        <v>201435</v>
      </c>
    </row>
    <row r="4" spans="1:8" x14ac:dyDescent="0.2">
      <c r="A4" s="10" t="s">
        <v>13</v>
      </c>
      <c r="B4" s="1">
        <v>3644</v>
      </c>
      <c r="C4" s="1">
        <v>2767</v>
      </c>
      <c r="D4" s="43">
        <f>(Table55456791564708453758187119187195199231243[[#This Row],[This Week]]-Table55456791564708453758187119187195199231243[[#This Row],[Last Week]])/Table55456791564708453758187119187195199231243[[#This Row],[Last Week]]</f>
        <v>0.31694976508854356</v>
      </c>
      <c r="E4" s="1">
        <v>8626</v>
      </c>
      <c r="F4" s="1">
        <v>507377</v>
      </c>
      <c r="G4" s="1">
        <v>954874</v>
      </c>
      <c r="H4" s="6">
        <f>H15+H19</f>
        <v>9255620</v>
      </c>
    </row>
    <row r="5" spans="1:8" x14ac:dyDescent="0.2">
      <c r="A5" s="10" t="s">
        <v>28</v>
      </c>
      <c r="B5" s="1">
        <v>3593</v>
      </c>
      <c r="C5" s="1">
        <v>3684</v>
      </c>
      <c r="D5" s="43">
        <f>(Table55456791564708453758187119187195199231243[[#This Row],[This Week]]-Table55456791564708453758187119187195199231243[[#This Row],[Last Week]])/Table55456791564708453758187119187195199231243[[#This Row],[Last Week]]</f>
        <v>-2.4701411509229099E-2</v>
      </c>
      <c r="E5" s="1" t="s">
        <v>17</v>
      </c>
      <c r="F5" s="1">
        <v>27811</v>
      </c>
      <c r="G5" s="1" t="s">
        <v>17</v>
      </c>
      <c r="H5" s="1">
        <f>H16+H17</f>
        <v>27811</v>
      </c>
    </row>
    <row r="6" spans="1:8" x14ac:dyDescent="0.2">
      <c r="A6" s="10" t="s">
        <v>14</v>
      </c>
      <c r="B6" s="1">
        <v>520</v>
      </c>
      <c r="C6" s="1">
        <v>597</v>
      </c>
      <c r="D6" s="43">
        <f>(Table55456791564708453758187119187195199231243[[#This Row],[This Week]]-Table55456791564708453758187119187195199231243[[#This Row],[Last Week]])/Table55456791564708453758187119187195199231243[[#This Row],[Last Week]]</f>
        <v>-0.12897822445561138</v>
      </c>
      <c r="E6" s="1">
        <v>1580</v>
      </c>
      <c r="F6" s="1">
        <v>60477</v>
      </c>
      <c r="G6" s="1">
        <v>177054</v>
      </c>
      <c r="H6" s="1">
        <v>24556624</v>
      </c>
    </row>
    <row r="7" spans="1:8" x14ac:dyDescent="0.2">
      <c r="A7" s="8" t="s">
        <v>15</v>
      </c>
      <c r="B7" s="1">
        <v>32</v>
      </c>
      <c r="C7" s="1">
        <v>29</v>
      </c>
      <c r="D7" s="43">
        <f>(Table55456791564708453758187119187195199231243[[#This Row],[This Week]]-Table55456791564708453758187119187195199231243[[#This Row],[Last Week]])/Table55456791564708453758187119187195199231243[[#This Row],[Last Week]]</f>
        <v>0.10344827586206896</v>
      </c>
      <c r="E7" s="1">
        <v>891</v>
      </c>
      <c r="F7" s="1">
        <v>3457</v>
      </c>
      <c r="G7" s="1">
        <v>6870</v>
      </c>
      <c r="H7" s="1">
        <v>114703</v>
      </c>
    </row>
    <row r="8" spans="1:8" x14ac:dyDescent="0.2">
      <c r="A8" s="31" t="s">
        <v>16</v>
      </c>
      <c r="B8" s="32">
        <f>SUM(B2:B7)</f>
        <v>193426</v>
      </c>
      <c r="C8" s="32">
        <f>SUM(C2:C7)</f>
        <v>229111</v>
      </c>
      <c r="D8" s="46">
        <f>(Table55456791564708453758187119187195199231243[[#This Row],[This Week]]-Table55456791564708453758187119187195199231243[[#This Row],[Last Week]])/Table55456791564708453758187119187195199231243[[#This Row],[Last Week]]</f>
        <v>-0.15575419774694363</v>
      </c>
      <c r="E8" s="32">
        <f>SUM(E2:E7)+26</f>
        <v>197886</v>
      </c>
      <c r="F8" s="32">
        <f>SUM(F2:F7)</f>
        <v>5781703</v>
      </c>
      <c r="G8" s="32">
        <f>SUM(G2:G7)+37481</f>
        <v>4719285</v>
      </c>
      <c r="H8" s="32">
        <f>SUM(H2:H7)</f>
        <v>50520770</v>
      </c>
    </row>
    <row r="9" spans="1:8" x14ac:dyDescent="0.2">
      <c r="A9" s="17"/>
      <c r="B9" s="6"/>
      <c r="C9" s="6"/>
      <c r="D9" s="12"/>
      <c r="E9" s="6"/>
      <c r="F9" s="6"/>
      <c r="G9" s="6"/>
      <c r="H9" s="6"/>
    </row>
    <row r="10" spans="1:8" x14ac:dyDescent="0.2">
      <c r="A10" s="6" t="s">
        <v>0</v>
      </c>
      <c r="B10" s="6" t="s">
        <v>8</v>
      </c>
      <c r="C10" s="6" t="s">
        <v>1</v>
      </c>
      <c r="D10" s="6" t="s">
        <v>2</v>
      </c>
      <c r="E10" s="6" t="s">
        <v>24</v>
      </c>
      <c r="F10" s="6" t="s">
        <v>10</v>
      </c>
      <c r="G10" s="6" t="s">
        <v>11</v>
      </c>
      <c r="H10" s="6" t="s">
        <v>9</v>
      </c>
    </row>
    <row r="11" spans="1:8" x14ac:dyDescent="0.2">
      <c r="A11" s="42" t="s">
        <v>12</v>
      </c>
      <c r="B11" s="1">
        <v>117982</v>
      </c>
      <c r="C11" s="1">
        <v>151092</v>
      </c>
      <c r="D11" s="43">
        <f>(Table5155578101665718558768288120188196200232244[[#This Row],[This Week]]-Table5155578101665718558768288120188196200232244[[#This Row],[Last Week]])/Table5155578101665718558768288120188196200232244[[#This Row],[Last Week]]</f>
        <v>-0.21913800863050326</v>
      </c>
      <c r="E11" s="1">
        <v>111621</v>
      </c>
      <c r="F11" s="1">
        <v>3146691</v>
      </c>
      <c r="G11" s="1">
        <v>2839635</v>
      </c>
      <c r="H11" s="1">
        <v>13484739</v>
      </c>
    </row>
    <row r="12" spans="1:8" x14ac:dyDescent="0.2">
      <c r="A12" s="42" t="s">
        <v>27</v>
      </c>
      <c r="B12" s="1">
        <v>28202</v>
      </c>
      <c r="C12" s="1">
        <v>32335</v>
      </c>
      <c r="D12" s="43">
        <f>(Table5155578101665718558768288120188196200232244[[#This Row],[This Week]]-Table5155578101665718558768288120188196200232244[[#This Row],[Last Week]])/Table5155578101665718558768288120188196200232244[[#This Row],[Last Week]]</f>
        <v>-0.12781815370341734</v>
      </c>
      <c r="E12" s="1" t="s">
        <v>17</v>
      </c>
      <c r="F12" s="1">
        <v>164438</v>
      </c>
      <c r="G12" s="1" t="s">
        <v>17</v>
      </c>
      <c r="H12" s="1">
        <v>164438</v>
      </c>
    </row>
    <row r="13" spans="1:8" x14ac:dyDescent="0.2">
      <c r="A13" s="37" t="s">
        <v>18</v>
      </c>
      <c r="B13" s="1">
        <v>27196</v>
      </c>
      <c r="C13" s="1">
        <v>28051</v>
      </c>
      <c r="D13" s="43">
        <f>(Table5155578101665718558768288120188196200232244[[#This Row],[This Week]]-Table5155578101665718558768288120188196200232244[[#This Row],[Last Week]])/Table5155578101665718558768288120188196200232244[[#This Row],[Last Week]]</f>
        <v>-3.0480196784428364E-2</v>
      </c>
      <c r="E13" s="1">
        <v>75142</v>
      </c>
      <c r="F13" s="1">
        <v>1834455</v>
      </c>
      <c r="G13" s="1">
        <v>703371</v>
      </c>
      <c r="H13" s="1">
        <v>2879838</v>
      </c>
    </row>
    <row r="14" spans="1:8" x14ac:dyDescent="0.2">
      <c r="A14" s="73" t="s">
        <v>29</v>
      </c>
      <c r="B14" s="1">
        <v>12257</v>
      </c>
      <c r="C14" s="1">
        <v>10556</v>
      </c>
      <c r="D14" s="43">
        <f>(Table5155578101665718558768288120188196200232244[[#This Row],[This Week]]-Table5155578101665718558768288120188196200232244[[#This Row],[Last Week]])/Table5155578101665718558768288120188196200232244[[#This Row],[Last Week]]</f>
        <v>0.16114058355437666</v>
      </c>
      <c r="E14" s="1" t="s">
        <v>17</v>
      </c>
      <c r="F14" s="1">
        <v>36997</v>
      </c>
      <c r="G14" s="1" t="s">
        <v>17</v>
      </c>
      <c r="H14" s="1">
        <v>36997</v>
      </c>
    </row>
    <row r="15" spans="1:8" x14ac:dyDescent="0.2">
      <c r="A15" s="44" t="s">
        <v>13</v>
      </c>
      <c r="B15" s="1">
        <v>3581</v>
      </c>
      <c r="C15" s="1">
        <v>2691</v>
      </c>
      <c r="D15" s="43">
        <f>(Table5155578101665718558768288120188196200232244[[#This Row],[This Week]]-Table5155578101665718558768288120188196200232244[[#This Row],[Last Week]])/Table5155578101665718558768288120188196200232244[[#This Row],[Last Week]]</f>
        <v>0.33073206986250464</v>
      </c>
      <c r="E15" s="1">
        <v>5054</v>
      </c>
      <c r="F15" s="1">
        <v>327108</v>
      </c>
      <c r="G15" s="1">
        <v>601107</v>
      </c>
      <c r="H15" s="1">
        <v>7680381</v>
      </c>
    </row>
    <row r="16" spans="1:8" x14ac:dyDescent="0.2">
      <c r="A16" s="57" t="s">
        <v>30</v>
      </c>
      <c r="B16" s="1">
        <v>2584</v>
      </c>
      <c r="C16" s="1">
        <v>3026</v>
      </c>
      <c r="D16" s="43">
        <f>(Table5155578101665718558768288120188196200232244[[#This Row],[This Week]]-Table5155578101665718558768288120188196200232244[[#This Row],[Last Week]])/Table5155578101665718558768288120188196200232244[[#This Row],[Last Week]]</f>
        <v>-0.14606741573033707</v>
      </c>
      <c r="E16" s="1" t="s">
        <v>17</v>
      </c>
      <c r="F16" s="1">
        <v>21857</v>
      </c>
      <c r="G16" s="1" t="s">
        <v>17</v>
      </c>
      <c r="H16" s="1">
        <v>21857</v>
      </c>
    </row>
    <row r="17" spans="1:8" x14ac:dyDescent="0.2">
      <c r="A17" s="65" t="s">
        <v>31</v>
      </c>
      <c r="B17" s="1">
        <v>1009</v>
      </c>
      <c r="C17" s="1">
        <v>658</v>
      </c>
      <c r="D17" s="43">
        <f>(Table5155578101665718558768288120188196200232244[[#This Row],[This Week]]-Table5155578101665718558768288120188196200232244[[#This Row],[Last Week]])/Table5155578101665718558768288120188196200232244[[#This Row],[Last Week]]</f>
        <v>0.53343465045592708</v>
      </c>
      <c r="E17" s="1" t="s">
        <v>17</v>
      </c>
      <c r="F17" s="1">
        <v>5954</v>
      </c>
      <c r="G17" s="1" t="s">
        <v>17</v>
      </c>
      <c r="H17" s="1">
        <v>5954</v>
      </c>
    </row>
    <row r="18" spans="1:8" x14ac:dyDescent="0.2">
      <c r="A18" s="42" t="s">
        <v>22</v>
      </c>
      <c r="B18" s="1">
        <v>476</v>
      </c>
      <c r="C18" s="1">
        <v>565</v>
      </c>
      <c r="D18" s="43">
        <f>(Table5155578101665718558768288120188196200232244[[#This Row],[This Week]]-Table5155578101665718558768288120188196200232244[[#This Row],[Last Week]])/Table5155578101665718558768288120188196200232244[[#This Row],[Last Week]]</f>
        <v>-0.15752212389380532</v>
      </c>
      <c r="E18" s="1">
        <v>1486</v>
      </c>
      <c r="F18" s="1">
        <v>57546</v>
      </c>
      <c r="G18" s="1">
        <v>146547</v>
      </c>
      <c r="H18" s="1">
        <v>1161792</v>
      </c>
    </row>
    <row r="19" spans="1:8" x14ac:dyDescent="0.2">
      <c r="A19" s="44" t="s">
        <v>21</v>
      </c>
      <c r="B19" s="1">
        <v>63</v>
      </c>
      <c r="C19" s="1">
        <v>76</v>
      </c>
      <c r="D19" s="43">
        <f>(Table5155578101665718558768288120188196200232244[[#This Row],[This Week]]-Table5155578101665718558768288120188196200232244[[#This Row],[Last Week]])/Table5155578101665718558768288120188196200232244[[#This Row],[Last Week]]</f>
        <v>-0.17105263157894737</v>
      </c>
      <c r="E19" s="1">
        <v>3572</v>
      </c>
      <c r="F19" s="1">
        <v>180269</v>
      </c>
      <c r="G19" s="1">
        <v>353767</v>
      </c>
      <c r="H19" s="1">
        <v>1575239</v>
      </c>
    </row>
    <row r="20" spans="1:8" x14ac:dyDescent="0.2">
      <c r="A20" s="42" t="s">
        <v>23</v>
      </c>
      <c r="B20" s="1">
        <v>44</v>
      </c>
      <c r="C20" s="1">
        <v>32</v>
      </c>
      <c r="D20" s="43">
        <f>(Table5155578101665718558768288120188196200232244[[#This Row],[This Week]]-Table5155578101665718558768288120188196200232244[[#This Row],[Last Week]])/Table5155578101665718558768288120188196200232244[[#This Row],[Last Week]]</f>
        <v>0.375</v>
      </c>
      <c r="E20" s="1">
        <v>94</v>
      </c>
      <c r="F20" s="1">
        <v>2931</v>
      </c>
      <c r="G20" s="1">
        <v>29416</v>
      </c>
      <c r="H20" s="1">
        <v>5888846</v>
      </c>
    </row>
    <row r="21" spans="1:8" x14ac:dyDescent="0.2">
      <c r="A21" s="38" t="s">
        <v>19</v>
      </c>
      <c r="B21" s="1">
        <v>18</v>
      </c>
      <c r="C21" s="1">
        <v>17</v>
      </c>
      <c r="D21" s="43">
        <f>(Table5155578101665718558768288120188196200232244[[#This Row],[This Week]]-Table5155578101665718558768288120188196200232244[[#This Row],[Last Week]])/Table5155578101665718558768288120188196200232244[[#This Row],[Last Week]]</f>
        <v>5.8823529411764705E-2</v>
      </c>
      <c r="E21" s="1">
        <v>373</v>
      </c>
      <c r="F21" s="1">
        <v>2373</v>
      </c>
      <c r="G21" s="1">
        <v>4304</v>
      </c>
      <c r="H21" s="1">
        <v>21015</v>
      </c>
    </row>
    <row r="22" spans="1:8" x14ac:dyDescent="0.2">
      <c r="A22" s="59" t="s">
        <v>20</v>
      </c>
      <c r="B22" s="1">
        <v>14</v>
      </c>
      <c r="C22" s="1">
        <v>12</v>
      </c>
      <c r="D22" s="43">
        <f>(Table5155578101665718558768288120188196200232244[[#This Row],[This Week]]-Table5155578101665718558768288120188196200232244[[#This Row],[Last Week]])/Table5155578101665718558768288120188196200232244[[#This Row],[Last Week]]</f>
        <v>0.16666666666666666</v>
      </c>
      <c r="E22" s="1">
        <v>518</v>
      </c>
      <c r="F22" s="1">
        <v>1084</v>
      </c>
      <c r="G22" s="1">
        <v>2566</v>
      </c>
      <c r="H22" s="1">
        <v>21686</v>
      </c>
    </row>
    <row r="25" spans="1:8" x14ac:dyDescent="0.2">
      <c r="A25" t="s">
        <v>4</v>
      </c>
    </row>
    <row r="26" spans="1:8" x14ac:dyDescent="0.2">
      <c r="A26" s="4" t="s">
        <v>5</v>
      </c>
    </row>
    <row r="27" spans="1:8" x14ac:dyDescent="0.2">
      <c r="A27" s="4" t="s">
        <v>3</v>
      </c>
    </row>
    <row r="28" spans="1:8" x14ac:dyDescent="0.2">
      <c r="A28" s="4" t="s">
        <v>6</v>
      </c>
    </row>
  </sheetData>
  <hyperlinks>
    <hyperlink ref="A27" r:id="rId1" xr:uid="{663EA997-5294-2F42-A8EF-62A9E3FCF001}"/>
    <hyperlink ref="A26" r:id="rId2" xr:uid="{EBEB5B19-EA36-FA45-BE47-3E89792CD146}"/>
    <hyperlink ref="A28" r:id="rId3" xr:uid="{BED7DADF-A6AE-A042-8703-935F324373E5}"/>
  </hyperlinks>
  <pageMargins left="0.7" right="0.7" top="0.75" bottom="0.75" header="0.3" footer="0.3"/>
  <ignoredErrors>
    <ignoredError sqref="G8" formula="1"/>
  </ignoredErrors>
  <tableParts count="2">
    <tablePart r:id="rId4"/>
    <tablePart r:id="rId5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7AB4-5928-3A4A-9012-0326A07606AF}">
  <dimension ref="A1:H28"/>
  <sheetViews>
    <sheetView workbookViewId="0">
      <selection activeCell="A25" sqref="A25:A28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204622</v>
      </c>
      <c r="C2" s="1">
        <v>145178</v>
      </c>
      <c r="D2" s="11">
        <f>(Table55456791564708453758187119187195199231243245[[#This Row],[This Week]]-Table55456791564708453758187119187195199231243245[[#This Row],[Last Week]])/Table55456791564708453758187119187195199231243245[[#This Row],[Last Week]]</f>
        <v>0.40945597817851187</v>
      </c>
      <c r="E2" s="1">
        <v>188501</v>
      </c>
      <c r="F2" s="1">
        <v>5185768</v>
      </c>
      <c r="G2" s="1">
        <v>3731507</v>
      </c>
      <c r="H2" s="6">
        <f>H11+H12</f>
        <v>16569199</v>
      </c>
    </row>
    <row r="3" spans="1:8" x14ac:dyDescent="0.2">
      <c r="A3" s="10" t="s">
        <v>27</v>
      </c>
      <c r="B3" s="1">
        <v>11893</v>
      </c>
      <c r="C3" s="1">
        <v>40459</v>
      </c>
      <c r="D3" s="43">
        <f>(Table55456791564708453758187119187195199231243245[[#This Row],[This Week]]-Table55456791564708453758187119187195199231243245[[#This Row],[Last Week]])/Table55456791564708453758187119187195199231243245[[#This Row],[Last Week]]</f>
        <v>-0.70604809807459401</v>
      </c>
      <c r="E3" s="1" t="s">
        <v>17</v>
      </c>
      <c r="F3" s="1">
        <v>213328</v>
      </c>
      <c r="G3" s="1" t="s">
        <v>17</v>
      </c>
      <c r="H3" s="1">
        <f>H13+H14</f>
        <v>213328</v>
      </c>
    </row>
    <row r="4" spans="1:8" x14ac:dyDescent="0.2">
      <c r="A4" s="10" t="s">
        <v>13</v>
      </c>
      <c r="B4" s="1">
        <v>3055</v>
      </c>
      <c r="C4" s="1">
        <v>3644</v>
      </c>
      <c r="D4" s="43">
        <f>(Table55456791564708453758187119187195199231243245[[#This Row],[This Week]]-Table55456791564708453758187119187195199231243245[[#This Row],[Last Week]])/Table55456791564708453758187119187195199231243245[[#This Row],[Last Week]]</f>
        <v>-0.16163556531284304</v>
      </c>
      <c r="E4" s="1">
        <v>41401</v>
      </c>
      <c r="F4" s="1">
        <v>510432</v>
      </c>
      <c r="G4" s="1">
        <v>996275</v>
      </c>
      <c r="H4" s="6">
        <f>H15+H19</f>
        <v>9258675</v>
      </c>
    </row>
    <row r="5" spans="1:8" x14ac:dyDescent="0.2">
      <c r="A5" s="10" t="s">
        <v>28</v>
      </c>
      <c r="B5" s="1">
        <v>1622</v>
      </c>
      <c r="C5" s="1">
        <v>3593</v>
      </c>
      <c r="D5" s="43">
        <f>(Table55456791564708453758187119187195199231243245[[#This Row],[This Week]]-Table55456791564708453758187119187195199231243245[[#This Row],[Last Week]])/Table55456791564708453758187119187195199231243245[[#This Row],[Last Week]]</f>
        <v>-0.54856665738936816</v>
      </c>
      <c r="E5" s="1" t="s">
        <v>17</v>
      </c>
      <c r="F5" s="1">
        <v>29433</v>
      </c>
      <c r="G5" s="1" t="s">
        <v>17</v>
      </c>
      <c r="H5" s="1">
        <f>H16+H18</f>
        <v>29433</v>
      </c>
    </row>
    <row r="6" spans="1:8" x14ac:dyDescent="0.2">
      <c r="A6" s="10" t="s">
        <v>14</v>
      </c>
      <c r="B6" s="1">
        <v>490</v>
      </c>
      <c r="C6" s="1">
        <v>520</v>
      </c>
      <c r="D6" s="43">
        <f>(Table55456791564708453758187119187195199231243245[[#This Row],[This Week]]-Table55456791564708453758187119187195199231243245[[#This Row],[Last Week]])/Table55456791564708453758187119187195199231243245[[#This Row],[Last Week]]</f>
        <v>-5.7692307692307696E-2</v>
      </c>
      <c r="E6" s="1">
        <v>4074</v>
      </c>
      <c r="F6" s="1">
        <v>60967</v>
      </c>
      <c r="G6" s="1">
        <v>181128</v>
      </c>
      <c r="H6" s="1">
        <v>24557114</v>
      </c>
    </row>
    <row r="7" spans="1:8" x14ac:dyDescent="0.2">
      <c r="A7" s="8" t="s">
        <v>15</v>
      </c>
      <c r="B7" s="1">
        <v>28</v>
      </c>
      <c r="C7" s="1">
        <v>32</v>
      </c>
      <c r="D7" s="43">
        <f>(Table55456791564708453758187119187195199231243245[[#This Row],[This Week]]-Table55456791564708453758187119187195199231243245[[#This Row],[Last Week]])/Table55456791564708453758187119187195199231243245[[#This Row],[Last Week]]</f>
        <v>-0.125</v>
      </c>
      <c r="E7" s="1">
        <v>400</v>
      </c>
      <c r="F7" s="1">
        <v>3485</v>
      </c>
      <c r="G7" s="1">
        <v>7270</v>
      </c>
      <c r="H7" s="1">
        <v>114731</v>
      </c>
    </row>
    <row r="8" spans="1:8" x14ac:dyDescent="0.2">
      <c r="A8" s="31" t="s">
        <v>16</v>
      </c>
      <c r="B8" s="32">
        <f>SUM(B2:B7)</f>
        <v>221710</v>
      </c>
      <c r="C8" s="32">
        <f>SUM(C2:C7)</f>
        <v>193426</v>
      </c>
      <c r="D8" s="46">
        <f>(Table55456791564708453758187119187195199231243245[[#This Row],[This Week]]-Table55456791564708453758187119187195199231243245[[#This Row],[Last Week]])/Table55456791564708453758187119187195199231243245[[#This Row],[Last Week]]</f>
        <v>0.14622646386731877</v>
      </c>
      <c r="E8" s="32">
        <f>SUM(E2:E7)+45</f>
        <v>234421</v>
      </c>
      <c r="F8" s="32">
        <f>SUM(F2:F7)</f>
        <v>6003413</v>
      </c>
      <c r="G8" s="32">
        <f>SUM(G2:G7)+37526</f>
        <v>4953706</v>
      </c>
      <c r="H8" s="32">
        <f>SUM(H2:H7)</f>
        <v>50742480</v>
      </c>
    </row>
    <row r="9" spans="1:8" x14ac:dyDescent="0.2">
      <c r="A9" s="17"/>
      <c r="B9" s="6"/>
      <c r="C9" s="6"/>
      <c r="D9" s="12"/>
      <c r="E9" s="6"/>
      <c r="F9" s="6"/>
      <c r="G9" s="6"/>
      <c r="H9" s="6"/>
    </row>
    <row r="10" spans="1:8" x14ac:dyDescent="0.2">
      <c r="A10" s="6" t="s">
        <v>0</v>
      </c>
      <c r="B10" s="6" t="s">
        <v>8</v>
      </c>
      <c r="C10" s="6" t="s">
        <v>1</v>
      </c>
      <c r="D10" s="6" t="s">
        <v>2</v>
      </c>
      <c r="E10" s="6" t="s">
        <v>24</v>
      </c>
      <c r="F10" s="6" t="s">
        <v>10</v>
      </c>
      <c r="G10" s="6" t="s">
        <v>11</v>
      </c>
      <c r="H10" s="6" t="s">
        <v>9</v>
      </c>
    </row>
    <row r="11" spans="1:8" x14ac:dyDescent="0.2">
      <c r="A11" s="42" t="s">
        <v>12</v>
      </c>
      <c r="B11" s="1">
        <v>167088</v>
      </c>
      <c r="C11" s="1">
        <v>117982</v>
      </c>
      <c r="D11" s="43">
        <f>(Table5155578101665718558768288120188196200232244246[[#This Row],[This Week]]-Table5155578101665718558768288120188196200232244246[[#This Row],[Last Week]])/Table5155578101665718558768288120188196200232244246[[#This Row],[Last Week]]</f>
        <v>0.41621603295417947</v>
      </c>
      <c r="E11" s="1">
        <v>122216</v>
      </c>
      <c r="F11" s="1">
        <v>3313779</v>
      </c>
      <c r="G11" s="1">
        <v>2961851</v>
      </c>
      <c r="H11" s="1">
        <v>13651827</v>
      </c>
    </row>
    <row r="12" spans="1:8" x14ac:dyDescent="0.2">
      <c r="A12" s="44" t="s">
        <v>18</v>
      </c>
      <c r="B12" s="1">
        <v>37534</v>
      </c>
      <c r="C12" s="1">
        <v>27196</v>
      </c>
      <c r="D12" s="43">
        <f>(Table5155578101665718558768288120188196200232244246[[#This Row],[This Week]]-Table5155578101665718558768288120188196200232244246[[#This Row],[Last Week]])/Table5155578101665718558768288120188196200232244246[[#This Row],[Last Week]]</f>
        <v>0.38012943079864686</v>
      </c>
      <c r="E12" s="1">
        <v>66285</v>
      </c>
      <c r="F12" s="1">
        <v>1871989</v>
      </c>
      <c r="G12" s="1">
        <v>769656</v>
      </c>
      <c r="H12" s="1">
        <v>2917372</v>
      </c>
    </row>
    <row r="13" spans="1:8" x14ac:dyDescent="0.2">
      <c r="A13" s="38" t="s">
        <v>27</v>
      </c>
      <c r="B13" s="1">
        <v>7514</v>
      </c>
      <c r="C13" s="1">
        <v>28202</v>
      </c>
      <c r="D13" s="43">
        <f>(Table5155578101665718558768288120188196200232244246[[#This Row],[This Week]]-Table5155578101665718558768288120188196200232244246[[#This Row],[Last Week]])/Table5155578101665718558768288120188196200232244246[[#This Row],[Last Week]]</f>
        <v>-0.73356499539039788</v>
      </c>
      <c r="E13" s="1" t="s">
        <v>17</v>
      </c>
      <c r="F13" s="1">
        <v>171952</v>
      </c>
      <c r="G13" s="1" t="s">
        <v>17</v>
      </c>
      <c r="H13" s="1">
        <v>171952</v>
      </c>
    </row>
    <row r="14" spans="1:8" x14ac:dyDescent="0.2">
      <c r="A14" s="73" t="s">
        <v>29</v>
      </c>
      <c r="B14" s="1">
        <v>4379</v>
      </c>
      <c r="C14" s="1">
        <v>12257</v>
      </c>
      <c r="D14" s="43">
        <f>(Table5155578101665718558768288120188196200232244246[[#This Row],[This Week]]-Table5155578101665718558768288120188196200232244246[[#This Row],[Last Week]])/Table5155578101665718558768288120188196200232244246[[#This Row],[Last Week]]</f>
        <v>-0.64273476380843597</v>
      </c>
      <c r="E14" s="1" t="s">
        <v>17</v>
      </c>
      <c r="F14" s="1">
        <v>41376</v>
      </c>
      <c r="G14" s="1" t="s">
        <v>17</v>
      </c>
      <c r="H14" s="1">
        <v>41376</v>
      </c>
    </row>
    <row r="15" spans="1:8" x14ac:dyDescent="0.2">
      <c r="A15" s="44" t="s">
        <v>13</v>
      </c>
      <c r="B15" s="1">
        <v>2986</v>
      </c>
      <c r="C15" s="1">
        <v>3581</v>
      </c>
      <c r="D15" s="43">
        <f>(Table5155578101665718558768288120188196200232244246[[#This Row],[This Week]]-Table5155578101665718558768288120188196200232244246[[#This Row],[Last Week]])/Table5155578101665718558768288120188196200232244246[[#This Row],[Last Week]]</f>
        <v>-0.16615470538955598</v>
      </c>
      <c r="E15" s="1">
        <v>31756</v>
      </c>
      <c r="F15" s="1">
        <v>330094</v>
      </c>
      <c r="G15" s="1">
        <v>632863</v>
      </c>
      <c r="H15" s="1">
        <v>7683367</v>
      </c>
    </row>
    <row r="16" spans="1:8" x14ac:dyDescent="0.2">
      <c r="A16" s="57" t="s">
        <v>30</v>
      </c>
      <c r="B16" s="1">
        <v>1388</v>
      </c>
      <c r="C16" s="1">
        <v>2584</v>
      </c>
      <c r="D16" s="43">
        <f>(Table5155578101665718558768288120188196200232244246[[#This Row],[This Week]]-Table5155578101665718558768288120188196200232244246[[#This Row],[Last Week]])/Table5155578101665718558768288120188196200232244246[[#This Row],[Last Week]]</f>
        <v>-0.46284829721362231</v>
      </c>
      <c r="E16" s="1" t="s">
        <v>17</v>
      </c>
      <c r="F16" s="1">
        <v>23245</v>
      </c>
      <c r="G16" s="1" t="s">
        <v>17</v>
      </c>
      <c r="H16" s="1">
        <v>23245</v>
      </c>
    </row>
    <row r="17" spans="1:8" x14ac:dyDescent="0.2">
      <c r="A17" s="42" t="s">
        <v>22</v>
      </c>
      <c r="B17" s="1">
        <v>463</v>
      </c>
      <c r="C17" s="1">
        <v>476</v>
      </c>
      <c r="D17" s="43">
        <f>(Table5155578101665718558768288120188196200232244246[[#This Row],[This Week]]-Table5155578101665718558768288120188196200232244246[[#This Row],[Last Week]])/Table5155578101665718558768288120188196200232244246[[#This Row],[Last Week]]</f>
        <v>-2.7310924369747899E-2</v>
      </c>
      <c r="E17" s="1">
        <v>3950</v>
      </c>
      <c r="F17" s="1">
        <v>58009</v>
      </c>
      <c r="G17" s="1">
        <v>150497</v>
      </c>
      <c r="H17" s="1">
        <v>1162255</v>
      </c>
    </row>
    <row r="18" spans="1:8" x14ac:dyDescent="0.2">
      <c r="A18" s="65" t="s">
        <v>31</v>
      </c>
      <c r="B18" s="1">
        <v>234</v>
      </c>
      <c r="C18" s="1">
        <v>1009</v>
      </c>
      <c r="D18" s="43">
        <f>(Table5155578101665718558768288120188196200232244246[[#This Row],[This Week]]-Table5155578101665718558768288120188196200232244246[[#This Row],[Last Week]])/Table5155578101665718558768288120188196200232244246[[#This Row],[Last Week]]</f>
        <v>-0.76808721506442024</v>
      </c>
      <c r="E18" s="1" t="s">
        <v>17</v>
      </c>
      <c r="F18" s="1">
        <v>6188</v>
      </c>
      <c r="G18" s="1" t="s">
        <v>17</v>
      </c>
      <c r="H18" s="1">
        <v>6188</v>
      </c>
    </row>
    <row r="19" spans="1:8" x14ac:dyDescent="0.2">
      <c r="A19" s="44" t="s">
        <v>21</v>
      </c>
      <c r="B19" s="1">
        <v>69</v>
      </c>
      <c r="C19" s="1">
        <v>63</v>
      </c>
      <c r="D19" s="43">
        <f>(Table5155578101665718558768288120188196200232244246[[#This Row],[This Week]]-Table5155578101665718558768288120188196200232244246[[#This Row],[Last Week]])/Table5155578101665718558768288120188196200232244246[[#This Row],[Last Week]]</f>
        <v>9.5238095238095233E-2</v>
      </c>
      <c r="E19" s="1">
        <v>9645</v>
      </c>
      <c r="F19" s="1">
        <v>180338</v>
      </c>
      <c r="G19" s="1">
        <v>363412</v>
      </c>
      <c r="H19" s="1">
        <v>1575308</v>
      </c>
    </row>
    <row r="20" spans="1:8" x14ac:dyDescent="0.2">
      <c r="A20" s="42" t="s">
        <v>23</v>
      </c>
      <c r="B20" s="1">
        <v>27</v>
      </c>
      <c r="C20" s="1">
        <v>44</v>
      </c>
      <c r="D20" s="43">
        <f>(Table5155578101665718558768288120188196200232244246[[#This Row],[This Week]]-Table5155578101665718558768288120188196200232244246[[#This Row],[Last Week]])/Table5155578101665718558768288120188196200232244246[[#This Row],[Last Week]]</f>
        <v>-0.38636363636363635</v>
      </c>
      <c r="E20" s="1">
        <v>124</v>
      </c>
      <c r="F20" s="1">
        <v>2958</v>
      </c>
      <c r="G20" s="1">
        <v>29540</v>
      </c>
      <c r="H20" s="1">
        <v>5888873</v>
      </c>
    </row>
    <row r="21" spans="1:8" x14ac:dyDescent="0.2">
      <c r="A21" s="38" t="s">
        <v>19</v>
      </c>
      <c r="B21" s="1">
        <v>17</v>
      </c>
      <c r="C21" s="1">
        <v>18</v>
      </c>
      <c r="D21" s="43">
        <f>(Table5155578101665718558768288120188196200232244246[[#This Row],[This Week]]-Table5155578101665718558768288120188196200232244246[[#This Row],[Last Week]])/Table5155578101665718558768288120188196200232244246[[#This Row],[Last Week]]</f>
        <v>-5.5555555555555552E-2</v>
      </c>
      <c r="E21" s="1">
        <v>176</v>
      </c>
      <c r="F21" s="1">
        <v>2390</v>
      </c>
      <c r="G21" s="1">
        <v>4480</v>
      </c>
      <c r="H21" s="1">
        <v>21032</v>
      </c>
    </row>
    <row r="22" spans="1:8" x14ac:dyDescent="0.2">
      <c r="A22" s="59" t="s">
        <v>20</v>
      </c>
      <c r="B22" s="1">
        <v>11</v>
      </c>
      <c r="C22" s="1">
        <v>14</v>
      </c>
      <c r="D22" s="43">
        <f>(Table5155578101665718558768288120188196200232244246[[#This Row],[This Week]]-Table5155578101665718558768288120188196200232244246[[#This Row],[Last Week]])/Table5155578101665718558768288120188196200232244246[[#This Row],[Last Week]]</f>
        <v>-0.21428571428571427</v>
      </c>
      <c r="E22" s="1">
        <v>224</v>
      </c>
      <c r="F22" s="1">
        <v>1095</v>
      </c>
      <c r="G22" s="1">
        <v>2790</v>
      </c>
      <c r="H22" s="1">
        <v>21697</v>
      </c>
    </row>
    <row r="25" spans="1:8" x14ac:dyDescent="0.2">
      <c r="A25" t="s">
        <v>4</v>
      </c>
    </row>
    <row r="26" spans="1:8" x14ac:dyDescent="0.2">
      <c r="A26" s="4" t="s">
        <v>5</v>
      </c>
    </row>
    <row r="27" spans="1:8" x14ac:dyDescent="0.2">
      <c r="A27" s="4" t="s">
        <v>3</v>
      </c>
    </row>
    <row r="28" spans="1:8" x14ac:dyDescent="0.2">
      <c r="A28" s="4" t="s">
        <v>6</v>
      </c>
    </row>
  </sheetData>
  <hyperlinks>
    <hyperlink ref="A27" r:id="rId1" xr:uid="{72D5EA7C-F1B6-8948-BAB1-E6C9200C86CE}"/>
    <hyperlink ref="A26" r:id="rId2" xr:uid="{FDB9ABFE-9A56-E448-BEAF-ADEE2FEC078E}"/>
    <hyperlink ref="A28" r:id="rId3" xr:uid="{CC05A649-7FD1-904F-9A07-DDF4083FCB54}"/>
  </hyperlinks>
  <pageMargins left="0.7" right="0.7" top="0.75" bottom="0.75" header="0.3" footer="0.3"/>
  <ignoredErrors>
    <ignoredError sqref="G8" formula="1"/>
  </ignoredErrors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7DE71-F450-5244-BA37-5F16B0AF6F23}">
  <dimension ref="A1:H22"/>
  <sheetViews>
    <sheetView workbookViewId="0">
      <selection activeCell="H1" sqref="H1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75922</v>
      </c>
      <c r="C2" s="1">
        <v>67987</v>
      </c>
      <c r="D2" s="16">
        <f t="shared" ref="D2:D6" si="0">(B2-C2)/C2</f>
        <v>0.11671348934355097</v>
      </c>
      <c r="E2" s="1">
        <v>66448</v>
      </c>
      <c r="F2" s="1">
        <v>641495</v>
      </c>
      <c r="G2" s="1">
        <v>498510</v>
      </c>
      <c r="H2" s="1">
        <f>H9+H10</f>
        <v>12024926</v>
      </c>
    </row>
    <row r="3" spans="1:8" x14ac:dyDescent="0.2">
      <c r="A3" s="10" t="s">
        <v>13</v>
      </c>
      <c r="B3" s="1">
        <v>6282</v>
      </c>
      <c r="C3" s="1">
        <v>6330</v>
      </c>
      <c r="D3" s="16">
        <f t="shared" si="0"/>
        <v>-7.5829383886255926E-3</v>
      </c>
      <c r="E3" s="1">
        <v>27832</v>
      </c>
      <c r="F3" s="1">
        <v>84540</v>
      </c>
      <c r="G3" s="1">
        <v>248655</v>
      </c>
      <c r="H3" s="1">
        <f>H11+H12</f>
        <v>8832783</v>
      </c>
    </row>
    <row r="4" spans="1:8" x14ac:dyDescent="0.2">
      <c r="A4" s="10" t="s">
        <v>14</v>
      </c>
      <c r="B4" s="1">
        <v>599</v>
      </c>
      <c r="C4" s="1">
        <v>718</v>
      </c>
      <c r="D4" s="16">
        <f t="shared" si="0"/>
        <v>-0.16573816155988857</v>
      </c>
      <c r="E4" s="1">
        <v>4134</v>
      </c>
      <c r="F4" s="1">
        <v>7056</v>
      </c>
      <c r="G4" s="1">
        <v>48189</v>
      </c>
      <c r="H4" s="1">
        <v>24503370</v>
      </c>
    </row>
    <row r="5" spans="1:8" x14ac:dyDescent="0.2">
      <c r="A5" s="8" t="s">
        <v>15</v>
      </c>
      <c r="B5" s="1">
        <v>38</v>
      </c>
      <c r="C5" s="1">
        <v>58</v>
      </c>
      <c r="D5" s="16">
        <f t="shared" si="0"/>
        <v>-0.34482758620689657</v>
      </c>
      <c r="E5" s="1">
        <v>96</v>
      </c>
      <c r="F5" s="1">
        <v>415</v>
      </c>
      <c r="G5" s="1">
        <v>829</v>
      </c>
      <c r="H5" s="1">
        <v>111659</v>
      </c>
    </row>
    <row r="6" spans="1:8" x14ac:dyDescent="0.2">
      <c r="A6" s="31" t="s">
        <v>16</v>
      </c>
      <c r="B6" s="32">
        <f>SUM(B2:B5)</f>
        <v>82841</v>
      </c>
      <c r="C6" s="32">
        <f>SUM(C2:C5)</f>
        <v>75093</v>
      </c>
      <c r="D6" s="33">
        <f t="shared" si="0"/>
        <v>0.10317872504760764</v>
      </c>
      <c r="E6" s="32">
        <f>SUM(E2:E5)+1231</f>
        <v>99741</v>
      </c>
      <c r="F6" s="32">
        <f>SUM(F2:F5)</f>
        <v>733506</v>
      </c>
      <c r="G6" s="32">
        <f>SUM(G2:G5)+10149</f>
        <v>806332</v>
      </c>
      <c r="H6" s="32">
        <f>SUM(H2:H5)</f>
        <v>45472738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54873</v>
      </c>
      <c r="C9" s="1">
        <v>45720</v>
      </c>
      <c r="D9" s="43">
        <f>(Table515557810[[#This Row],[This Week]]-Table515557810[[#This Row],[Last Week]])/Table515557810[[#This Row],[Last Week]]</f>
        <v>0.20019685039370078</v>
      </c>
      <c r="E9" s="1">
        <v>66448</v>
      </c>
      <c r="F9" s="1">
        <v>416289</v>
      </c>
      <c r="G9" s="1">
        <v>498510</v>
      </c>
      <c r="H9" s="1">
        <v>10754337</v>
      </c>
    </row>
    <row r="10" spans="1:8" x14ac:dyDescent="0.2">
      <c r="A10" s="44" t="s">
        <v>18</v>
      </c>
      <c r="B10" s="1">
        <v>21049</v>
      </c>
      <c r="C10" s="1">
        <v>22267</v>
      </c>
      <c r="D10" s="43">
        <f>(Table515557810[[#This Row],[This Week]]-Table515557810[[#This Row],[Last Week]])/Table515557810[[#This Row],[Last Week]]</f>
        <v>-5.4699779943414018E-2</v>
      </c>
      <c r="E10" s="1" t="s">
        <v>17</v>
      </c>
      <c r="F10" s="1">
        <v>225206</v>
      </c>
      <c r="G10" s="1" t="s">
        <v>17</v>
      </c>
      <c r="H10" s="1">
        <v>1270589</v>
      </c>
    </row>
    <row r="11" spans="1:8" x14ac:dyDescent="0.2">
      <c r="A11" s="42" t="s">
        <v>13</v>
      </c>
      <c r="B11" s="1">
        <v>3846</v>
      </c>
      <c r="C11" s="1">
        <v>4121</v>
      </c>
      <c r="D11" s="43">
        <f>(Table515557810[[#This Row],[This Week]]-Table515557810[[#This Row],[Last Week]])/Table515557810[[#This Row],[Last Week]]</f>
        <v>-6.673137587964087E-2</v>
      </c>
      <c r="E11" s="1">
        <v>16821</v>
      </c>
      <c r="F11" s="1">
        <v>43977</v>
      </c>
      <c r="G11" s="1">
        <v>157563</v>
      </c>
      <c r="H11" s="1">
        <v>7397250</v>
      </c>
    </row>
    <row r="12" spans="1:8" x14ac:dyDescent="0.2">
      <c r="A12" s="42" t="s">
        <v>21</v>
      </c>
      <c r="B12" s="1">
        <v>2436</v>
      </c>
      <c r="C12" s="1">
        <v>2209</v>
      </c>
      <c r="D12" s="43">
        <f>(Table515557810[[#This Row],[This Week]]-Table515557810[[#This Row],[Last Week]])/Table515557810[[#This Row],[Last Week]]</f>
        <v>0.10276143051154368</v>
      </c>
      <c r="E12" s="1">
        <v>11011</v>
      </c>
      <c r="F12" s="1">
        <v>40563</v>
      </c>
      <c r="G12" s="1">
        <v>91092</v>
      </c>
      <c r="H12" s="1">
        <v>1435533</v>
      </c>
    </row>
    <row r="13" spans="1:8" x14ac:dyDescent="0.2">
      <c r="A13" s="42" t="s">
        <v>22</v>
      </c>
      <c r="B13" s="1">
        <v>552</v>
      </c>
      <c r="C13" s="1">
        <v>660</v>
      </c>
      <c r="D13" s="43">
        <f>(Table515557810[[#This Row],[This Week]]-Table515557810[[#This Row],[Last Week]])/Table515557810[[#This Row],[Last Week]]</f>
        <v>-0.16363636363636364</v>
      </c>
      <c r="E13" s="1">
        <v>2823</v>
      </c>
      <c r="F13" s="1">
        <v>6695</v>
      </c>
      <c r="G13" s="1">
        <v>37761</v>
      </c>
      <c r="H13" s="1">
        <v>1111108</v>
      </c>
    </row>
    <row r="14" spans="1:8" x14ac:dyDescent="0.2">
      <c r="A14" s="42" t="s">
        <v>23</v>
      </c>
      <c r="B14" s="1">
        <v>47</v>
      </c>
      <c r="C14" s="1">
        <v>58</v>
      </c>
      <c r="D14" s="43">
        <f>(Table515557810[[#This Row],[This Week]]-Table515557810[[#This Row],[Last Week]])/Table515557810[[#This Row],[Last Week]]</f>
        <v>-0.18965517241379309</v>
      </c>
      <c r="E14" s="1">
        <v>1195</v>
      </c>
      <c r="F14" s="1">
        <v>361</v>
      </c>
      <c r="G14" s="1">
        <v>9337</v>
      </c>
      <c r="H14" s="1">
        <v>5886276</v>
      </c>
    </row>
    <row r="15" spans="1:8" x14ac:dyDescent="0.2">
      <c r="A15" s="42" t="s">
        <v>19</v>
      </c>
      <c r="B15" s="1">
        <v>22</v>
      </c>
      <c r="C15" s="1">
        <v>26</v>
      </c>
      <c r="D15" s="43">
        <f>(Table515557810[[#This Row],[This Week]]-Table515557810[[#This Row],[Last Week]])/Table515557810[[#This Row],[Last Week]]</f>
        <v>-0.15384615384615385</v>
      </c>
      <c r="E15" s="1">
        <v>82</v>
      </c>
      <c r="F15" s="1">
        <v>249</v>
      </c>
      <c r="G15" s="1">
        <v>641</v>
      </c>
      <c r="H15" s="1">
        <v>18891</v>
      </c>
    </row>
    <row r="16" spans="1:8" x14ac:dyDescent="0.2">
      <c r="A16" s="45" t="s">
        <v>20</v>
      </c>
      <c r="B16" s="1">
        <v>16</v>
      </c>
      <c r="C16" s="1">
        <v>32</v>
      </c>
      <c r="D16" s="43">
        <f>(Table515557810[[#This Row],[This Week]]-Table515557810[[#This Row],[Last Week]])/Table515557810[[#This Row],[Last Week]]</f>
        <v>-0.5</v>
      </c>
      <c r="E16" s="1">
        <v>14</v>
      </c>
      <c r="F16" s="1">
        <v>166</v>
      </c>
      <c r="G16" s="1">
        <v>188</v>
      </c>
      <c r="H16" s="1">
        <v>20768</v>
      </c>
    </row>
    <row r="18" spans="1:6" x14ac:dyDescent="0.2">
      <c r="A18" s="14" t="s">
        <v>7</v>
      </c>
      <c r="F18" s="15">
        <v>733506</v>
      </c>
    </row>
    <row r="19" spans="1:6" x14ac:dyDescent="0.2">
      <c r="A19" t="s">
        <v>4</v>
      </c>
    </row>
    <row r="20" spans="1:6" x14ac:dyDescent="0.2">
      <c r="A20" s="4" t="s">
        <v>5</v>
      </c>
    </row>
    <row r="21" spans="1:6" x14ac:dyDescent="0.2">
      <c r="A21" s="4" t="s">
        <v>3</v>
      </c>
    </row>
    <row r="22" spans="1:6" x14ac:dyDescent="0.2">
      <c r="A22" s="4" t="s">
        <v>6</v>
      </c>
    </row>
  </sheetData>
  <hyperlinks>
    <hyperlink ref="A21" r:id="rId1" xr:uid="{59DA79F3-97CE-BE49-BB54-551500E18084}"/>
    <hyperlink ref="A22" r:id="rId2" xr:uid="{D5DE36A5-723D-4149-976F-0A37D0B30D42}"/>
    <hyperlink ref="A20" r:id="rId3" xr:uid="{1565CFD6-099A-354A-8853-9D696031E937}"/>
  </hyperlinks>
  <pageMargins left="0.7" right="0.7" top="0.75" bottom="0.75" header="0.3" footer="0.3"/>
  <ignoredErrors>
    <ignoredError sqref="D2:D6" calculatedColumn="1"/>
    <ignoredError sqref="G6" formula="1"/>
  </ignoredErrors>
  <tableParts count="2">
    <tablePart r:id="rId4"/>
    <tablePart r:id="rId5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62CB-D871-5047-949D-93CB3A650383}">
  <dimension ref="A1:H28"/>
  <sheetViews>
    <sheetView workbookViewId="0">
      <selection activeCell="A25" sqref="A25:A28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229698</v>
      </c>
      <c r="C2" s="1">
        <v>204622</v>
      </c>
      <c r="D2" s="11">
        <f>(Table55456791564708453758187119187195199231243245247[[#This Row],[This Week]]-Table55456791564708453758187119187195199231243245247[[#This Row],[Last Week]])/Table55456791564708453758187119187195199231243245247[[#This Row],[Last Week]]</f>
        <v>0.12254791762371592</v>
      </c>
      <c r="E2" s="1">
        <v>236625</v>
      </c>
      <c r="F2" s="1">
        <v>5415466</v>
      </c>
      <c r="G2" s="1">
        <v>3968132</v>
      </c>
      <c r="H2" s="6">
        <f>H11+H12</f>
        <v>16798897</v>
      </c>
    </row>
    <row r="3" spans="1:8" x14ac:dyDescent="0.2">
      <c r="A3" s="10" t="s">
        <v>27</v>
      </c>
      <c r="B3" s="1">
        <v>11056</v>
      </c>
      <c r="C3" s="1">
        <v>11893</v>
      </c>
      <c r="D3" s="43">
        <f>(Table55456791564708453758187119187195199231243245247[[#This Row],[This Week]]-Table55456791564708453758187119187195199231243245247[[#This Row],[Last Week]])/Table55456791564708453758187119187195199231243245247[[#This Row],[Last Week]]</f>
        <v>-7.0377533002606574E-2</v>
      </c>
      <c r="E3" s="1" t="s">
        <v>17</v>
      </c>
      <c r="F3" s="1">
        <v>224384</v>
      </c>
      <c r="G3" s="1" t="s">
        <v>17</v>
      </c>
      <c r="H3" s="1">
        <f>H14+H15</f>
        <v>224384</v>
      </c>
    </row>
    <row r="4" spans="1:8" x14ac:dyDescent="0.2">
      <c r="A4" s="10" t="s">
        <v>13</v>
      </c>
      <c r="B4" s="1">
        <v>9154</v>
      </c>
      <c r="C4" s="1">
        <v>3055</v>
      </c>
      <c r="D4" s="43">
        <f>(Table55456791564708453758187119187195199231243245247[[#This Row],[This Week]]-Table55456791564708453758187119187195199231243245247[[#This Row],[Last Week]])/Table55456791564708453758187119187195199231243245247[[#This Row],[Last Week]]</f>
        <v>1.9963993453355156</v>
      </c>
      <c r="E4" s="1">
        <v>11216</v>
      </c>
      <c r="F4" s="1">
        <v>519586</v>
      </c>
      <c r="G4" s="1">
        <v>1007491</v>
      </c>
      <c r="H4" s="6">
        <f>H13+H19</f>
        <v>9267829</v>
      </c>
    </row>
    <row r="5" spans="1:8" x14ac:dyDescent="0.2">
      <c r="A5" s="10" t="s">
        <v>28</v>
      </c>
      <c r="B5" s="1">
        <v>1411</v>
      </c>
      <c r="C5" s="1">
        <v>1622</v>
      </c>
      <c r="D5" s="43">
        <f>(Table55456791564708453758187119187195199231243245247[[#This Row],[This Week]]-Table55456791564708453758187119187195199231243245247[[#This Row],[Last Week]])/Table55456791564708453758187119187195199231243245247[[#This Row],[Last Week]]</f>
        <v>-0.13008631319358815</v>
      </c>
      <c r="E5" s="1" t="s">
        <v>17</v>
      </c>
      <c r="F5" s="1">
        <v>30844</v>
      </c>
      <c r="G5" s="1" t="s">
        <v>17</v>
      </c>
      <c r="H5" s="1">
        <f>H16+H18</f>
        <v>30844</v>
      </c>
    </row>
    <row r="6" spans="1:8" x14ac:dyDescent="0.2">
      <c r="A6" s="10" t="s">
        <v>14</v>
      </c>
      <c r="B6" s="1">
        <v>553</v>
      </c>
      <c r="C6" s="1">
        <v>490</v>
      </c>
      <c r="D6" s="43">
        <f>(Table55456791564708453758187119187195199231243245247[[#This Row],[This Week]]-Table55456791564708453758187119187195199231243245247[[#This Row],[Last Week]])/Table55456791564708453758187119187195199231243245247[[#This Row],[Last Week]]</f>
        <v>0.12857142857142856</v>
      </c>
      <c r="E6" s="1">
        <v>3694</v>
      </c>
      <c r="F6" s="1">
        <v>61520</v>
      </c>
      <c r="G6" s="1">
        <v>184822</v>
      </c>
      <c r="H6" s="1">
        <v>24557667</v>
      </c>
    </row>
    <row r="7" spans="1:8" x14ac:dyDescent="0.2">
      <c r="A7" s="8" t="s">
        <v>15</v>
      </c>
      <c r="B7" s="1">
        <v>38</v>
      </c>
      <c r="C7" s="1">
        <v>28</v>
      </c>
      <c r="D7" s="43">
        <f>(Table55456791564708453758187119187195199231243245247[[#This Row],[This Week]]-Table55456791564708453758187119187195199231243245247[[#This Row],[Last Week]])/Table55456791564708453758187119187195199231243245247[[#This Row],[Last Week]]</f>
        <v>0.35714285714285715</v>
      </c>
      <c r="E7" s="1">
        <v>522</v>
      </c>
      <c r="F7" s="1">
        <v>3523</v>
      </c>
      <c r="G7" s="1">
        <v>7792</v>
      </c>
      <c r="H7" s="1">
        <v>114769</v>
      </c>
    </row>
    <row r="8" spans="1:8" x14ac:dyDescent="0.2">
      <c r="A8" s="31" t="s">
        <v>16</v>
      </c>
      <c r="B8" s="32">
        <f>SUM(B2:B7)</f>
        <v>251910</v>
      </c>
      <c r="C8" s="32">
        <f>SUM(C2:C7)</f>
        <v>221710</v>
      </c>
      <c r="D8" s="46">
        <f>(Table55456791564708453758187119187195199231243245247[[#This Row],[This Week]]-Table55456791564708453758187119187195199231243245247[[#This Row],[Last Week]])/Table55456791564708453758187119187195199231243245247[[#This Row],[Last Week]]</f>
        <v>0.13621397320824499</v>
      </c>
      <c r="E8" s="32">
        <f>SUM(E2:E7)+51</f>
        <v>252108</v>
      </c>
      <c r="F8" s="32">
        <f>SUM(F2:F7)</f>
        <v>6255323</v>
      </c>
      <c r="G8" s="32">
        <f>SUM(G2:G7)+37577</f>
        <v>5205814</v>
      </c>
      <c r="H8" s="32">
        <f>SUM(H2:H7)</f>
        <v>50994390</v>
      </c>
    </row>
    <row r="9" spans="1:8" x14ac:dyDescent="0.2">
      <c r="A9" s="17"/>
      <c r="B9" s="6"/>
      <c r="C9" s="6"/>
      <c r="D9" s="12"/>
      <c r="E9" s="6"/>
      <c r="F9" s="6"/>
      <c r="G9" s="6"/>
      <c r="H9" s="6"/>
    </row>
    <row r="10" spans="1:8" x14ac:dyDescent="0.2">
      <c r="A10" s="6" t="s">
        <v>0</v>
      </c>
      <c r="B10" s="6" t="s">
        <v>8</v>
      </c>
      <c r="C10" s="6" t="s">
        <v>1</v>
      </c>
      <c r="D10" s="6" t="s">
        <v>2</v>
      </c>
      <c r="E10" s="6" t="s">
        <v>24</v>
      </c>
      <c r="F10" s="6" t="s">
        <v>10</v>
      </c>
      <c r="G10" s="6" t="s">
        <v>11</v>
      </c>
      <c r="H10" s="6" t="s">
        <v>9</v>
      </c>
    </row>
    <row r="11" spans="1:8" x14ac:dyDescent="0.2">
      <c r="A11" s="42" t="s">
        <v>12</v>
      </c>
      <c r="B11" s="1">
        <v>182364</v>
      </c>
      <c r="C11" s="1">
        <v>167088</v>
      </c>
      <c r="D11" s="43">
        <f>(Table5155578101665718558768288120188196200232244246248[[#This Row],[This Week]]-Table5155578101665718558768288120188196200232244246248[[#This Row],[Last Week]])/Table5155578101665718558768288120188196200232244246248[[#This Row],[Last Week]]</f>
        <v>9.1424877908646937E-2</v>
      </c>
      <c r="E11" s="1">
        <v>155516</v>
      </c>
      <c r="F11" s="1">
        <v>3496143</v>
      </c>
      <c r="G11" s="1">
        <v>3117367</v>
      </c>
      <c r="H11" s="1">
        <v>13834191</v>
      </c>
    </row>
    <row r="12" spans="1:8" x14ac:dyDescent="0.2">
      <c r="A12" s="44" t="s">
        <v>18</v>
      </c>
      <c r="B12" s="1">
        <v>47334</v>
      </c>
      <c r="C12" s="1">
        <v>37534</v>
      </c>
      <c r="D12" s="43">
        <f>(Table5155578101665718558768288120188196200232244246248[[#This Row],[This Week]]-Table5155578101665718558768288120188196200232244246248[[#This Row],[Last Week]])/Table5155578101665718558768288120188196200232244246248[[#This Row],[Last Week]]</f>
        <v>0.26109660574412535</v>
      </c>
      <c r="E12" s="1">
        <v>81109</v>
      </c>
      <c r="F12" s="1">
        <v>1919323</v>
      </c>
      <c r="G12" s="1">
        <v>850765</v>
      </c>
      <c r="H12" s="1">
        <v>2964706</v>
      </c>
    </row>
    <row r="13" spans="1:8" x14ac:dyDescent="0.2">
      <c r="A13" s="37" t="s">
        <v>13</v>
      </c>
      <c r="B13" s="1">
        <v>9096</v>
      </c>
      <c r="C13" s="1">
        <v>2986</v>
      </c>
      <c r="D13" s="43">
        <f>(Table5155578101665718558768288120188196200232244246248[[#This Row],[This Week]]-Table5155578101665718558768288120188196200232244246248[[#This Row],[Last Week]])/Table5155578101665718558768288120188196200232244246248[[#This Row],[Last Week]]</f>
        <v>2.0462156731413264</v>
      </c>
      <c r="E13" s="1">
        <v>7368</v>
      </c>
      <c r="F13" s="1">
        <v>339190</v>
      </c>
      <c r="G13" s="1">
        <v>640231</v>
      </c>
      <c r="H13" s="1">
        <v>7692463</v>
      </c>
    </row>
    <row r="14" spans="1:8" x14ac:dyDescent="0.2">
      <c r="A14" s="73" t="s">
        <v>27</v>
      </c>
      <c r="B14" s="1">
        <v>9025</v>
      </c>
      <c r="C14" s="1">
        <v>7514</v>
      </c>
      <c r="D14" s="43">
        <f>(Table5155578101665718558768288120188196200232244246248[[#This Row],[This Week]]-Table5155578101665718558768288120188196200232244246248[[#This Row],[Last Week]])/Table5155578101665718558768288120188196200232244246248[[#This Row],[Last Week]]</f>
        <v>0.20109129624700559</v>
      </c>
      <c r="E14" s="1" t="s">
        <v>17</v>
      </c>
      <c r="F14" s="1">
        <v>180977</v>
      </c>
      <c r="G14" s="1" t="s">
        <v>17</v>
      </c>
      <c r="H14" s="1">
        <v>180977</v>
      </c>
    </row>
    <row r="15" spans="1:8" x14ac:dyDescent="0.2">
      <c r="A15" s="42" t="s">
        <v>29</v>
      </c>
      <c r="B15" s="1">
        <v>2031</v>
      </c>
      <c r="C15" s="1">
        <v>4379</v>
      </c>
      <c r="D15" s="43">
        <f>(Table5155578101665718558768288120188196200232244246248[[#This Row],[This Week]]-Table5155578101665718558768288120188196200232244246248[[#This Row],[Last Week]])/Table5155578101665718558768288120188196200232244246248[[#This Row],[Last Week]]</f>
        <v>-0.53619547841973059</v>
      </c>
      <c r="E15" s="1" t="s">
        <v>17</v>
      </c>
      <c r="F15" s="1">
        <v>43407</v>
      </c>
      <c r="G15" s="1" t="s">
        <v>17</v>
      </c>
      <c r="H15" s="1">
        <v>43407</v>
      </c>
    </row>
    <row r="16" spans="1:8" x14ac:dyDescent="0.2">
      <c r="A16" s="57" t="s">
        <v>30</v>
      </c>
      <c r="B16" s="1">
        <v>1186</v>
      </c>
      <c r="C16" s="1">
        <v>1388</v>
      </c>
      <c r="D16" s="43">
        <f>(Table5155578101665718558768288120188196200232244246248[[#This Row],[This Week]]-Table5155578101665718558768288120188196200232244246248[[#This Row],[Last Week]])/Table5155578101665718558768288120188196200232244246248[[#This Row],[Last Week]]</f>
        <v>-0.14553314121037464</v>
      </c>
      <c r="E16" s="1" t="s">
        <v>17</v>
      </c>
      <c r="F16" s="1">
        <v>24431</v>
      </c>
      <c r="G16" s="1" t="s">
        <v>17</v>
      </c>
      <c r="H16" s="1">
        <v>24431</v>
      </c>
    </row>
    <row r="17" spans="1:8" x14ac:dyDescent="0.2">
      <c r="A17" s="42" t="s">
        <v>22</v>
      </c>
      <c r="B17" s="1">
        <v>528</v>
      </c>
      <c r="C17" s="1">
        <v>463</v>
      </c>
      <c r="D17" s="43">
        <f>(Table5155578101665718558768288120188196200232244246248[[#This Row],[This Week]]-Table5155578101665718558768288120188196200232244246248[[#This Row],[Last Week]])/Table5155578101665718558768288120188196200232244246248[[#This Row],[Last Week]]</f>
        <v>0.14038876889848811</v>
      </c>
      <c r="E17" s="1">
        <v>3549</v>
      </c>
      <c r="F17" s="1">
        <v>58537</v>
      </c>
      <c r="G17" s="1">
        <v>154046</v>
      </c>
      <c r="H17" s="1">
        <v>1162783</v>
      </c>
    </row>
    <row r="18" spans="1:8" x14ac:dyDescent="0.2">
      <c r="A18" s="65" t="s">
        <v>31</v>
      </c>
      <c r="B18" s="1">
        <v>225</v>
      </c>
      <c r="C18" s="1">
        <v>234</v>
      </c>
      <c r="D18" s="43">
        <f>(Table5155578101665718558768288120188196200232244246248[[#This Row],[This Week]]-Table5155578101665718558768288120188196200232244246248[[#This Row],[Last Week]])/Table5155578101665718558768288120188196200232244246248[[#This Row],[Last Week]]</f>
        <v>-3.8461538461538464E-2</v>
      </c>
      <c r="E18" s="1" t="s">
        <v>17</v>
      </c>
      <c r="F18" s="1">
        <v>6413</v>
      </c>
      <c r="G18" s="1" t="s">
        <v>17</v>
      </c>
      <c r="H18" s="1">
        <v>6413</v>
      </c>
    </row>
    <row r="19" spans="1:8" x14ac:dyDescent="0.2">
      <c r="A19" s="44" t="s">
        <v>21</v>
      </c>
      <c r="B19" s="1">
        <v>58</v>
      </c>
      <c r="C19" s="1">
        <v>69</v>
      </c>
      <c r="D19" s="43">
        <f>(Table5155578101665718558768288120188196200232244246248[[#This Row],[This Week]]-Table5155578101665718558768288120188196200232244246248[[#This Row],[Last Week]])/Table5155578101665718558768288120188196200232244246248[[#This Row],[Last Week]]</f>
        <v>-0.15942028985507245</v>
      </c>
      <c r="E19" s="1">
        <v>3848</v>
      </c>
      <c r="F19" s="1">
        <v>180396</v>
      </c>
      <c r="G19" s="1">
        <v>367260</v>
      </c>
      <c r="H19" s="1">
        <v>1575366</v>
      </c>
    </row>
    <row r="20" spans="1:8" x14ac:dyDescent="0.2">
      <c r="A20" s="42" t="s">
        <v>23</v>
      </c>
      <c r="B20" s="1">
        <v>25</v>
      </c>
      <c r="C20" s="1">
        <v>27</v>
      </c>
      <c r="D20" s="43">
        <f>(Table5155578101665718558768288120188196200232244246248[[#This Row],[This Week]]-Table5155578101665718558768288120188196200232244246248[[#This Row],[Last Week]])/Table5155578101665718558768288120188196200232244246248[[#This Row],[Last Week]]</f>
        <v>-7.407407407407407E-2</v>
      </c>
      <c r="E20" s="1">
        <v>145</v>
      </c>
      <c r="F20" s="1">
        <v>2983</v>
      </c>
      <c r="G20" s="1">
        <v>29685</v>
      </c>
      <c r="H20" s="1">
        <v>5888898</v>
      </c>
    </row>
    <row r="21" spans="1:8" x14ac:dyDescent="0.2">
      <c r="A21" s="38" t="s">
        <v>19</v>
      </c>
      <c r="B21" s="1">
        <v>20</v>
      </c>
      <c r="C21" s="1">
        <v>17</v>
      </c>
      <c r="D21" s="43">
        <f>(Table5155578101665718558768288120188196200232244246248[[#This Row],[This Week]]-Table5155578101665718558768288120188196200232244246248[[#This Row],[Last Week]])/Table5155578101665718558768288120188196200232244246248[[#This Row],[Last Week]]</f>
        <v>0.17647058823529413</v>
      </c>
      <c r="E21" s="1">
        <v>345</v>
      </c>
      <c r="F21" s="1">
        <v>2410</v>
      </c>
      <c r="G21" s="1">
        <v>4825</v>
      </c>
      <c r="H21" s="1">
        <v>21052</v>
      </c>
    </row>
    <row r="22" spans="1:8" x14ac:dyDescent="0.2">
      <c r="A22" s="59" t="s">
        <v>20</v>
      </c>
      <c r="B22" s="1">
        <v>18</v>
      </c>
      <c r="C22" s="1">
        <v>11</v>
      </c>
      <c r="D22" s="43">
        <f>(Table5155578101665718558768288120188196200232244246248[[#This Row],[This Week]]-Table5155578101665718558768288120188196200232244246248[[#This Row],[Last Week]])/Table5155578101665718558768288120188196200232244246248[[#This Row],[Last Week]]</f>
        <v>0.63636363636363635</v>
      </c>
      <c r="E22" s="1">
        <v>177</v>
      </c>
      <c r="F22" s="1">
        <v>1113</v>
      </c>
      <c r="G22" s="1">
        <v>2967</v>
      </c>
      <c r="H22" s="1">
        <v>21715</v>
      </c>
    </row>
    <row r="25" spans="1:8" x14ac:dyDescent="0.2">
      <c r="A25" t="s">
        <v>4</v>
      </c>
    </row>
    <row r="26" spans="1:8" x14ac:dyDescent="0.2">
      <c r="A26" s="4" t="s">
        <v>5</v>
      </c>
    </row>
    <row r="27" spans="1:8" x14ac:dyDescent="0.2">
      <c r="A27" s="4" t="s">
        <v>3</v>
      </c>
    </row>
    <row r="28" spans="1:8" x14ac:dyDescent="0.2">
      <c r="A28" s="4" t="s">
        <v>6</v>
      </c>
    </row>
  </sheetData>
  <hyperlinks>
    <hyperlink ref="A27" r:id="rId1" xr:uid="{F1EDABF7-37FC-A84D-A81C-DF1005F4AD2B}"/>
    <hyperlink ref="A26" r:id="rId2" xr:uid="{4F29FBDD-4E75-6F4E-B4FB-1DC60FD7D69D}"/>
    <hyperlink ref="A28" r:id="rId3" xr:uid="{A6B32FF1-04F7-1C40-92D6-ED5832656424}"/>
  </hyperlinks>
  <pageMargins left="0.7" right="0.7" top="0.75" bottom="0.75" header="0.3" footer="0.3"/>
  <ignoredErrors>
    <ignoredError sqref="G8" formula="1"/>
  </ignoredErrors>
  <tableParts count="2">
    <tablePart r:id="rId4"/>
    <tablePart r:id="rId5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975C9-D908-E743-B92A-4E2EC2A4E5D6}">
  <dimension ref="A1:H28"/>
  <sheetViews>
    <sheetView workbookViewId="0">
      <selection activeCell="A25" sqref="A25:A28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263304</v>
      </c>
      <c r="C2" s="1">
        <v>229698</v>
      </c>
      <c r="D2" s="11">
        <f>(Table55456791564708453758187119187195199231243245249[[#This Row],[This Week]]-Table55456791564708453758187119187195199231243245249[[#This Row],[Last Week]])/Table55456791564708453758187119187195199231243245249[[#This Row],[Last Week]]</f>
        <v>0.1463051484993339</v>
      </c>
      <c r="E2" s="1">
        <v>291485</v>
      </c>
      <c r="F2" s="1">
        <v>5678770</v>
      </c>
      <c r="G2" s="1">
        <v>4259617</v>
      </c>
      <c r="H2" s="6">
        <f>H11+H12</f>
        <v>17062201</v>
      </c>
    </row>
    <row r="3" spans="1:8" x14ac:dyDescent="0.2">
      <c r="A3" s="10" t="s">
        <v>27</v>
      </c>
      <c r="B3" s="1">
        <v>17578</v>
      </c>
      <c r="C3" s="1">
        <v>11056</v>
      </c>
      <c r="D3" s="43">
        <f>(Table55456791564708453758187119187195199231243245249[[#This Row],[This Week]]-Table55456791564708453758187119187195199231243245249[[#This Row],[Last Week]])/Table55456791564708453758187119187195199231243245249[[#This Row],[Last Week]]</f>
        <v>0.5899059334298119</v>
      </c>
      <c r="E3" s="1" t="s">
        <v>17</v>
      </c>
      <c r="F3" s="1">
        <v>241962</v>
      </c>
      <c r="G3" s="1" t="s">
        <v>17</v>
      </c>
      <c r="H3" s="1">
        <f>H13+H15</f>
        <v>241962</v>
      </c>
    </row>
    <row r="4" spans="1:8" x14ac:dyDescent="0.2">
      <c r="A4" s="10" t="s">
        <v>13</v>
      </c>
      <c r="B4" s="1">
        <v>10343</v>
      </c>
      <c r="C4" s="1">
        <v>9154</v>
      </c>
      <c r="D4" s="43">
        <f>(Table55456791564708453758187119187195199231243245249[[#This Row],[This Week]]-Table55456791564708453758187119187195199231243245249[[#This Row],[Last Week]])/Table55456791564708453758187119187195199231243245249[[#This Row],[Last Week]]</f>
        <v>0.12988857330128906</v>
      </c>
      <c r="E4" s="1">
        <v>107313</v>
      </c>
      <c r="F4" s="1">
        <v>529929</v>
      </c>
      <c r="G4" s="1">
        <v>1114804</v>
      </c>
      <c r="H4" s="6">
        <f>H14+H19</f>
        <v>9278172</v>
      </c>
    </row>
    <row r="5" spans="1:8" x14ac:dyDescent="0.2">
      <c r="A5" s="10" t="s">
        <v>28</v>
      </c>
      <c r="B5" s="1">
        <v>375</v>
      </c>
      <c r="C5" s="1">
        <v>1411</v>
      </c>
      <c r="D5" s="43">
        <f>(Table55456791564708453758187119187195199231243245249[[#This Row],[This Week]]-Table55456791564708453758187119187195199231243245249[[#This Row],[Last Week]])/Table55456791564708453758187119187195199231243245249[[#This Row],[Last Week]]</f>
        <v>-0.73423104181431609</v>
      </c>
      <c r="E5" s="1" t="s">
        <v>17</v>
      </c>
      <c r="F5" s="1">
        <v>31219</v>
      </c>
      <c r="G5" s="1" t="s">
        <v>17</v>
      </c>
      <c r="H5" s="1">
        <f>H17+H18</f>
        <v>31219</v>
      </c>
    </row>
    <row r="6" spans="1:8" x14ac:dyDescent="0.2">
      <c r="A6" s="10" t="s">
        <v>14</v>
      </c>
      <c r="B6" s="1">
        <v>583</v>
      </c>
      <c r="C6" s="1">
        <v>553</v>
      </c>
      <c r="D6" s="43">
        <f>(Table55456791564708453758187119187195199231243245249[[#This Row],[This Week]]-Table55456791564708453758187119187195199231243245249[[#This Row],[Last Week]])/Table55456791564708453758187119187195199231243245249[[#This Row],[Last Week]]</f>
        <v>5.4249547920433995E-2</v>
      </c>
      <c r="E6" s="1">
        <v>3316</v>
      </c>
      <c r="F6" s="1">
        <v>62103</v>
      </c>
      <c r="G6" s="1">
        <v>188138</v>
      </c>
      <c r="H6" s="1">
        <v>24558250</v>
      </c>
    </row>
    <row r="7" spans="1:8" x14ac:dyDescent="0.2">
      <c r="A7" s="8" t="s">
        <v>15</v>
      </c>
      <c r="B7" s="1">
        <v>33</v>
      </c>
      <c r="C7" s="1">
        <v>38</v>
      </c>
      <c r="D7" s="43">
        <f>(Table55456791564708453758187119187195199231243245249[[#This Row],[This Week]]-Table55456791564708453758187119187195199231243245249[[#This Row],[Last Week]])/Table55456791564708453758187119187195199231243245249[[#This Row],[Last Week]]</f>
        <v>-0.13157894736842105</v>
      </c>
      <c r="E7" s="1">
        <v>226</v>
      </c>
      <c r="F7" s="1">
        <v>3556</v>
      </c>
      <c r="G7" s="1">
        <v>8018</v>
      </c>
      <c r="H7" s="1">
        <v>114802</v>
      </c>
    </row>
    <row r="8" spans="1:8" x14ac:dyDescent="0.2">
      <c r="A8" s="31" t="s">
        <v>16</v>
      </c>
      <c r="B8" s="32">
        <f>SUM(B2:B7)</f>
        <v>292216</v>
      </c>
      <c r="C8" s="32">
        <f>SUM(C2:C7)</f>
        <v>251910</v>
      </c>
      <c r="D8" s="46">
        <f>(Table55456791564708453758187119187195199231243245249[[#This Row],[This Week]]-Table55456791564708453758187119187195199231243245249[[#This Row],[Last Week]])/Table55456791564708453758187119187195199231243245249[[#This Row],[Last Week]]</f>
        <v>0.16000158786868326</v>
      </c>
      <c r="E8" s="32">
        <f>SUM(E2:E7)+38</f>
        <v>402378</v>
      </c>
      <c r="F8" s="32">
        <f>SUM(F2:F7)</f>
        <v>6547539</v>
      </c>
      <c r="G8" s="32">
        <f>SUM(G2:G7)+37615</f>
        <v>5608192</v>
      </c>
      <c r="H8" s="32">
        <f>SUM(H2:H7)</f>
        <v>51286606</v>
      </c>
    </row>
    <row r="9" spans="1:8" x14ac:dyDescent="0.2">
      <c r="A9" s="17"/>
      <c r="B9" s="6"/>
      <c r="C9" s="6"/>
      <c r="D9" s="12"/>
      <c r="E9" s="6"/>
      <c r="F9" s="6"/>
      <c r="G9" s="6"/>
      <c r="H9" s="6"/>
    </row>
    <row r="10" spans="1:8" x14ac:dyDescent="0.2">
      <c r="A10" s="6" t="s">
        <v>0</v>
      </c>
      <c r="B10" s="6" t="s">
        <v>8</v>
      </c>
      <c r="C10" s="6" t="s">
        <v>1</v>
      </c>
      <c r="D10" s="6" t="s">
        <v>2</v>
      </c>
      <c r="E10" s="6" t="s">
        <v>24</v>
      </c>
      <c r="F10" s="6" t="s">
        <v>10</v>
      </c>
      <c r="G10" s="6" t="s">
        <v>11</v>
      </c>
      <c r="H10" s="6" t="s">
        <v>9</v>
      </c>
    </row>
    <row r="11" spans="1:8" x14ac:dyDescent="0.2">
      <c r="A11" s="42" t="s">
        <v>12</v>
      </c>
      <c r="B11" s="1">
        <v>211725</v>
      </c>
      <c r="C11" s="1">
        <v>182364</v>
      </c>
      <c r="D11" s="43">
        <f>(Table5155578101665718558768288120188196200232244246250[[#This Row],[This Week]]-Table5155578101665718558768288120188196200232244246250[[#This Row],[Last Week]])/Table5155578101665718558768288120188196200232244246250[[#This Row],[Last Week]]</f>
        <v>0.1610021714812134</v>
      </c>
      <c r="E11" s="1">
        <v>189908</v>
      </c>
      <c r="F11" s="1">
        <v>3707868</v>
      </c>
      <c r="G11" s="1">
        <v>3307275</v>
      </c>
      <c r="H11" s="1">
        <v>14045916</v>
      </c>
    </row>
    <row r="12" spans="1:8" x14ac:dyDescent="0.2">
      <c r="A12" s="44" t="s">
        <v>18</v>
      </c>
      <c r="B12" s="1">
        <v>51579</v>
      </c>
      <c r="C12" s="1">
        <v>47334</v>
      </c>
      <c r="D12" s="43">
        <f>(Table5155578101665718558768288120188196200232244246250[[#This Row],[This Week]]-Table5155578101665718558768288120188196200232244246250[[#This Row],[Last Week]])/Table5155578101665718558768288120188196200232244246250[[#This Row],[Last Week]]</f>
        <v>8.9681835467106091E-2</v>
      </c>
      <c r="E12" s="1">
        <v>101577</v>
      </c>
      <c r="F12" s="1">
        <v>1970902</v>
      </c>
      <c r="G12" s="1">
        <v>952342</v>
      </c>
      <c r="H12" s="1">
        <v>3016285</v>
      </c>
    </row>
    <row r="13" spans="1:8" x14ac:dyDescent="0.2">
      <c r="A13" s="38" t="s">
        <v>27</v>
      </c>
      <c r="B13" s="1">
        <v>15122</v>
      </c>
      <c r="C13" s="1">
        <v>9025</v>
      </c>
      <c r="D13" s="43">
        <f>(Table5155578101665718558768288120188196200232244246250[[#This Row],[This Week]]-Table5155578101665718558768288120188196200232244246250[[#This Row],[Last Week]])/Table5155578101665718558768288120188196200232244246250[[#This Row],[Last Week]]</f>
        <v>0.67556786703601113</v>
      </c>
      <c r="E13" s="1" t="s">
        <v>17</v>
      </c>
      <c r="F13" s="1">
        <v>196099</v>
      </c>
      <c r="G13" s="1" t="s">
        <v>17</v>
      </c>
      <c r="H13" s="1">
        <v>196099</v>
      </c>
    </row>
    <row r="14" spans="1:8" x14ac:dyDescent="0.2">
      <c r="A14" s="74" t="s">
        <v>13</v>
      </c>
      <c r="B14" s="1">
        <v>10291</v>
      </c>
      <c r="C14" s="1">
        <v>9096</v>
      </c>
      <c r="D14" s="43">
        <f>(Table5155578101665718558768288120188196200232244246250[[#This Row],[This Week]]-Table5155578101665718558768288120188196200232244246250[[#This Row],[Last Week]])/Table5155578101665718558768288120188196200232244246250[[#This Row],[Last Week]]</f>
        <v>0.1313764291996482</v>
      </c>
      <c r="E14" s="1">
        <v>74419</v>
      </c>
      <c r="F14" s="1">
        <v>349481</v>
      </c>
      <c r="G14" s="1">
        <v>714650</v>
      </c>
      <c r="H14" s="1">
        <v>7702754</v>
      </c>
    </row>
    <row r="15" spans="1:8" x14ac:dyDescent="0.2">
      <c r="A15" s="42" t="s">
        <v>29</v>
      </c>
      <c r="B15" s="1">
        <v>2456</v>
      </c>
      <c r="C15" s="1">
        <v>2031</v>
      </c>
      <c r="D15" s="43">
        <f>(Table5155578101665718558768288120188196200232244246250[[#This Row],[This Week]]-Table5155578101665718558768288120188196200232244246250[[#This Row],[Last Week]])/Table5155578101665718558768288120188196200232244246250[[#This Row],[Last Week]]</f>
        <v>0.20925652387986213</v>
      </c>
      <c r="E15" s="1" t="s">
        <v>17</v>
      </c>
      <c r="F15" s="1">
        <v>45863</v>
      </c>
      <c r="G15" s="1" t="s">
        <v>17</v>
      </c>
      <c r="H15" s="1">
        <v>45863</v>
      </c>
    </row>
    <row r="16" spans="1:8" x14ac:dyDescent="0.2">
      <c r="A16" s="42" t="s">
        <v>22</v>
      </c>
      <c r="B16" s="1">
        <v>556</v>
      </c>
      <c r="C16" s="1">
        <v>528</v>
      </c>
      <c r="D16" s="43">
        <f>(Table5155578101665718558768288120188196200232244246250[[#This Row],[This Week]]-Table5155578101665718558768288120188196200232244246250[[#This Row],[Last Week]])/Table5155578101665718558768288120188196200232244246250[[#This Row],[Last Week]]</f>
        <v>5.3030303030303032E-2</v>
      </c>
      <c r="E16" s="1">
        <v>3081</v>
      </c>
      <c r="F16" s="1">
        <v>59093</v>
      </c>
      <c r="G16" s="1">
        <v>157127</v>
      </c>
      <c r="H16" s="1">
        <v>1163339</v>
      </c>
    </row>
    <row r="17" spans="1:8" x14ac:dyDescent="0.2">
      <c r="A17" s="57" t="s">
        <v>30</v>
      </c>
      <c r="B17" s="1">
        <v>268</v>
      </c>
      <c r="C17" s="1">
        <v>1186</v>
      </c>
      <c r="D17" s="43">
        <f>(Table5155578101665718558768288120188196200232244246250[[#This Row],[This Week]]-Table5155578101665718558768288120188196200232244246250[[#This Row],[Last Week]])/Table5155578101665718558768288120188196200232244246250[[#This Row],[Last Week]]</f>
        <v>-0.77403035413153454</v>
      </c>
      <c r="E17" s="1" t="s">
        <v>17</v>
      </c>
      <c r="F17" s="1">
        <v>24699</v>
      </c>
      <c r="G17" s="1" t="s">
        <v>17</v>
      </c>
      <c r="H17" s="1">
        <v>24699</v>
      </c>
    </row>
    <row r="18" spans="1:8" x14ac:dyDescent="0.2">
      <c r="A18" s="65" t="s">
        <v>31</v>
      </c>
      <c r="B18" s="1">
        <v>107</v>
      </c>
      <c r="C18" s="1">
        <v>225</v>
      </c>
      <c r="D18" s="43">
        <f>(Table5155578101665718558768288120188196200232244246250[[#This Row],[This Week]]-Table5155578101665718558768288120188196200232244246250[[#This Row],[Last Week]])/Table5155578101665718558768288120188196200232244246250[[#This Row],[Last Week]]</f>
        <v>-0.52444444444444449</v>
      </c>
      <c r="E18" s="1" t="s">
        <v>17</v>
      </c>
      <c r="F18" s="1">
        <v>6520</v>
      </c>
      <c r="G18" s="1" t="s">
        <v>17</v>
      </c>
      <c r="H18" s="1">
        <v>6520</v>
      </c>
    </row>
    <row r="19" spans="1:8" x14ac:dyDescent="0.2">
      <c r="A19" s="44" t="s">
        <v>21</v>
      </c>
      <c r="B19" s="1">
        <v>52</v>
      </c>
      <c r="C19" s="1">
        <v>58</v>
      </c>
      <c r="D19" s="43">
        <f>(Table5155578101665718558768288120188196200232244246250[[#This Row],[This Week]]-Table5155578101665718558768288120188196200232244246250[[#This Row],[Last Week]])/Table5155578101665718558768288120188196200232244246250[[#This Row],[Last Week]]</f>
        <v>-0.10344827586206896</v>
      </c>
      <c r="E19" s="1">
        <v>32894</v>
      </c>
      <c r="F19" s="1">
        <v>180448</v>
      </c>
      <c r="G19" s="1">
        <v>400154</v>
      </c>
      <c r="H19" s="1">
        <v>1575418</v>
      </c>
    </row>
    <row r="20" spans="1:8" x14ac:dyDescent="0.2">
      <c r="A20" s="42" t="s">
        <v>23</v>
      </c>
      <c r="B20" s="1">
        <v>27</v>
      </c>
      <c r="C20" s="1">
        <v>25</v>
      </c>
      <c r="D20" s="43">
        <f>(Table5155578101665718558768288120188196200232244246250[[#This Row],[This Week]]-Table5155578101665718558768288120188196200232244246250[[#This Row],[Last Week]])/Table5155578101665718558768288120188196200232244246250[[#This Row],[Last Week]]</f>
        <v>0.08</v>
      </c>
      <c r="E20" s="1">
        <v>235</v>
      </c>
      <c r="F20" s="1">
        <v>3010</v>
      </c>
      <c r="G20" s="1">
        <v>29920</v>
      </c>
      <c r="H20" s="1">
        <v>5888925</v>
      </c>
    </row>
    <row r="21" spans="1:8" x14ac:dyDescent="0.2">
      <c r="A21" s="38" t="s">
        <v>19</v>
      </c>
      <c r="B21" s="1">
        <v>17</v>
      </c>
      <c r="C21" s="1">
        <v>20</v>
      </c>
      <c r="D21" s="43">
        <f>(Table5155578101665718558768288120188196200232244246250[[#This Row],[This Week]]-Table5155578101665718558768288120188196200232244246250[[#This Row],[Last Week]])/Table5155578101665718558768288120188196200232244246250[[#This Row],[Last Week]]</f>
        <v>-0.15</v>
      </c>
      <c r="E21" s="1">
        <v>166</v>
      </c>
      <c r="F21" s="1">
        <v>2427</v>
      </c>
      <c r="G21" s="1">
        <v>4991</v>
      </c>
      <c r="H21" s="1">
        <v>21069</v>
      </c>
    </row>
    <row r="22" spans="1:8" x14ac:dyDescent="0.2">
      <c r="A22" s="59" t="s">
        <v>20</v>
      </c>
      <c r="B22" s="1">
        <v>16</v>
      </c>
      <c r="C22" s="1">
        <v>18</v>
      </c>
      <c r="D22" s="43">
        <f>(Table5155578101665718558768288120188196200232244246250[[#This Row],[This Week]]-Table5155578101665718558768288120188196200232244246250[[#This Row],[Last Week]])/Table5155578101665718558768288120188196200232244246250[[#This Row],[Last Week]]</f>
        <v>-0.1111111111111111</v>
      </c>
      <c r="E22" s="1">
        <v>60</v>
      </c>
      <c r="F22" s="1">
        <v>1129</v>
      </c>
      <c r="G22" s="1">
        <v>3027</v>
      </c>
      <c r="H22" s="1">
        <v>21731</v>
      </c>
    </row>
    <row r="25" spans="1:8" x14ac:dyDescent="0.2">
      <c r="A25" t="s">
        <v>4</v>
      </c>
    </row>
    <row r="26" spans="1:8" x14ac:dyDescent="0.2">
      <c r="A26" s="4" t="s">
        <v>5</v>
      </c>
    </row>
    <row r="27" spans="1:8" x14ac:dyDescent="0.2">
      <c r="A27" s="4" t="s">
        <v>3</v>
      </c>
    </row>
    <row r="28" spans="1:8" x14ac:dyDescent="0.2">
      <c r="A28" s="4" t="s">
        <v>6</v>
      </c>
    </row>
  </sheetData>
  <hyperlinks>
    <hyperlink ref="A27" r:id="rId1" xr:uid="{A5D3063A-B2B9-D04C-AEB1-43D6C0D248CB}"/>
    <hyperlink ref="A26" r:id="rId2" xr:uid="{EF3F34D9-8DFE-A14E-B104-145F3BE653B1}"/>
    <hyperlink ref="A28" r:id="rId3" xr:uid="{43733076-65CA-F747-A29A-17DD116876A0}"/>
  </hyperlinks>
  <pageMargins left="0.7" right="0.7" top="0.75" bottom="0.75" header="0.3" footer="0.3"/>
  <ignoredErrors>
    <ignoredError sqref="G8" formula="1"/>
  </ignoredErrors>
  <tableParts count="2">
    <tablePart r:id="rId4"/>
    <tablePart r:id="rId5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1889A-8DB3-2043-880D-BE06EDA6AACB}">
  <dimension ref="A1:H22"/>
  <sheetViews>
    <sheetView tabSelected="1" workbookViewId="0">
      <selection activeCell="S8" sqref="S8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6"/>
      <c r="C2" s="6"/>
      <c r="D2" s="11" t="e">
        <f>(Table55456791564708453758187119187195199231243245251[[#This Row],[This Week]]-Table55456791564708453758187119187195199231243245251[[#This Row],[Last Week]])/Table55456791564708453758187119187195199231243245251[[#This Row],[Last Week]]</f>
        <v>#DIV/0!</v>
      </c>
      <c r="E2" s="6"/>
      <c r="F2" s="6"/>
      <c r="G2" s="6"/>
      <c r="H2" s="6"/>
    </row>
    <row r="3" spans="1:8" x14ac:dyDescent="0.2">
      <c r="A3" s="10" t="s">
        <v>27</v>
      </c>
      <c r="B3" s="1"/>
      <c r="C3" s="1"/>
      <c r="D3" s="43" t="e">
        <f>(Table55456791564708453758187119187195199231243245251[[#This Row],[This Week]]-Table55456791564708453758187119187195199231243245251[[#This Row],[Last Week]])/Table55456791564708453758187119187195199231243245251[[#This Row],[Last Week]]</f>
        <v>#DIV/0!</v>
      </c>
      <c r="E3" s="1"/>
      <c r="F3" s="1"/>
      <c r="G3" s="1"/>
      <c r="H3" s="1"/>
    </row>
    <row r="4" spans="1:8" x14ac:dyDescent="0.2">
      <c r="A4" s="10" t="s">
        <v>13</v>
      </c>
      <c r="B4" s="6"/>
      <c r="C4" s="6"/>
      <c r="D4" s="43" t="e">
        <f>(Table55456791564708453758187119187195199231243245251[[#This Row],[This Week]]-Table55456791564708453758187119187195199231243245251[[#This Row],[Last Week]])/Table55456791564708453758187119187195199231243245251[[#This Row],[Last Week]]</f>
        <v>#DIV/0!</v>
      </c>
      <c r="E4" s="6"/>
      <c r="F4" s="6"/>
      <c r="G4" s="6"/>
      <c r="H4" s="6"/>
    </row>
    <row r="5" spans="1:8" x14ac:dyDescent="0.2">
      <c r="A5" s="10" t="s">
        <v>28</v>
      </c>
      <c r="B5" s="1"/>
      <c r="C5" s="1"/>
      <c r="D5" s="43" t="e">
        <f>(Table55456791564708453758187119187195199231243245251[[#This Row],[This Week]]-Table55456791564708453758187119187195199231243245251[[#This Row],[Last Week]])/Table55456791564708453758187119187195199231243245251[[#This Row],[Last Week]]</f>
        <v>#DIV/0!</v>
      </c>
      <c r="E5" s="1"/>
      <c r="F5" s="1"/>
      <c r="G5" s="1"/>
      <c r="H5" s="1"/>
    </row>
    <row r="6" spans="1:8" x14ac:dyDescent="0.2">
      <c r="A6" s="10" t="s">
        <v>14</v>
      </c>
      <c r="B6" s="1"/>
      <c r="C6" s="1"/>
      <c r="D6" s="43" t="e">
        <f>(Table55456791564708453758187119187195199231243245251[[#This Row],[This Week]]-Table55456791564708453758187119187195199231243245251[[#This Row],[Last Week]])/Table55456791564708453758187119187195199231243245251[[#This Row],[Last Week]]</f>
        <v>#DIV/0!</v>
      </c>
      <c r="E6" s="1"/>
      <c r="F6" s="1"/>
      <c r="G6" s="1"/>
      <c r="H6" s="1"/>
    </row>
    <row r="7" spans="1:8" x14ac:dyDescent="0.2">
      <c r="A7" s="8" t="s">
        <v>15</v>
      </c>
      <c r="B7" s="1"/>
      <c r="C7" s="1"/>
      <c r="D7" s="43" t="e">
        <f>(Table55456791564708453758187119187195199231243245251[[#This Row],[This Week]]-Table55456791564708453758187119187195199231243245251[[#This Row],[Last Week]])/Table55456791564708453758187119187195199231243245251[[#This Row],[Last Week]]</f>
        <v>#DIV/0!</v>
      </c>
      <c r="E7" s="1"/>
      <c r="F7" s="1"/>
      <c r="G7" s="1"/>
      <c r="H7" s="1"/>
    </row>
    <row r="8" spans="1:8" x14ac:dyDescent="0.2">
      <c r="A8" s="31" t="s">
        <v>16</v>
      </c>
      <c r="B8" s="32">
        <f>SUM(B2:B7)</f>
        <v>0</v>
      </c>
      <c r="C8" s="32">
        <f>SUM(C2:C7)</f>
        <v>0</v>
      </c>
      <c r="D8" s="46" t="e">
        <f>(Table55456791564708453758187119187195199231243245251[[#This Row],[This Week]]-Table55456791564708453758187119187195199231243245251[[#This Row],[Last Week]])/Table55456791564708453758187119187195199231243245251[[#This Row],[Last Week]]</f>
        <v>#DIV/0!</v>
      </c>
      <c r="E8" s="32">
        <f>SUM(E2:E7)</f>
        <v>0</v>
      </c>
      <c r="F8" s="32">
        <f>SUM(F2:F7)</f>
        <v>0</v>
      </c>
      <c r="G8" s="32">
        <f>SUM(G2:G7)</f>
        <v>0</v>
      </c>
      <c r="H8" s="32">
        <f>SUM(H2:H7)</f>
        <v>0</v>
      </c>
    </row>
    <row r="9" spans="1:8" x14ac:dyDescent="0.2">
      <c r="A9" s="17"/>
      <c r="B9" s="6"/>
      <c r="C9" s="6"/>
      <c r="D9" s="12"/>
      <c r="E9" s="6"/>
      <c r="F9" s="6"/>
      <c r="G9" s="6"/>
      <c r="H9" s="6"/>
    </row>
    <row r="10" spans="1:8" x14ac:dyDescent="0.2">
      <c r="A10" s="6" t="s">
        <v>0</v>
      </c>
      <c r="B10" s="6" t="s">
        <v>8</v>
      </c>
      <c r="C10" s="6" t="s">
        <v>1</v>
      </c>
      <c r="D10" s="6" t="s">
        <v>2</v>
      </c>
      <c r="E10" s="6" t="s">
        <v>24</v>
      </c>
      <c r="F10" s="6" t="s">
        <v>10</v>
      </c>
      <c r="G10" s="6" t="s">
        <v>11</v>
      </c>
      <c r="H10" s="6" t="s">
        <v>9</v>
      </c>
    </row>
    <row r="11" spans="1:8" x14ac:dyDescent="0.2">
      <c r="A11" s="42" t="s">
        <v>27</v>
      </c>
      <c r="B11" s="58"/>
      <c r="C11" s="58"/>
      <c r="D11" s="43" t="e">
        <f>(Table5155578101665718558768288120188196200232244246252[[#This Row],[This Week]]-Table5155578101665718558768288120188196200232244246252[[#This Row],[Last Week]])/Table5155578101665718558768288120188196200232244246252[[#This Row],[Last Week]]</f>
        <v>#DIV/0!</v>
      </c>
      <c r="E11" s="58"/>
      <c r="F11" s="58"/>
      <c r="G11" s="58"/>
      <c r="H11" s="56"/>
    </row>
    <row r="12" spans="1:8" x14ac:dyDescent="0.2">
      <c r="A12" s="42" t="s">
        <v>29</v>
      </c>
      <c r="B12" s="58"/>
      <c r="C12" s="58"/>
      <c r="D12" s="43" t="e">
        <f>(Table5155578101665718558768288120188196200232244246252[[#This Row],[This Week]]-Table5155578101665718558768288120188196200232244246252[[#This Row],[Last Week]])/Table5155578101665718558768288120188196200232244246252[[#This Row],[Last Week]]</f>
        <v>#DIV/0!</v>
      </c>
      <c r="E12" s="58"/>
      <c r="F12" s="58"/>
      <c r="G12" s="58"/>
      <c r="H12" s="56"/>
    </row>
    <row r="13" spans="1:8" x14ac:dyDescent="0.2">
      <c r="A13" s="10" t="s">
        <v>30</v>
      </c>
      <c r="B13" s="58"/>
      <c r="C13" s="58"/>
      <c r="D13" s="43" t="e">
        <f>(Table5155578101665718558768288120188196200232244246252[[#This Row],[This Week]]-Table5155578101665718558768288120188196200232244246252[[#This Row],[Last Week]])/Table5155578101665718558768288120188196200232244246252[[#This Row],[Last Week]]</f>
        <v>#DIV/0!</v>
      </c>
      <c r="E13" s="58"/>
      <c r="F13" s="58"/>
      <c r="G13" s="58"/>
      <c r="H13" s="56"/>
    </row>
    <row r="14" spans="1:8" x14ac:dyDescent="0.2">
      <c r="A14" s="60" t="s">
        <v>31</v>
      </c>
      <c r="B14" s="58"/>
      <c r="C14" s="58"/>
      <c r="D14" s="43" t="e">
        <f>(Table5155578101665718558768288120188196200232244246252[[#This Row],[This Week]]-Table5155578101665718558768288120188196200232244246252[[#This Row],[Last Week]])/Table5155578101665718558768288120188196200232244246252[[#This Row],[Last Week]]</f>
        <v>#DIV/0!</v>
      </c>
      <c r="E14" s="58"/>
      <c r="F14" s="58"/>
      <c r="G14" s="58"/>
      <c r="H14" s="56"/>
    </row>
    <row r="15" spans="1:8" x14ac:dyDescent="0.2">
      <c r="A15" s="44" t="s">
        <v>18</v>
      </c>
      <c r="B15" s="1"/>
      <c r="C15" s="1"/>
      <c r="D15" s="43" t="e">
        <f>(Table5155578101665718558768288120188196200232244246252[[#This Row],[This Week]]-Table5155578101665718558768288120188196200232244246252[[#This Row],[Last Week]])/Table5155578101665718558768288120188196200232244246252[[#This Row],[Last Week]]</f>
        <v>#DIV/0!</v>
      </c>
      <c r="E15" s="1"/>
      <c r="F15" s="1"/>
      <c r="G15" s="1"/>
      <c r="H15" s="1"/>
    </row>
    <row r="16" spans="1:8" x14ac:dyDescent="0.2">
      <c r="A16" s="42" t="s">
        <v>12</v>
      </c>
      <c r="B16" s="1"/>
      <c r="C16" s="1"/>
      <c r="D16" s="43" t="e">
        <f>(Table5155578101665718558768288120188196200232244246252[[#This Row],[This Week]]-Table5155578101665718558768288120188196200232244246252[[#This Row],[Last Week]])/Table5155578101665718558768288120188196200232244246252[[#This Row],[Last Week]]</f>
        <v>#DIV/0!</v>
      </c>
      <c r="E16" s="1"/>
      <c r="F16" s="1"/>
      <c r="G16" s="1"/>
      <c r="H16" s="1"/>
    </row>
    <row r="17" spans="1:8" x14ac:dyDescent="0.2">
      <c r="A17" s="42" t="s">
        <v>19</v>
      </c>
      <c r="B17" s="1"/>
      <c r="C17" s="1"/>
      <c r="D17" s="43" t="e">
        <f>(Table5155578101665718558768288120188196200232244246252[[#This Row],[This Week]]-Table5155578101665718558768288120188196200232244246252[[#This Row],[Last Week]])/Table5155578101665718558768288120188196200232244246252[[#This Row],[Last Week]]</f>
        <v>#DIV/0!</v>
      </c>
      <c r="E17" s="1"/>
      <c r="F17" s="1"/>
      <c r="G17" s="1"/>
      <c r="H17" s="1"/>
    </row>
    <row r="18" spans="1:8" x14ac:dyDescent="0.2">
      <c r="A18" s="59" t="s">
        <v>20</v>
      </c>
      <c r="B18" s="1"/>
      <c r="C18" s="1"/>
      <c r="D18" s="43" t="e">
        <f>(Table5155578101665718558768288120188196200232244246252[[#This Row],[This Week]]-Table5155578101665718558768288120188196200232244246252[[#This Row],[Last Week]])/Table5155578101665718558768288120188196200232244246252[[#This Row],[Last Week]]</f>
        <v>#DIV/0!</v>
      </c>
      <c r="E18" s="1"/>
      <c r="F18" s="1"/>
      <c r="G18" s="1"/>
      <c r="H18" s="1"/>
    </row>
    <row r="19" spans="1:8" x14ac:dyDescent="0.2">
      <c r="A19" s="44" t="s">
        <v>21</v>
      </c>
      <c r="B19" s="1"/>
      <c r="C19" s="1"/>
      <c r="D19" s="43" t="e">
        <f>(Table5155578101665718558768288120188196200232244246252[[#This Row],[This Week]]-Table5155578101665718558768288120188196200232244246252[[#This Row],[Last Week]])/Table5155578101665718558768288120188196200232244246252[[#This Row],[Last Week]]</f>
        <v>#DIV/0!</v>
      </c>
      <c r="E19" s="1"/>
      <c r="F19" s="1"/>
      <c r="G19" s="1"/>
      <c r="H19" s="1"/>
    </row>
    <row r="20" spans="1:8" x14ac:dyDescent="0.2">
      <c r="A20" s="44" t="s">
        <v>13</v>
      </c>
      <c r="B20" s="1"/>
      <c r="C20" s="1"/>
      <c r="D20" s="43" t="e">
        <f>(Table5155578101665718558768288120188196200232244246252[[#This Row],[This Week]]-Table5155578101665718558768288120188196200232244246252[[#This Row],[Last Week]])/Table5155578101665718558768288120188196200232244246252[[#This Row],[Last Week]]</f>
        <v>#DIV/0!</v>
      </c>
      <c r="E20" s="1"/>
      <c r="F20" s="1"/>
      <c r="G20" s="1"/>
      <c r="H20" s="1"/>
    </row>
    <row r="21" spans="1:8" x14ac:dyDescent="0.2">
      <c r="A21" s="38" t="s">
        <v>22</v>
      </c>
      <c r="B21" s="1"/>
      <c r="C21" s="1"/>
      <c r="D21" s="43" t="e">
        <f>(Table5155578101665718558768288120188196200232244246252[[#This Row],[This Week]]-Table5155578101665718558768288120188196200232244246252[[#This Row],[Last Week]])/Table5155578101665718558768288120188196200232244246252[[#This Row],[Last Week]]</f>
        <v>#DIV/0!</v>
      </c>
      <c r="E21" s="1"/>
      <c r="F21" s="1"/>
      <c r="G21" s="1"/>
      <c r="H21" s="1"/>
    </row>
    <row r="22" spans="1:8" x14ac:dyDescent="0.2">
      <c r="A22" s="42" t="s">
        <v>23</v>
      </c>
      <c r="B22" s="1"/>
      <c r="C22" s="1"/>
      <c r="D22" s="43" t="e">
        <f>(Table5155578101665718558768288120188196200232244246252[[#This Row],[This Week]]-Table5155578101665718558768288120188196200232244246252[[#This Row],[Last Week]])/Table5155578101665718558768288120188196200232244246252[[#This Row],[Last Week]]</f>
        <v>#DIV/0!</v>
      </c>
      <c r="E22" s="1"/>
      <c r="F22" s="1"/>
      <c r="G22" s="1"/>
      <c r="H22" s="1"/>
    </row>
  </sheetData>
  <pageMargins left="0.7" right="0.7" top="0.75" bottom="0.75" header="0.3" footer="0.3"/>
  <tableParts count="2">
    <tablePart r:id="rId1"/>
    <tablePart r:id="rId2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997A-68E4-314C-97FB-F034F742D791}">
  <dimension ref="A1:H22"/>
  <sheetViews>
    <sheetView workbookViewId="0">
      <selection activeCell="H8" sqref="H8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6"/>
      <c r="C2" s="6"/>
      <c r="D2" s="11" t="e">
        <f>(Table55456791564708453758187119187195199231243245251253[[#This Row],[This Week]]-Table55456791564708453758187119187195199231243245251253[[#This Row],[Last Week]])/Table55456791564708453758187119187195199231243245251253[[#This Row],[Last Week]]</f>
        <v>#DIV/0!</v>
      </c>
      <c r="E2" s="6"/>
      <c r="F2" s="6"/>
      <c r="G2" s="6"/>
      <c r="H2" s="6"/>
    </row>
    <row r="3" spans="1:8" x14ac:dyDescent="0.2">
      <c r="A3" s="10" t="s">
        <v>27</v>
      </c>
      <c r="B3" s="1"/>
      <c r="C3" s="1"/>
      <c r="D3" s="43" t="e">
        <f>(Table55456791564708453758187119187195199231243245251253[[#This Row],[This Week]]-Table55456791564708453758187119187195199231243245251253[[#This Row],[Last Week]])/Table55456791564708453758187119187195199231243245251253[[#This Row],[Last Week]]</f>
        <v>#DIV/0!</v>
      </c>
      <c r="E3" s="1"/>
      <c r="F3" s="1"/>
      <c r="G3" s="1"/>
      <c r="H3" s="1"/>
    </row>
    <row r="4" spans="1:8" x14ac:dyDescent="0.2">
      <c r="A4" s="10" t="s">
        <v>13</v>
      </c>
      <c r="B4" s="6"/>
      <c r="C4" s="6"/>
      <c r="D4" s="43" t="e">
        <f>(Table55456791564708453758187119187195199231243245251253[[#This Row],[This Week]]-Table55456791564708453758187119187195199231243245251253[[#This Row],[Last Week]])/Table55456791564708453758187119187195199231243245251253[[#This Row],[Last Week]]</f>
        <v>#DIV/0!</v>
      </c>
      <c r="E4" s="6"/>
      <c r="F4" s="6"/>
      <c r="G4" s="6"/>
      <c r="H4" s="6"/>
    </row>
    <row r="5" spans="1:8" x14ac:dyDescent="0.2">
      <c r="A5" s="10" t="s">
        <v>28</v>
      </c>
      <c r="B5" s="1"/>
      <c r="C5" s="1"/>
      <c r="D5" s="43" t="e">
        <f>(Table55456791564708453758187119187195199231243245251253[[#This Row],[This Week]]-Table55456791564708453758187119187195199231243245251253[[#This Row],[Last Week]])/Table55456791564708453758187119187195199231243245251253[[#This Row],[Last Week]]</f>
        <v>#DIV/0!</v>
      </c>
      <c r="E5" s="1"/>
      <c r="F5" s="1"/>
      <c r="G5" s="1"/>
      <c r="H5" s="1"/>
    </row>
    <row r="6" spans="1:8" x14ac:dyDescent="0.2">
      <c r="A6" s="10" t="s">
        <v>14</v>
      </c>
      <c r="B6" s="1"/>
      <c r="C6" s="1"/>
      <c r="D6" s="43" t="e">
        <f>(Table55456791564708453758187119187195199231243245251253[[#This Row],[This Week]]-Table55456791564708453758187119187195199231243245251253[[#This Row],[Last Week]])/Table55456791564708453758187119187195199231243245251253[[#This Row],[Last Week]]</f>
        <v>#DIV/0!</v>
      </c>
      <c r="E6" s="1"/>
      <c r="F6" s="1"/>
      <c r="G6" s="1"/>
      <c r="H6" s="1"/>
    </row>
    <row r="7" spans="1:8" x14ac:dyDescent="0.2">
      <c r="A7" s="8" t="s">
        <v>15</v>
      </c>
      <c r="B7" s="1"/>
      <c r="C7" s="1"/>
      <c r="D7" s="43" t="e">
        <f>(Table55456791564708453758187119187195199231243245251253[[#This Row],[This Week]]-Table55456791564708453758187119187195199231243245251253[[#This Row],[Last Week]])/Table55456791564708453758187119187195199231243245251253[[#This Row],[Last Week]]</f>
        <v>#DIV/0!</v>
      </c>
      <c r="E7" s="1"/>
      <c r="F7" s="1"/>
      <c r="G7" s="1"/>
      <c r="H7" s="1"/>
    </row>
    <row r="8" spans="1:8" x14ac:dyDescent="0.2">
      <c r="A8" s="31" t="s">
        <v>16</v>
      </c>
      <c r="B8" s="32">
        <f>SUM(B2:B7)</f>
        <v>0</v>
      </c>
      <c r="C8" s="32">
        <f>SUM(C2:C7)</f>
        <v>0</v>
      </c>
      <c r="D8" s="46" t="e">
        <f>(Table55456791564708453758187119187195199231243245251253[[#This Row],[This Week]]-Table55456791564708453758187119187195199231243245251253[[#This Row],[Last Week]])/Table55456791564708453758187119187195199231243245251253[[#This Row],[Last Week]]</f>
        <v>#DIV/0!</v>
      </c>
      <c r="E8" s="32">
        <f>SUM(E2:E7)</f>
        <v>0</v>
      </c>
      <c r="F8" s="32">
        <f>SUM(F2:F7)</f>
        <v>0</v>
      </c>
      <c r="G8" s="32">
        <f>SUM(G2:G7)</f>
        <v>0</v>
      </c>
      <c r="H8" s="32">
        <f>SUM(H2:H7)</f>
        <v>0</v>
      </c>
    </row>
    <row r="9" spans="1:8" x14ac:dyDescent="0.2">
      <c r="A9" s="17"/>
      <c r="B9" s="6"/>
      <c r="C9" s="6"/>
      <c r="D9" s="12"/>
      <c r="E9" s="6"/>
      <c r="F9" s="6"/>
      <c r="G9" s="6"/>
      <c r="H9" s="6"/>
    </row>
    <row r="10" spans="1:8" x14ac:dyDescent="0.2">
      <c r="A10" s="6" t="s">
        <v>0</v>
      </c>
      <c r="B10" s="6" t="s">
        <v>8</v>
      </c>
      <c r="C10" s="6" t="s">
        <v>1</v>
      </c>
      <c r="D10" s="6" t="s">
        <v>2</v>
      </c>
      <c r="E10" s="6" t="s">
        <v>24</v>
      </c>
      <c r="F10" s="6" t="s">
        <v>10</v>
      </c>
      <c r="G10" s="6" t="s">
        <v>11</v>
      </c>
      <c r="H10" s="6" t="s">
        <v>9</v>
      </c>
    </row>
    <row r="11" spans="1:8" x14ac:dyDescent="0.2">
      <c r="A11" s="42" t="s">
        <v>27</v>
      </c>
      <c r="B11" s="58"/>
      <c r="C11" s="58"/>
      <c r="D11" s="43" t="e">
        <f>(Table5155578101665718558768288120188196200232244246252254[[#This Row],[This Week]]-Table5155578101665718558768288120188196200232244246252254[[#This Row],[Last Week]])/Table5155578101665718558768288120188196200232244246252254[[#This Row],[Last Week]]</f>
        <v>#DIV/0!</v>
      </c>
      <c r="E11" s="58"/>
      <c r="F11" s="58"/>
      <c r="G11" s="58"/>
      <c r="H11" s="56"/>
    </row>
    <row r="12" spans="1:8" x14ac:dyDescent="0.2">
      <c r="A12" s="42" t="s">
        <v>29</v>
      </c>
      <c r="B12" s="58"/>
      <c r="C12" s="58"/>
      <c r="D12" s="43" t="e">
        <f>(Table5155578101665718558768288120188196200232244246252254[[#This Row],[This Week]]-Table5155578101665718558768288120188196200232244246252254[[#This Row],[Last Week]])/Table5155578101665718558768288120188196200232244246252254[[#This Row],[Last Week]]</f>
        <v>#DIV/0!</v>
      </c>
      <c r="E12" s="58"/>
      <c r="F12" s="58"/>
      <c r="G12" s="58"/>
      <c r="H12" s="56"/>
    </row>
    <row r="13" spans="1:8" x14ac:dyDescent="0.2">
      <c r="A13" s="10" t="s">
        <v>30</v>
      </c>
      <c r="B13" s="58"/>
      <c r="C13" s="58"/>
      <c r="D13" s="43" t="e">
        <f>(Table5155578101665718558768288120188196200232244246252254[[#This Row],[This Week]]-Table5155578101665718558768288120188196200232244246252254[[#This Row],[Last Week]])/Table5155578101665718558768288120188196200232244246252254[[#This Row],[Last Week]]</f>
        <v>#DIV/0!</v>
      </c>
      <c r="E13" s="58"/>
      <c r="F13" s="58"/>
      <c r="G13" s="58"/>
      <c r="H13" s="56"/>
    </row>
    <row r="14" spans="1:8" x14ac:dyDescent="0.2">
      <c r="A14" s="60" t="s">
        <v>31</v>
      </c>
      <c r="B14" s="58"/>
      <c r="C14" s="58"/>
      <c r="D14" s="43" t="e">
        <f>(Table5155578101665718558768288120188196200232244246252254[[#This Row],[This Week]]-Table5155578101665718558768288120188196200232244246252254[[#This Row],[Last Week]])/Table5155578101665718558768288120188196200232244246252254[[#This Row],[Last Week]]</f>
        <v>#DIV/0!</v>
      </c>
      <c r="E14" s="58"/>
      <c r="F14" s="58"/>
      <c r="G14" s="58"/>
      <c r="H14" s="56"/>
    </row>
    <row r="15" spans="1:8" x14ac:dyDescent="0.2">
      <c r="A15" s="44" t="s">
        <v>18</v>
      </c>
      <c r="B15" s="1"/>
      <c r="C15" s="1"/>
      <c r="D15" s="43" t="e">
        <f>(Table5155578101665718558768288120188196200232244246252254[[#This Row],[This Week]]-Table5155578101665718558768288120188196200232244246252254[[#This Row],[Last Week]])/Table5155578101665718558768288120188196200232244246252254[[#This Row],[Last Week]]</f>
        <v>#DIV/0!</v>
      </c>
      <c r="E15" s="1"/>
      <c r="F15" s="1"/>
      <c r="G15" s="1"/>
      <c r="H15" s="1"/>
    </row>
    <row r="16" spans="1:8" x14ac:dyDescent="0.2">
      <c r="A16" s="42" t="s">
        <v>12</v>
      </c>
      <c r="B16" s="1"/>
      <c r="C16" s="1"/>
      <c r="D16" s="43" t="e">
        <f>(Table5155578101665718558768288120188196200232244246252254[[#This Row],[This Week]]-Table5155578101665718558768288120188196200232244246252254[[#This Row],[Last Week]])/Table5155578101665718558768288120188196200232244246252254[[#This Row],[Last Week]]</f>
        <v>#DIV/0!</v>
      </c>
      <c r="E16" s="1"/>
      <c r="F16" s="1"/>
      <c r="G16" s="1"/>
      <c r="H16" s="1"/>
    </row>
    <row r="17" spans="1:8" x14ac:dyDescent="0.2">
      <c r="A17" s="42" t="s">
        <v>19</v>
      </c>
      <c r="B17" s="1"/>
      <c r="C17" s="1"/>
      <c r="D17" s="43" t="e">
        <f>(Table5155578101665718558768288120188196200232244246252254[[#This Row],[This Week]]-Table5155578101665718558768288120188196200232244246252254[[#This Row],[Last Week]])/Table5155578101665718558768288120188196200232244246252254[[#This Row],[Last Week]]</f>
        <v>#DIV/0!</v>
      </c>
      <c r="E17" s="1"/>
      <c r="F17" s="1"/>
      <c r="G17" s="1"/>
      <c r="H17" s="1"/>
    </row>
    <row r="18" spans="1:8" x14ac:dyDescent="0.2">
      <c r="A18" s="59" t="s">
        <v>20</v>
      </c>
      <c r="B18" s="1"/>
      <c r="C18" s="1"/>
      <c r="D18" s="43" t="e">
        <f>(Table5155578101665718558768288120188196200232244246252254[[#This Row],[This Week]]-Table5155578101665718558768288120188196200232244246252254[[#This Row],[Last Week]])/Table5155578101665718558768288120188196200232244246252254[[#This Row],[Last Week]]</f>
        <v>#DIV/0!</v>
      </c>
      <c r="E18" s="1"/>
      <c r="F18" s="1"/>
      <c r="G18" s="1"/>
      <c r="H18" s="1"/>
    </row>
    <row r="19" spans="1:8" x14ac:dyDescent="0.2">
      <c r="A19" s="44" t="s">
        <v>21</v>
      </c>
      <c r="B19" s="1"/>
      <c r="C19" s="1"/>
      <c r="D19" s="43" t="e">
        <f>(Table5155578101665718558768288120188196200232244246252254[[#This Row],[This Week]]-Table5155578101665718558768288120188196200232244246252254[[#This Row],[Last Week]])/Table5155578101665718558768288120188196200232244246252254[[#This Row],[Last Week]]</f>
        <v>#DIV/0!</v>
      </c>
      <c r="E19" s="1"/>
      <c r="F19" s="1"/>
      <c r="G19" s="1"/>
      <c r="H19" s="1"/>
    </row>
    <row r="20" spans="1:8" x14ac:dyDescent="0.2">
      <c r="A20" s="44" t="s">
        <v>13</v>
      </c>
      <c r="B20" s="1"/>
      <c r="C20" s="1"/>
      <c r="D20" s="43" t="e">
        <f>(Table5155578101665718558768288120188196200232244246252254[[#This Row],[This Week]]-Table5155578101665718558768288120188196200232244246252254[[#This Row],[Last Week]])/Table5155578101665718558768288120188196200232244246252254[[#This Row],[Last Week]]</f>
        <v>#DIV/0!</v>
      </c>
      <c r="E20" s="1"/>
      <c r="F20" s="1"/>
      <c r="G20" s="1"/>
      <c r="H20" s="1"/>
    </row>
    <row r="21" spans="1:8" x14ac:dyDescent="0.2">
      <c r="A21" s="38" t="s">
        <v>22</v>
      </c>
      <c r="B21" s="1"/>
      <c r="C21" s="1"/>
      <c r="D21" s="43" t="e">
        <f>(Table5155578101665718558768288120188196200232244246252254[[#This Row],[This Week]]-Table5155578101665718558768288120188196200232244246252254[[#This Row],[Last Week]])/Table5155578101665718558768288120188196200232244246252254[[#This Row],[Last Week]]</f>
        <v>#DIV/0!</v>
      </c>
      <c r="E21" s="1"/>
      <c r="F21" s="1"/>
      <c r="G21" s="1"/>
      <c r="H21" s="1"/>
    </row>
    <row r="22" spans="1:8" x14ac:dyDescent="0.2">
      <c r="A22" s="42" t="s">
        <v>23</v>
      </c>
      <c r="B22" s="1"/>
      <c r="C22" s="1"/>
      <c r="D22" s="43" t="e">
        <f>(Table5155578101665718558768288120188196200232244246252254[[#This Row],[This Week]]-Table5155578101665718558768288120188196200232244246252254[[#This Row],[Last Week]])/Table5155578101665718558768288120188196200232244246252254[[#This Row],[Last Week]]</f>
        <v>#DIV/0!</v>
      </c>
      <c r="E22" s="1"/>
      <c r="F22" s="1"/>
      <c r="G22" s="1"/>
      <c r="H22" s="1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B79E-FBB5-DA47-A552-382521D5A53C}">
  <dimension ref="A1:H22"/>
  <sheetViews>
    <sheetView workbookViewId="0">
      <selection activeCell="H1" sqref="H1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100961</v>
      </c>
      <c r="C2" s="1">
        <v>75922</v>
      </c>
      <c r="D2" s="16">
        <f t="shared" ref="D2:D5" si="0">(B2-C2)/C2</f>
        <v>0.3297990042411949</v>
      </c>
      <c r="E2" s="1">
        <v>61042</v>
      </c>
      <c r="F2" s="1">
        <v>742456</v>
      </c>
      <c r="G2" s="1">
        <v>559552</v>
      </c>
      <c r="H2" s="1">
        <f>H9+H10</f>
        <v>12124887</v>
      </c>
    </row>
    <row r="3" spans="1:8" x14ac:dyDescent="0.2">
      <c r="A3" s="10" t="s">
        <v>13</v>
      </c>
      <c r="B3" s="1">
        <v>7007</v>
      </c>
      <c r="C3" s="1">
        <v>6282</v>
      </c>
      <c r="D3" s="16">
        <f t="shared" si="0"/>
        <v>0.11540910538045208</v>
      </c>
      <c r="E3" s="1">
        <v>19981</v>
      </c>
      <c r="F3" s="1">
        <v>91547</v>
      </c>
      <c r="G3" s="1">
        <v>268636</v>
      </c>
      <c r="H3" s="1">
        <f>H11+H12</f>
        <v>8839790</v>
      </c>
    </row>
    <row r="4" spans="1:8" x14ac:dyDescent="0.2">
      <c r="A4" s="10" t="s">
        <v>14</v>
      </c>
      <c r="B4" s="1">
        <v>580</v>
      </c>
      <c r="C4" s="1">
        <v>599</v>
      </c>
      <c r="D4" s="16">
        <f t="shared" si="0"/>
        <v>-3.1719532554257093E-2</v>
      </c>
      <c r="E4" s="1">
        <v>3972</v>
      </c>
      <c r="F4" s="1">
        <v>7636</v>
      </c>
      <c r="G4" s="1">
        <v>52161</v>
      </c>
      <c r="H4" s="1">
        <v>24503950</v>
      </c>
    </row>
    <row r="5" spans="1:8" x14ac:dyDescent="0.2">
      <c r="A5" s="8" t="s">
        <v>15</v>
      </c>
      <c r="B5" s="1">
        <v>66</v>
      </c>
      <c r="C5" s="1">
        <v>38</v>
      </c>
      <c r="D5" s="16">
        <f t="shared" si="0"/>
        <v>0.73684210526315785</v>
      </c>
      <c r="E5" s="1">
        <v>270</v>
      </c>
      <c r="F5" s="1">
        <v>481</v>
      </c>
      <c r="G5" s="1">
        <v>1099</v>
      </c>
      <c r="H5" s="1">
        <v>111725</v>
      </c>
    </row>
    <row r="6" spans="1:8" x14ac:dyDescent="0.2">
      <c r="A6" s="31" t="s">
        <v>16</v>
      </c>
      <c r="B6" s="32">
        <f>SUM(B2:B5)</f>
        <v>108614</v>
      </c>
      <c r="C6" s="32">
        <f>SUM(C2:C5)</f>
        <v>82841</v>
      </c>
      <c r="D6" s="33">
        <f t="shared" ref="D6" si="1">(B6-C6)/C6</f>
        <v>0.31111406187757268</v>
      </c>
      <c r="E6" s="32">
        <f>SUM(E2:E5)+1504</f>
        <v>86769</v>
      </c>
      <c r="F6" s="32">
        <f>SUM(F2:F5)</f>
        <v>842120</v>
      </c>
      <c r="G6" s="32">
        <f>SUM(G2:G5)+11653</f>
        <v>893101</v>
      </c>
      <c r="H6" s="32">
        <f>SUM(H2:H5)</f>
        <v>45580352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79352</v>
      </c>
      <c r="C9" s="1">
        <v>54873</v>
      </c>
      <c r="D9" s="43">
        <f>(Table51555781012[[#This Row],[This Week]]-Table51555781012[[#This Row],[Last Week]])/Table51555781012[[#This Row],[Last Week]]</f>
        <v>0.44610281923714762</v>
      </c>
      <c r="E9" s="1">
        <v>61042</v>
      </c>
      <c r="F9" s="1">
        <v>495641</v>
      </c>
      <c r="G9" s="1">
        <v>559552</v>
      </c>
      <c r="H9" s="1">
        <v>10833689</v>
      </c>
    </row>
    <row r="10" spans="1:8" x14ac:dyDescent="0.2">
      <c r="A10" s="44" t="s">
        <v>18</v>
      </c>
      <c r="B10" s="1">
        <v>21609</v>
      </c>
      <c r="C10" s="1">
        <v>21049</v>
      </c>
      <c r="D10" s="43">
        <f>(Table51555781012[[#This Row],[This Week]]-Table51555781012[[#This Row],[Last Week]])/Table51555781012[[#This Row],[Last Week]]</f>
        <v>2.6604589291652811E-2</v>
      </c>
      <c r="E10" s="1" t="s">
        <v>17</v>
      </c>
      <c r="F10" s="1">
        <v>245815</v>
      </c>
      <c r="G10" s="1" t="s">
        <v>17</v>
      </c>
      <c r="H10" s="1">
        <v>1291198</v>
      </c>
    </row>
    <row r="11" spans="1:8" x14ac:dyDescent="0.2">
      <c r="A11" s="42" t="s">
        <v>13</v>
      </c>
      <c r="B11" s="1">
        <v>4379</v>
      </c>
      <c r="C11" s="1">
        <v>3846</v>
      </c>
      <c r="D11" s="43">
        <f>(Table51555781012[[#This Row],[This Week]]-Table51555781012[[#This Row],[Last Week]])/Table51555781012[[#This Row],[Last Week]]</f>
        <v>0.13858554342173687</v>
      </c>
      <c r="E11" s="1">
        <v>12063</v>
      </c>
      <c r="F11" s="1">
        <v>48356</v>
      </c>
      <c r="G11" s="1">
        <v>169626</v>
      </c>
      <c r="H11" s="1">
        <v>7401629</v>
      </c>
    </row>
    <row r="12" spans="1:8" x14ac:dyDescent="0.2">
      <c r="A12" s="42" t="s">
        <v>21</v>
      </c>
      <c r="B12" s="1">
        <v>2628</v>
      </c>
      <c r="C12" s="1">
        <v>2436</v>
      </c>
      <c r="D12" s="43">
        <f>(Table51555781012[[#This Row],[This Week]]-Table51555781012[[#This Row],[Last Week]])/Table51555781012[[#This Row],[Last Week]]</f>
        <v>7.8817733990147784E-2</v>
      </c>
      <c r="E12" s="1">
        <v>7918</v>
      </c>
      <c r="F12" s="1">
        <v>43191</v>
      </c>
      <c r="G12" s="1">
        <v>99010</v>
      </c>
      <c r="H12" s="1">
        <v>1438161</v>
      </c>
    </row>
    <row r="13" spans="1:8" x14ac:dyDescent="0.2">
      <c r="A13" s="42" t="s">
        <v>22</v>
      </c>
      <c r="B13" s="1">
        <v>524</v>
      </c>
      <c r="C13" s="1">
        <v>552</v>
      </c>
      <c r="D13" s="43">
        <f>(Table51555781012[[#This Row],[This Week]]-Table51555781012[[#This Row],[Last Week]])/Table51555781012[[#This Row],[Last Week]]</f>
        <v>-5.0724637681159424E-2</v>
      </c>
      <c r="E13" s="1">
        <v>2848</v>
      </c>
      <c r="F13" s="1">
        <v>7219</v>
      </c>
      <c r="G13" s="1">
        <v>40609</v>
      </c>
      <c r="H13" s="1">
        <v>1111632</v>
      </c>
    </row>
    <row r="14" spans="1:8" x14ac:dyDescent="0.2">
      <c r="A14" s="42" t="s">
        <v>23</v>
      </c>
      <c r="B14" s="1">
        <v>56</v>
      </c>
      <c r="C14" s="1">
        <v>47</v>
      </c>
      <c r="D14" s="43">
        <f>(Table51555781012[[#This Row],[This Week]]-Table51555781012[[#This Row],[Last Week]])/Table51555781012[[#This Row],[Last Week]]</f>
        <v>0.19148936170212766</v>
      </c>
      <c r="E14" s="1">
        <v>1124</v>
      </c>
      <c r="F14" s="1">
        <v>417</v>
      </c>
      <c r="G14" s="1">
        <v>10461</v>
      </c>
      <c r="H14" s="1">
        <v>5886332</v>
      </c>
    </row>
    <row r="15" spans="1:8" x14ac:dyDescent="0.2">
      <c r="A15" s="42" t="s">
        <v>20</v>
      </c>
      <c r="B15" s="1">
        <v>42</v>
      </c>
      <c r="C15" s="1">
        <v>16</v>
      </c>
      <c r="D15" s="43">
        <f>(Table51555781012[[#This Row],[This Week]]-Table51555781012[[#This Row],[Last Week]])/Table51555781012[[#This Row],[Last Week]]</f>
        <v>1.625</v>
      </c>
      <c r="E15" s="1">
        <v>23</v>
      </c>
      <c r="F15" s="1">
        <v>208</v>
      </c>
      <c r="G15" s="1">
        <v>211</v>
      </c>
      <c r="H15" s="1">
        <v>20810</v>
      </c>
    </row>
    <row r="16" spans="1:8" x14ac:dyDescent="0.2">
      <c r="A16" s="45" t="s">
        <v>19</v>
      </c>
      <c r="B16" s="1">
        <v>24</v>
      </c>
      <c r="C16" s="1">
        <v>22</v>
      </c>
      <c r="D16" s="43">
        <f>(Table51555781012[[#This Row],[This Week]]-Table51555781012[[#This Row],[Last Week]])/Table51555781012[[#This Row],[Last Week]]</f>
        <v>9.0909090909090912E-2</v>
      </c>
      <c r="E16" s="1">
        <v>247</v>
      </c>
      <c r="F16" s="1">
        <v>273</v>
      </c>
      <c r="G16" s="1">
        <v>888</v>
      </c>
      <c r="H16" s="1">
        <v>18915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2E3383C4-7A75-6E48-AF3E-76F406CAE55B}"/>
    <hyperlink ref="A22" r:id="rId2" xr:uid="{3071A322-2A5D-934B-ACFC-7EFF6FE3EB20}"/>
    <hyperlink ref="A20" r:id="rId3" xr:uid="{84C5ED6A-9A44-7146-935B-1DA787323870}"/>
  </hyperlinks>
  <pageMargins left="0.7" right="0.7" top="0.75" bottom="0.75" header="0.3" footer="0.3"/>
  <ignoredErrors>
    <ignoredError sqref="D6" calculatedColumn="1"/>
  </ignoredErrors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C42B-A351-B24E-839F-0903D09314F6}">
  <dimension ref="A1:H22"/>
  <sheetViews>
    <sheetView workbookViewId="0">
      <selection activeCell="H1" sqref="H1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80312</v>
      </c>
      <c r="C2" s="1">
        <v>101141</v>
      </c>
      <c r="D2" s="16">
        <f t="shared" ref="D2:D6" si="0">(B2-C2)/C2</f>
        <v>-0.20594022206622439</v>
      </c>
      <c r="E2" s="1">
        <v>64313</v>
      </c>
      <c r="F2" s="1">
        <v>822768</v>
      </c>
      <c r="G2" s="1">
        <v>623865</v>
      </c>
      <c r="H2" s="1">
        <f>H9+H10</f>
        <v>12205379</v>
      </c>
    </row>
    <row r="3" spans="1:8" x14ac:dyDescent="0.2">
      <c r="A3" s="10" t="s">
        <v>13</v>
      </c>
      <c r="B3" s="1">
        <v>7832</v>
      </c>
      <c r="C3" s="1">
        <v>7007</v>
      </c>
      <c r="D3" s="16">
        <f t="shared" si="0"/>
        <v>0.11773940345368916</v>
      </c>
      <c r="E3" s="1">
        <v>21571</v>
      </c>
      <c r="F3" s="1">
        <v>99379</v>
      </c>
      <c r="G3" s="1">
        <v>290207</v>
      </c>
      <c r="H3" s="1">
        <f>H11+H12</f>
        <v>8847622</v>
      </c>
    </row>
    <row r="4" spans="1:8" x14ac:dyDescent="0.2">
      <c r="A4" s="10" t="s">
        <v>14</v>
      </c>
      <c r="B4" s="1">
        <v>757</v>
      </c>
      <c r="C4" s="1">
        <v>580</v>
      </c>
      <c r="D4" s="16">
        <f t="shared" si="0"/>
        <v>0.30517241379310345</v>
      </c>
      <c r="E4" s="1">
        <v>3890</v>
      </c>
      <c r="F4" s="1">
        <v>8393</v>
      </c>
      <c r="G4" s="1">
        <v>56051</v>
      </c>
      <c r="H4" s="1">
        <v>24504707</v>
      </c>
    </row>
    <row r="5" spans="1:8" x14ac:dyDescent="0.2">
      <c r="A5" s="8" t="s">
        <v>15</v>
      </c>
      <c r="B5" s="1">
        <v>41</v>
      </c>
      <c r="C5" s="1">
        <v>66</v>
      </c>
      <c r="D5" s="16">
        <f t="shared" si="0"/>
        <v>-0.37878787878787878</v>
      </c>
      <c r="E5" s="1">
        <v>68</v>
      </c>
      <c r="F5" s="1">
        <v>522</v>
      </c>
      <c r="G5" s="1">
        <v>1167</v>
      </c>
      <c r="H5" s="1">
        <v>111766</v>
      </c>
    </row>
    <row r="6" spans="1:8" x14ac:dyDescent="0.2">
      <c r="A6" s="31" t="s">
        <v>16</v>
      </c>
      <c r="B6" s="32">
        <f>SUM(B2:B5)</f>
        <v>88942</v>
      </c>
      <c r="C6" s="32">
        <f>SUM(C2:C5)</f>
        <v>108794</v>
      </c>
      <c r="D6" s="33">
        <f t="shared" si="0"/>
        <v>-0.18247329815982499</v>
      </c>
      <c r="E6" s="32">
        <f>SUM(E2:E5)+1475</f>
        <v>91317</v>
      </c>
      <c r="F6" s="32">
        <f>SUM(F2:F5)</f>
        <v>931062</v>
      </c>
      <c r="G6" s="32">
        <f>SUM(G2:G5)+13128</f>
        <v>984418</v>
      </c>
      <c r="H6" s="32">
        <f>SUM(H2:H5)</f>
        <v>45669474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4" t="s">
        <v>18</v>
      </c>
      <c r="B9" s="1">
        <v>63443</v>
      </c>
      <c r="C9" s="1">
        <v>21609</v>
      </c>
      <c r="D9" s="43">
        <f>(Table51555781014[[#This Row],[This Week]]-Table51555781014[[#This Row],[Last Week]])/Table51555781014[[#This Row],[Last Week]]</f>
        <v>1.935952612337452</v>
      </c>
      <c r="E9" s="1" t="s">
        <v>17</v>
      </c>
      <c r="F9" s="1">
        <v>309258</v>
      </c>
      <c r="G9" s="1" t="s">
        <v>17</v>
      </c>
      <c r="H9" s="1">
        <v>1354641</v>
      </c>
    </row>
    <row r="10" spans="1:8" x14ac:dyDescent="0.2">
      <c r="A10" s="42" t="s">
        <v>12</v>
      </c>
      <c r="B10" s="1">
        <v>16869</v>
      </c>
      <c r="C10" s="1">
        <v>79532</v>
      </c>
      <c r="D10" s="43">
        <f>(Table51555781014[[#This Row],[This Week]]-Table51555781014[[#This Row],[Last Week]])/Table51555781014[[#This Row],[Last Week]]</f>
        <v>-0.78789669566966758</v>
      </c>
      <c r="E10" s="1">
        <v>64313</v>
      </c>
      <c r="F10" s="1">
        <v>512690</v>
      </c>
      <c r="G10" s="1">
        <v>623865</v>
      </c>
      <c r="H10" s="1">
        <v>10850738</v>
      </c>
    </row>
    <row r="11" spans="1:8" x14ac:dyDescent="0.2">
      <c r="A11" s="42" t="s">
        <v>13</v>
      </c>
      <c r="B11" s="1">
        <v>4912</v>
      </c>
      <c r="C11" s="1">
        <v>4379</v>
      </c>
      <c r="D11" s="43">
        <f>(Table51555781014[[#This Row],[This Week]]-Table51555781014[[#This Row],[Last Week]])/Table51555781014[[#This Row],[Last Week]]</f>
        <v>0.12171728705183832</v>
      </c>
      <c r="E11" s="1">
        <v>13448</v>
      </c>
      <c r="F11" s="1">
        <v>53268</v>
      </c>
      <c r="G11" s="1">
        <v>183074</v>
      </c>
      <c r="H11" s="1">
        <v>7406541</v>
      </c>
    </row>
    <row r="12" spans="1:8" x14ac:dyDescent="0.2">
      <c r="A12" s="42" t="s">
        <v>21</v>
      </c>
      <c r="B12" s="1">
        <v>2920</v>
      </c>
      <c r="C12" s="1">
        <v>2628</v>
      </c>
      <c r="D12" s="43">
        <f>(Table51555781014[[#This Row],[This Week]]-Table51555781014[[#This Row],[Last Week]])/Table51555781014[[#This Row],[Last Week]]</f>
        <v>0.1111111111111111</v>
      </c>
      <c r="E12" s="1">
        <v>8123</v>
      </c>
      <c r="F12" s="1">
        <v>46111</v>
      </c>
      <c r="G12" s="1">
        <v>107133</v>
      </c>
      <c r="H12" s="1">
        <v>1441081</v>
      </c>
    </row>
    <row r="13" spans="1:8" x14ac:dyDescent="0.2">
      <c r="A13" s="42" t="s">
        <v>22</v>
      </c>
      <c r="B13" s="1">
        <v>712</v>
      </c>
      <c r="C13" s="1">
        <v>524</v>
      </c>
      <c r="D13" s="43">
        <f>(Table51555781014[[#This Row],[This Week]]-Table51555781014[[#This Row],[Last Week]])/Table51555781014[[#This Row],[Last Week]]</f>
        <v>0.35877862595419846</v>
      </c>
      <c r="E13" s="1">
        <v>2686</v>
      </c>
      <c r="F13" s="1">
        <v>7931</v>
      </c>
      <c r="G13" s="1">
        <v>43295</v>
      </c>
      <c r="H13" s="1">
        <v>1112344</v>
      </c>
    </row>
    <row r="14" spans="1:8" x14ac:dyDescent="0.2">
      <c r="A14" s="42" t="s">
        <v>23</v>
      </c>
      <c r="B14" s="1">
        <v>45</v>
      </c>
      <c r="C14" s="1">
        <v>56</v>
      </c>
      <c r="D14" s="43">
        <f>(Table51555781014[[#This Row],[This Week]]-Table51555781014[[#This Row],[Last Week]])/Table51555781014[[#This Row],[Last Week]]</f>
        <v>-0.19642857142857142</v>
      </c>
      <c r="E14" s="1">
        <v>1204</v>
      </c>
      <c r="F14" s="1">
        <v>462</v>
      </c>
      <c r="G14" s="1">
        <v>11665</v>
      </c>
      <c r="H14" s="1">
        <v>5886377</v>
      </c>
    </row>
    <row r="15" spans="1:8" x14ac:dyDescent="0.2">
      <c r="A15" s="42" t="s">
        <v>19</v>
      </c>
      <c r="B15" s="1">
        <v>22</v>
      </c>
      <c r="C15" s="1">
        <v>24</v>
      </c>
      <c r="D15" s="43">
        <f>(Table51555781014[[#This Row],[This Week]]-Table51555781014[[#This Row],[Last Week]])/Table51555781014[[#This Row],[Last Week]]</f>
        <v>-8.3333333333333329E-2</v>
      </c>
      <c r="E15" s="1">
        <v>49</v>
      </c>
      <c r="F15" s="1">
        <v>295</v>
      </c>
      <c r="G15" s="1">
        <v>937</v>
      </c>
      <c r="H15" s="1">
        <v>18937</v>
      </c>
    </row>
    <row r="16" spans="1:8" x14ac:dyDescent="0.2">
      <c r="A16" s="45" t="s">
        <v>20</v>
      </c>
      <c r="B16" s="1">
        <v>19</v>
      </c>
      <c r="C16" s="1">
        <v>42</v>
      </c>
      <c r="D16" s="43">
        <f>(Table51555781014[[#This Row],[This Week]]-Table51555781014[[#This Row],[Last Week]])/Table51555781014[[#This Row],[Last Week]]</f>
        <v>-0.54761904761904767</v>
      </c>
      <c r="E16" s="1">
        <v>19</v>
      </c>
      <c r="F16" s="1">
        <v>227</v>
      </c>
      <c r="G16" s="1">
        <v>230</v>
      </c>
      <c r="H16" s="1">
        <v>20829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9803EEC4-B2B5-0A4C-9D10-97B801D398D6}"/>
    <hyperlink ref="A22" r:id="rId2" xr:uid="{E94498B1-682B-6D4E-AD82-3BE258A15B6E}"/>
    <hyperlink ref="A20" r:id="rId3" xr:uid="{B01E7B03-4BF4-014A-9296-8F6AF20B2A8E}"/>
  </hyperlinks>
  <pageMargins left="0.7" right="0.7" top="0.75" bottom="0.75" header="0.3" footer="0.3"/>
  <ignoredErrors>
    <ignoredError sqref="D2:D6" calculatedColumn="1"/>
    <ignoredError sqref="G6" formula="1"/>
  </ignoredErrors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5386-67FE-5741-B481-8A3D9C16FB9B}">
  <dimension ref="A1:H22"/>
  <sheetViews>
    <sheetView workbookViewId="0">
      <selection activeCell="H1" sqref="H1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41490</v>
      </c>
      <c r="C2" s="1">
        <v>80312</v>
      </c>
      <c r="D2" s="43">
        <f>(Table554567915[[#This Row],[This Week]]-Table554567915[[#This Row],[Last Week]])/Table554567915[[#This Row],[Last Week]]</f>
        <v>-0.48338977985855164</v>
      </c>
      <c r="E2" s="1">
        <v>49139</v>
      </c>
      <c r="F2" s="1">
        <v>864258</v>
      </c>
      <c r="G2" s="1">
        <v>673004</v>
      </c>
      <c r="H2" s="1">
        <f>H9+H10</f>
        <v>12246689</v>
      </c>
    </row>
    <row r="3" spans="1:8" x14ac:dyDescent="0.2">
      <c r="A3" s="10" t="s">
        <v>13</v>
      </c>
      <c r="B3" s="1">
        <v>6215</v>
      </c>
      <c r="C3" s="1">
        <v>7832</v>
      </c>
      <c r="D3" s="43">
        <f>(Table554567915[[#This Row],[This Week]]-Table554567915[[#This Row],[Last Week]])/Table554567915[[#This Row],[Last Week]]</f>
        <v>-0.20646067415730338</v>
      </c>
      <c r="E3" s="1">
        <v>18372</v>
      </c>
      <c r="F3" s="1">
        <v>105594</v>
      </c>
      <c r="G3" s="1">
        <v>308579</v>
      </c>
      <c r="H3" s="1">
        <f>H11+H12</f>
        <v>8853837</v>
      </c>
    </row>
    <row r="4" spans="1:8" x14ac:dyDescent="0.2">
      <c r="A4" s="10" t="s">
        <v>14</v>
      </c>
      <c r="B4" s="1">
        <v>1025</v>
      </c>
      <c r="C4" s="1">
        <v>757</v>
      </c>
      <c r="D4" s="43">
        <f>(Table554567915[[#This Row],[This Week]]-Table554567915[[#This Row],[Last Week]])/Table554567915[[#This Row],[Last Week]]</f>
        <v>0.35402906208718626</v>
      </c>
      <c r="E4" s="1">
        <v>3555</v>
      </c>
      <c r="F4" s="1">
        <v>9418</v>
      </c>
      <c r="G4" s="1">
        <v>59606</v>
      </c>
      <c r="H4" s="1">
        <v>24505732</v>
      </c>
    </row>
    <row r="5" spans="1:8" x14ac:dyDescent="0.2">
      <c r="A5" s="8" t="s">
        <v>15</v>
      </c>
      <c r="B5" s="1">
        <v>42</v>
      </c>
      <c r="C5" s="1">
        <v>41</v>
      </c>
      <c r="D5" s="43">
        <f>(Table554567915[[#This Row],[This Week]]-Table554567915[[#This Row],[Last Week]])/Table554567915[[#This Row],[Last Week]]</f>
        <v>2.4390243902439025E-2</v>
      </c>
      <c r="E5" s="1">
        <v>55</v>
      </c>
      <c r="F5" s="1">
        <v>564</v>
      </c>
      <c r="G5" s="1">
        <v>1222</v>
      </c>
      <c r="H5" s="1">
        <v>111808</v>
      </c>
    </row>
    <row r="6" spans="1:8" x14ac:dyDescent="0.2">
      <c r="A6" s="31" t="s">
        <v>16</v>
      </c>
      <c r="B6" s="32">
        <f>SUM(B2:B5)</f>
        <v>48772</v>
      </c>
      <c r="C6" s="32">
        <f>SUM(C2:C5)</f>
        <v>88942</v>
      </c>
      <c r="D6" s="46">
        <f>(Table554567915[[#This Row],[This Week]]-Table554567915[[#This Row],[Last Week]])/Table554567915[[#This Row],[Last Week]]</f>
        <v>-0.45164264352049649</v>
      </c>
      <c r="E6" s="32">
        <f>SUM(E2:E5)+3554</f>
        <v>74675</v>
      </c>
      <c r="F6" s="32">
        <f>SUM(F2:F5)</f>
        <v>979834</v>
      </c>
      <c r="G6" s="32">
        <f>SUM(G2:G5)+16682</f>
        <v>1059093</v>
      </c>
      <c r="H6" s="32">
        <f>SUM(H2:H5)</f>
        <v>45718066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4" t="s">
        <v>18</v>
      </c>
      <c r="B9" s="1">
        <v>30640</v>
      </c>
      <c r="C9" s="1">
        <v>63443</v>
      </c>
      <c r="D9" s="43">
        <f>(Table51555781016[[#This Row],[This Week]]-Table51555781016[[#This Row],[Last Week]])/Table51555781016[[#This Row],[Last Week]]</f>
        <v>-0.51704679791308739</v>
      </c>
      <c r="F9" s="1">
        <v>339898</v>
      </c>
      <c r="G9" s="1" t="s">
        <v>17</v>
      </c>
      <c r="H9" s="1">
        <v>1385281</v>
      </c>
    </row>
    <row r="10" spans="1:8" x14ac:dyDescent="0.2">
      <c r="A10" s="42" t="s">
        <v>12</v>
      </c>
      <c r="B10" s="1">
        <v>10850</v>
      </c>
      <c r="C10" s="1">
        <v>16869</v>
      </c>
      <c r="D10" s="43">
        <f>(Table51555781016[[#This Row],[This Week]]-Table51555781016[[#This Row],[Last Week]])/Table51555781016[[#This Row],[Last Week]]</f>
        <v>-0.35680834667140909</v>
      </c>
      <c r="E10" s="1">
        <v>49139</v>
      </c>
      <c r="F10" s="1">
        <v>52336</v>
      </c>
      <c r="G10" s="1">
        <v>673004</v>
      </c>
      <c r="H10" s="1">
        <v>10861408</v>
      </c>
    </row>
    <row r="11" spans="1:8" x14ac:dyDescent="0.2">
      <c r="A11" s="42" t="s">
        <v>13</v>
      </c>
      <c r="B11" s="1">
        <v>3758</v>
      </c>
      <c r="C11" s="1">
        <v>4912</v>
      </c>
      <c r="D11" s="43">
        <f>(Table51555781016[[#This Row],[This Week]]-Table51555781016[[#This Row],[Last Week]])/Table51555781016[[#This Row],[Last Week]]</f>
        <v>-0.23493485342019543</v>
      </c>
      <c r="E11" s="1">
        <v>11267</v>
      </c>
      <c r="F11" s="1">
        <v>57026</v>
      </c>
      <c r="G11" s="1">
        <v>194341</v>
      </c>
      <c r="H11" s="1">
        <v>7410299</v>
      </c>
    </row>
    <row r="12" spans="1:8" x14ac:dyDescent="0.2">
      <c r="A12" s="45" t="s">
        <v>21</v>
      </c>
      <c r="B12" s="1">
        <v>2457</v>
      </c>
      <c r="C12" s="1">
        <v>2920</v>
      </c>
      <c r="D12" s="43">
        <f>(Table51555781016[[#This Row],[This Week]]-Table51555781016[[#This Row],[Last Week]])/Table51555781016[[#This Row],[Last Week]]</f>
        <v>-0.15856164383561644</v>
      </c>
      <c r="E12" s="1">
        <v>7105</v>
      </c>
      <c r="F12" s="1">
        <v>48568</v>
      </c>
      <c r="G12" s="1">
        <v>114238</v>
      </c>
      <c r="H12" s="1">
        <v>1443538</v>
      </c>
    </row>
    <row r="13" spans="1:8" x14ac:dyDescent="0.2">
      <c r="A13" s="42" t="s">
        <v>22</v>
      </c>
      <c r="B13" s="1">
        <v>979</v>
      </c>
      <c r="C13" s="1">
        <v>712</v>
      </c>
      <c r="D13" s="43">
        <f>(Table51555781016[[#This Row],[This Week]]-Table51555781016[[#This Row],[Last Week]])/Table51555781016[[#This Row],[Last Week]]</f>
        <v>0.375</v>
      </c>
      <c r="E13" s="1">
        <v>2527</v>
      </c>
      <c r="F13" s="1">
        <v>8910</v>
      </c>
      <c r="G13" s="1">
        <v>45822</v>
      </c>
      <c r="H13" s="1">
        <v>1113323</v>
      </c>
    </row>
    <row r="14" spans="1:8" x14ac:dyDescent="0.2">
      <c r="A14" s="42" t="s">
        <v>23</v>
      </c>
      <c r="B14" s="1">
        <v>46</v>
      </c>
      <c r="C14" s="1">
        <v>45</v>
      </c>
      <c r="D14" s="43">
        <f>(Table51555781016[[#This Row],[This Week]]-Table51555781016[[#This Row],[Last Week]])/Table51555781016[[#This Row],[Last Week]]</f>
        <v>2.2222222222222223E-2</v>
      </c>
      <c r="E14" s="1">
        <v>1028</v>
      </c>
      <c r="F14" s="1">
        <v>508</v>
      </c>
      <c r="G14" s="1">
        <v>12693</v>
      </c>
      <c r="H14" s="1">
        <v>5886423</v>
      </c>
    </row>
    <row r="15" spans="1:8" x14ac:dyDescent="0.2">
      <c r="A15" s="42" t="s">
        <v>19</v>
      </c>
      <c r="B15" s="1">
        <v>25</v>
      </c>
      <c r="C15" s="1">
        <v>22</v>
      </c>
      <c r="D15" s="43">
        <f>(Table51555781016[[#This Row],[This Week]]-Table51555781016[[#This Row],[Last Week]])/Table51555781016[[#This Row],[Last Week]]</f>
        <v>0.13636363636363635</v>
      </c>
      <c r="E15" s="1">
        <v>32</v>
      </c>
      <c r="F15" s="1">
        <v>320</v>
      </c>
      <c r="G15" s="1">
        <v>969</v>
      </c>
      <c r="H15" s="1">
        <v>18962</v>
      </c>
    </row>
    <row r="16" spans="1:8" x14ac:dyDescent="0.2">
      <c r="A16" s="42" t="s">
        <v>20</v>
      </c>
      <c r="B16" s="1">
        <v>17</v>
      </c>
      <c r="C16" s="1">
        <v>19</v>
      </c>
      <c r="D16" s="43">
        <f>(Table51555781016[[#This Row],[This Week]]-Table51555781016[[#This Row],[Last Week]])/Table51555781016[[#This Row],[Last Week]]</f>
        <v>-0.10526315789473684</v>
      </c>
      <c r="E16" s="1">
        <v>23</v>
      </c>
      <c r="F16" s="1">
        <v>244</v>
      </c>
      <c r="G16" s="1">
        <v>253</v>
      </c>
      <c r="H16" s="1">
        <v>20846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F6780A98-C5B6-584D-87E3-ED26D41E62F7}"/>
    <hyperlink ref="A22" r:id="rId2" xr:uid="{84379757-3AA5-484C-B3D3-4C8763524DBB}"/>
    <hyperlink ref="A20" r:id="rId3" xr:uid="{9D1A2618-D5FA-E040-85E5-48ACF2FECB36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5916-9CB8-6048-BEBB-0DD78B3E0B02}">
  <dimension ref="A1:H22"/>
  <sheetViews>
    <sheetView workbookViewId="0">
      <selection activeCell="H1" sqref="H1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53098</v>
      </c>
      <c r="C2" s="1">
        <v>41490</v>
      </c>
      <c r="D2" s="43">
        <f>(Table55456791564[[#This Row],[This Week]]-Table55456791564[[#This Row],[Last Week]])/Table55456791564[[#This Row],[Last Week]]</f>
        <v>0.27977825982164378</v>
      </c>
      <c r="E2" s="1">
        <v>66453</v>
      </c>
      <c r="F2" s="1">
        <v>917356</v>
      </c>
      <c r="G2" s="1">
        <v>739457</v>
      </c>
      <c r="H2" s="1">
        <f>H9+H10</f>
        <v>12300787</v>
      </c>
    </row>
    <row r="3" spans="1:8" x14ac:dyDescent="0.2">
      <c r="A3" s="10" t="s">
        <v>13</v>
      </c>
      <c r="B3" s="1">
        <v>9583</v>
      </c>
      <c r="C3" s="1">
        <v>6215</v>
      </c>
      <c r="D3" s="43">
        <f>(Table55456791564[[#This Row],[This Week]]-Table55456791564[[#This Row],[Last Week]])/Table55456791564[[#This Row],[Last Week]]</f>
        <v>0.54191472244569594</v>
      </c>
      <c r="E3" s="1">
        <v>22402</v>
      </c>
      <c r="F3" s="1">
        <v>115177</v>
      </c>
      <c r="G3" s="1">
        <v>330981</v>
      </c>
      <c r="H3" s="1">
        <f>H11+H12</f>
        <v>8863420</v>
      </c>
    </row>
    <row r="4" spans="1:8" x14ac:dyDescent="0.2">
      <c r="A4" s="10" t="s">
        <v>14</v>
      </c>
      <c r="B4" s="1">
        <v>1131</v>
      </c>
      <c r="C4" s="1">
        <v>1025</v>
      </c>
      <c r="D4" s="43">
        <f>(Table55456791564[[#This Row],[This Week]]-Table55456791564[[#This Row],[Last Week]])/Table55456791564[[#This Row],[Last Week]]</f>
        <v>0.10341463414634146</v>
      </c>
      <c r="E4" s="1">
        <v>6084</v>
      </c>
      <c r="F4" s="1">
        <v>10549</v>
      </c>
      <c r="G4" s="1">
        <v>65690</v>
      </c>
      <c r="H4" s="1">
        <v>24506863</v>
      </c>
    </row>
    <row r="5" spans="1:8" x14ac:dyDescent="0.2">
      <c r="A5" s="8" t="s">
        <v>15</v>
      </c>
      <c r="B5" s="1">
        <v>72</v>
      </c>
      <c r="C5" s="1">
        <v>42</v>
      </c>
      <c r="D5" s="43">
        <f>(Table55456791564[[#This Row],[This Week]]-Table55456791564[[#This Row],[Last Week]])/Table55456791564[[#This Row],[Last Week]]</f>
        <v>0.7142857142857143</v>
      </c>
      <c r="E5" s="1">
        <v>99</v>
      </c>
      <c r="F5" s="1">
        <v>636</v>
      </c>
      <c r="G5" s="1">
        <v>1321</v>
      </c>
      <c r="H5" s="1">
        <v>111880</v>
      </c>
    </row>
    <row r="6" spans="1:8" x14ac:dyDescent="0.2">
      <c r="A6" s="31" t="s">
        <v>16</v>
      </c>
      <c r="B6" s="32">
        <f>SUM(B2:B5)</f>
        <v>63884</v>
      </c>
      <c r="C6" s="32">
        <f>SUM(C2:C5)</f>
        <v>48772</v>
      </c>
      <c r="D6" s="46">
        <f>(Table55456791564[[#This Row],[This Week]]-Table55456791564[[#This Row],[Last Week]])/Table55456791564[[#This Row],[Last Week]]</f>
        <v>0.30984991388501598</v>
      </c>
      <c r="E6" s="32">
        <f>SUM(E2:E5)+4733</f>
        <v>99771</v>
      </c>
      <c r="F6" s="32">
        <f>SUM(F2:F5)</f>
        <v>1043718</v>
      </c>
      <c r="G6" s="32">
        <f>SUM(G2:G5)+21415</f>
        <v>1158864</v>
      </c>
      <c r="H6" s="32">
        <f>SUM(H2:H5)</f>
        <v>45782950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4" t="s">
        <v>18</v>
      </c>
      <c r="B9" s="1">
        <v>37784</v>
      </c>
      <c r="C9" s="1">
        <v>30640</v>
      </c>
      <c r="D9" s="43">
        <f>(Table5155578101665[[#This Row],[This Week]]-Table5155578101665[[#This Row],[Last Week]])/Table5155578101665[[#This Row],[Last Week]]</f>
        <v>0.23315926892950392</v>
      </c>
      <c r="E9" s="1" t="s">
        <v>17</v>
      </c>
      <c r="F9" s="1">
        <v>377682</v>
      </c>
      <c r="G9" s="1" t="s">
        <v>17</v>
      </c>
      <c r="H9" s="1">
        <v>1424065</v>
      </c>
    </row>
    <row r="10" spans="1:8" x14ac:dyDescent="0.2">
      <c r="A10" s="42" t="s">
        <v>12</v>
      </c>
      <c r="B10" s="1">
        <v>15314</v>
      </c>
      <c r="C10" s="1">
        <v>10850</v>
      </c>
      <c r="D10" s="43">
        <f>(Table5155578101665[[#This Row],[This Week]]-Table5155578101665[[#This Row],[Last Week]])/Table5155578101665[[#This Row],[Last Week]]</f>
        <v>0.41142857142857142</v>
      </c>
      <c r="E10" s="1">
        <v>66453</v>
      </c>
      <c r="F10" s="1">
        <v>538674</v>
      </c>
      <c r="G10" s="1">
        <v>739457</v>
      </c>
      <c r="H10" s="1">
        <v>10876722</v>
      </c>
    </row>
    <row r="11" spans="1:8" x14ac:dyDescent="0.2">
      <c r="A11" s="53" t="s">
        <v>13</v>
      </c>
      <c r="B11" s="1">
        <v>5946</v>
      </c>
      <c r="C11" s="1">
        <v>3758</v>
      </c>
      <c r="D11" s="43">
        <f>(Table5155578101665[[#This Row],[This Week]]-Table5155578101665[[#This Row],[Last Week]])/Table5155578101665[[#This Row],[Last Week]]</f>
        <v>0.58222458754656736</v>
      </c>
      <c r="E11" s="1">
        <v>14468</v>
      </c>
      <c r="F11" s="1">
        <v>62972</v>
      </c>
      <c r="G11" s="1">
        <v>208809</v>
      </c>
      <c r="H11" s="1">
        <v>7416245</v>
      </c>
    </row>
    <row r="12" spans="1:8" x14ac:dyDescent="0.2">
      <c r="A12" t="s">
        <v>21</v>
      </c>
      <c r="B12" s="1">
        <v>3637</v>
      </c>
      <c r="C12" s="1">
        <v>2457</v>
      </c>
      <c r="D12" s="43">
        <f>(Table5155578101665[[#This Row],[This Week]]-Table5155578101665[[#This Row],[Last Week]])/Table5155578101665[[#This Row],[Last Week]]</f>
        <v>0.48026048026048024</v>
      </c>
      <c r="E12" s="1">
        <v>7934</v>
      </c>
      <c r="F12" s="1">
        <v>52205</v>
      </c>
      <c r="G12" s="1">
        <v>122172</v>
      </c>
      <c r="H12" s="1">
        <v>1447175</v>
      </c>
    </row>
    <row r="13" spans="1:8" x14ac:dyDescent="0.2">
      <c r="A13" s="38" t="s">
        <v>22</v>
      </c>
      <c r="B13" s="1">
        <v>1064</v>
      </c>
      <c r="C13" s="1">
        <v>979</v>
      </c>
      <c r="D13" s="43">
        <f>(Table5155578101665[[#This Row],[This Week]]-Table5155578101665[[#This Row],[Last Week]])/Table5155578101665[[#This Row],[Last Week]]</f>
        <v>8.6823289070480078E-2</v>
      </c>
      <c r="E13" s="1">
        <v>4897</v>
      </c>
      <c r="F13" s="1">
        <v>9974</v>
      </c>
      <c r="G13" s="1">
        <v>50719</v>
      </c>
      <c r="H13" s="1">
        <v>1114387</v>
      </c>
    </row>
    <row r="14" spans="1:8" x14ac:dyDescent="0.2">
      <c r="A14" s="38" t="s">
        <v>23</v>
      </c>
      <c r="B14" s="1">
        <v>67</v>
      </c>
      <c r="C14" s="1">
        <v>46</v>
      </c>
      <c r="D14" s="43">
        <f>(Table5155578101665[[#This Row],[This Week]]-Table5155578101665[[#This Row],[Last Week]])/Table5155578101665[[#This Row],[Last Week]]</f>
        <v>0.45652173913043476</v>
      </c>
      <c r="E14" s="1">
        <v>1187</v>
      </c>
      <c r="F14" s="1">
        <v>575</v>
      </c>
      <c r="G14" s="1">
        <v>13880</v>
      </c>
      <c r="H14" s="1">
        <v>5886490</v>
      </c>
    </row>
    <row r="15" spans="1:8" x14ac:dyDescent="0.2">
      <c r="A15" s="42" t="s">
        <v>19</v>
      </c>
      <c r="B15" s="1">
        <v>37</v>
      </c>
      <c r="C15" s="1">
        <v>25</v>
      </c>
      <c r="D15" s="43">
        <f>(Table5155578101665[[#This Row],[This Week]]-Table5155578101665[[#This Row],[Last Week]])/Table5155578101665[[#This Row],[Last Week]]</f>
        <v>0.48</v>
      </c>
      <c r="E15" s="1">
        <v>86</v>
      </c>
      <c r="F15" s="1">
        <v>357</v>
      </c>
      <c r="G15" s="1">
        <v>1055</v>
      </c>
      <c r="H15" s="1">
        <v>18999</v>
      </c>
    </row>
    <row r="16" spans="1:8" x14ac:dyDescent="0.2">
      <c r="A16" s="53" t="s">
        <v>20</v>
      </c>
      <c r="B16" s="1">
        <v>35</v>
      </c>
      <c r="C16" s="1">
        <v>17</v>
      </c>
      <c r="D16" s="43">
        <f>(Table5155578101665[[#This Row],[This Week]]-Table5155578101665[[#This Row],[Last Week]])/Table5155578101665[[#This Row],[Last Week]]</f>
        <v>1.0588235294117647</v>
      </c>
      <c r="E16" s="1">
        <v>13</v>
      </c>
      <c r="F16" s="1">
        <v>279</v>
      </c>
      <c r="G16" s="1">
        <v>266</v>
      </c>
      <c r="H16" s="1">
        <v>20881</v>
      </c>
    </row>
    <row r="18" spans="1:6" x14ac:dyDescent="0.2">
      <c r="A18" s="14" t="s">
        <v>25</v>
      </c>
      <c r="F18" s="1">
        <f>F6-'Week 5 Jan 27 - Feb 2 2020'!F18</f>
        <v>310212</v>
      </c>
    </row>
    <row r="19" spans="1:6" x14ac:dyDescent="0.2">
      <c r="A19" t="s">
        <v>4</v>
      </c>
    </row>
    <row r="20" spans="1:6" x14ac:dyDescent="0.2">
      <c r="A20" s="4" t="s">
        <v>5</v>
      </c>
    </row>
    <row r="21" spans="1:6" x14ac:dyDescent="0.2">
      <c r="A21" s="4" t="s">
        <v>3</v>
      </c>
    </row>
    <row r="22" spans="1:6" x14ac:dyDescent="0.2">
      <c r="A22" s="4" t="s">
        <v>6</v>
      </c>
    </row>
  </sheetData>
  <hyperlinks>
    <hyperlink ref="A21" r:id="rId1" xr:uid="{9EAC02BD-F90B-204F-969E-A4012CC21E7E}"/>
    <hyperlink ref="A22" r:id="rId2" xr:uid="{B6F21275-1DCB-2142-9B67-BF6BB471A428}"/>
    <hyperlink ref="A20" r:id="rId3" xr:uid="{3BF51E41-FF1A-604D-BC8F-B41BF80DA91D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Week 1 Dec 30 - Jan 5 2020</vt:lpstr>
      <vt:lpstr>Week 2 Jan 6 - Jan 12 2020</vt:lpstr>
      <vt:lpstr>Week 3 Jan 13 - Jan 19 2020</vt:lpstr>
      <vt:lpstr>Week 4 Jan 20 - Jan 26 2020</vt:lpstr>
      <vt:lpstr>Week 5 Jan 27 - Feb 2 2020</vt:lpstr>
      <vt:lpstr>Week 6 Feb 3 - Feb 9 2020</vt:lpstr>
      <vt:lpstr>Week 7 Feb 10 - Feb 16 2020</vt:lpstr>
      <vt:lpstr>Week 8 Feb 17 - Feb 23 2020</vt:lpstr>
      <vt:lpstr>Week 9 Feb 24 - Mar 1 2020</vt:lpstr>
      <vt:lpstr>Week 10 Mar 2 - Mar 8 2020</vt:lpstr>
      <vt:lpstr>Week 11 Mar 9 - Mar 15 2020</vt:lpstr>
      <vt:lpstr>Week 12 Mar 16 - Mar 22 2020</vt:lpstr>
      <vt:lpstr>Week 13 Mar 23 - Mar 29 2020</vt:lpstr>
      <vt:lpstr>Week 14 Mar 30 - Apr 5 2020</vt:lpstr>
      <vt:lpstr>Week 15 Apr 6 - Apr 12 2020</vt:lpstr>
      <vt:lpstr>Week 16 Apr 13 - Apr 19 2020</vt:lpstr>
      <vt:lpstr>Week 17 Apr 20 - Apr 26 2020</vt:lpstr>
      <vt:lpstr>Week 18 Apr 27 - May 3 2020</vt:lpstr>
      <vt:lpstr>Week 19 May 4 - May 10 2020</vt:lpstr>
      <vt:lpstr>Week 20 May 11 - May 17 2020</vt:lpstr>
      <vt:lpstr>Week 21 May 18 - May 24 2020</vt:lpstr>
      <vt:lpstr>Week 22 May 25 - May 31 2020</vt:lpstr>
      <vt:lpstr>Week 23 June 1 - June 7 2020</vt:lpstr>
      <vt:lpstr>Week 24 June 8 - June 14 2020</vt:lpstr>
      <vt:lpstr>Week 25 June 15 - June 21 2020</vt:lpstr>
      <vt:lpstr>Week 26 June 22 - June 28 2020</vt:lpstr>
      <vt:lpstr>Week 27 June 29 - July 5 2020</vt:lpstr>
      <vt:lpstr>Week 28 July 6 - July 12 2020</vt:lpstr>
      <vt:lpstr>Week 29 July 13 - July 19 2020</vt:lpstr>
      <vt:lpstr>Week 30 July 20 - July 26 2020</vt:lpstr>
      <vt:lpstr>Week 31 July 27 - Aug 2 2020</vt:lpstr>
      <vt:lpstr>Week 32 Aug 3 - Aug 9 2020</vt:lpstr>
      <vt:lpstr>Week 33 Aug 10 - Aug 16 2020</vt:lpstr>
      <vt:lpstr>Week 34 Aug 17 - Aug 23 2020</vt:lpstr>
      <vt:lpstr>Week 35 Aug 24 - Aug 30 2020</vt:lpstr>
      <vt:lpstr>Week 36 Aug 31 - Sept 6 2020</vt:lpstr>
      <vt:lpstr>Week 37 Sept 7 - Sept 13 2020</vt:lpstr>
      <vt:lpstr>Week 38 Sept 14 - Sept 20 2020</vt:lpstr>
      <vt:lpstr>Week 39 Sept 21 - Sept 27 2020</vt:lpstr>
      <vt:lpstr>Week 40 Sept 28 - Oct 4 2020</vt:lpstr>
      <vt:lpstr>Week 41 Oct 5 - Oct 11 2020</vt:lpstr>
      <vt:lpstr>Week 42 Oct 12 - Oct 18 2020</vt:lpstr>
      <vt:lpstr>Week 43 Oct 19 - Oct 25 2020</vt:lpstr>
      <vt:lpstr>Week 44 Oct 26 - Nov 1 2020</vt:lpstr>
      <vt:lpstr>Week 45 Nov 2 - Nov 8 2020</vt:lpstr>
      <vt:lpstr>Week 46 Nov 9 - Nov 15 2020</vt:lpstr>
      <vt:lpstr>Week 47 Nov 16 - Nov 22 2020</vt:lpstr>
      <vt:lpstr>Week 48 Nov 23 - Nov 29 2020</vt:lpstr>
      <vt:lpstr>Week 49 Nov 30 - Dec 6 2020</vt:lpstr>
      <vt:lpstr>Week 50 Dec 7 - Dec 13 2020</vt:lpstr>
      <vt:lpstr>Week 51 Dec 14 - Dec 20 2020</vt:lpstr>
      <vt:lpstr>Week 52 Dec 21 - Dec 27 2020</vt:lpstr>
      <vt:lpstr>Week 53 Dec 28 - Jan 3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2020-09-18T16:43:36Z</dcterms:created>
  <dcterms:modified xsi:type="dcterms:W3CDTF">2020-12-30T18:45:15Z</dcterms:modified>
</cp:coreProperties>
</file>