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b58604a81575e6/Escritorio/"/>
    </mc:Choice>
  </mc:AlternateContent>
  <xr:revisionPtr revIDLastSave="2" documentId="8_{CE5E1330-03F1-456D-80DA-F3558E516FA4}" xr6:coauthVersionLast="47" xr6:coauthVersionMax="47" xr10:uidLastSave="{25DD6B82-4031-4262-8E89-D6D79E9097FD}"/>
  <bookViews>
    <workbookView xWindow="28680" yWindow="-120" windowWidth="29040" windowHeight="15720" activeTab="7" xr2:uid="{BC8FFB6B-A664-4368-83D4-2BD114A04C6F}"/>
  </bookViews>
  <sheets>
    <sheet name="Actividad 1" sheetId="1" r:id="rId1"/>
    <sheet name="Actividad 2" sheetId="2" r:id="rId2"/>
    <sheet name="Actividad 3" sheetId="5" r:id="rId3"/>
    <sheet name="Actividad 4" sheetId="6" r:id="rId4"/>
    <sheet name="Actividad 5" sheetId="7" r:id="rId5"/>
    <sheet name="Actividad 6" sheetId="3" r:id="rId6"/>
    <sheet name="Actividad_2" sheetId="4" r:id="rId7"/>
    <sheet name="Actividad 2_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3" i="8" l="1"/>
  <c r="Y13" i="8"/>
  <c r="Z16" i="4"/>
  <c r="Z6" i="4"/>
  <c r="Z5" i="4"/>
  <c r="AC14" i="4"/>
  <c r="Z14" i="4"/>
  <c r="Y15" i="8" l="1"/>
  <c r="H35" i="5"/>
  <c r="C23" i="4"/>
  <c r="C24" i="4"/>
  <c r="C25" i="4"/>
  <c r="C26" i="4"/>
  <c r="C28" i="4"/>
  <c r="C22" i="4"/>
  <c r="G40" i="3" l="1"/>
  <c r="E20" i="8"/>
  <c r="E19" i="8"/>
  <c r="E18" i="8"/>
  <c r="E17" i="8"/>
  <c r="E16" i="8"/>
  <c r="E15" i="8"/>
  <c r="E14" i="8"/>
  <c r="F14" i="8" s="1"/>
  <c r="O27" i="8"/>
  <c r="O18" i="8"/>
  <c r="C14" i="8"/>
  <c r="D14" i="8" s="1"/>
  <c r="O10" i="8"/>
  <c r="O6" i="8"/>
  <c r="O5" i="8"/>
  <c r="R22" i="8"/>
  <c r="R14" i="8"/>
  <c r="Q17" i="3"/>
  <c r="C22" i="3"/>
  <c r="C34" i="3"/>
  <c r="C38" i="7"/>
  <c r="C7" i="7"/>
  <c r="B8" i="7" s="1"/>
  <c r="C8" i="7" s="1"/>
  <c r="B9" i="7" s="1"/>
  <c r="C9" i="7" s="1"/>
  <c r="B10" i="7" s="1"/>
  <c r="C10" i="7" s="1"/>
  <c r="B11" i="7" s="1"/>
  <c r="C11" i="7" s="1"/>
  <c r="B12" i="7" s="1"/>
  <c r="C12" i="7" s="1"/>
  <c r="E13" i="7"/>
  <c r="C28" i="7" s="1"/>
  <c r="F7" i="7"/>
  <c r="F8" i="7" s="1"/>
  <c r="F9" i="7" s="1"/>
  <c r="F10" i="7" s="1"/>
  <c r="F11" i="7" s="1"/>
  <c r="F12" i="7" s="1"/>
  <c r="H22" i="6"/>
  <c r="C12" i="6"/>
  <c r="H19" i="6" s="1"/>
  <c r="E11" i="6"/>
  <c r="E10" i="6"/>
  <c r="E9" i="6"/>
  <c r="E8" i="6"/>
  <c r="E7" i="6"/>
  <c r="E6" i="6"/>
  <c r="D6" i="6"/>
  <c r="D7" i="6" s="1"/>
  <c r="D8" i="6" s="1"/>
  <c r="D9" i="6" s="1"/>
  <c r="D10" i="6" s="1"/>
  <c r="D11" i="6" s="1"/>
  <c r="D6" i="5"/>
  <c r="D7" i="5" s="1"/>
  <c r="D8" i="5" s="1"/>
  <c r="D9" i="5" s="1"/>
  <c r="D10" i="5" s="1"/>
  <c r="D11" i="5" s="1"/>
  <c r="D12" i="5" s="1"/>
  <c r="E6" i="5"/>
  <c r="E7" i="5"/>
  <c r="E8" i="5"/>
  <c r="E9" i="5"/>
  <c r="E10" i="5"/>
  <c r="E11" i="5"/>
  <c r="E12" i="5"/>
  <c r="C13" i="5"/>
  <c r="H19" i="5" s="1"/>
  <c r="O7" i="8" l="1"/>
  <c r="O14" i="8" s="1"/>
  <c r="H24" i="7"/>
  <c r="H28" i="7" s="1"/>
  <c r="H19" i="7"/>
  <c r="H23" i="7" s="1"/>
  <c r="C23" i="7"/>
  <c r="D7" i="7"/>
  <c r="G7" i="7" s="1"/>
  <c r="H18" i="6"/>
  <c r="E12" i="6"/>
  <c r="C17" i="6" s="1"/>
  <c r="E13" i="5"/>
  <c r="C18" i="5" s="1"/>
  <c r="F6" i="5" s="1"/>
  <c r="H20" i="5"/>
  <c r="F11" i="6" l="1"/>
  <c r="F6" i="6"/>
  <c r="F7" i="6"/>
  <c r="F10" i="6"/>
  <c r="F8" i="6"/>
  <c r="F9" i="6"/>
  <c r="O21" i="8"/>
  <c r="O24" i="8" s="1"/>
  <c r="B15" i="8"/>
  <c r="C15" i="8" s="1"/>
  <c r="D15" i="8" s="1"/>
  <c r="H29" i="7"/>
  <c r="D8" i="7"/>
  <c r="H6" i="5"/>
  <c r="I6" i="5" s="1"/>
  <c r="G6" i="5"/>
  <c r="F7" i="5"/>
  <c r="F12" i="5"/>
  <c r="F11" i="5"/>
  <c r="F10" i="5"/>
  <c r="F9" i="5"/>
  <c r="F8" i="5"/>
  <c r="H7" i="6" l="1"/>
  <c r="I7" i="6" s="1"/>
  <c r="G7" i="6"/>
  <c r="H9" i="6"/>
  <c r="I9" i="6" s="1"/>
  <c r="G9" i="6"/>
  <c r="H8" i="6"/>
  <c r="I8" i="6" s="1"/>
  <c r="G8" i="6"/>
  <c r="H10" i="6"/>
  <c r="I10" i="6" s="1"/>
  <c r="G10" i="6"/>
  <c r="G6" i="6"/>
  <c r="H6" i="6"/>
  <c r="I6" i="6" s="1"/>
  <c r="H11" i="6"/>
  <c r="I11" i="6" s="1"/>
  <c r="G11" i="6"/>
  <c r="B16" i="8"/>
  <c r="C16" i="8" s="1"/>
  <c r="D9" i="7"/>
  <c r="G8" i="7"/>
  <c r="G10" i="5"/>
  <c r="H10" i="5"/>
  <c r="I10" i="5" s="1"/>
  <c r="G8" i="5"/>
  <c r="H8" i="5"/>
  <c r="I8" i="5" s="1"/>
  <c r="H9" i="5"/>
  <c r="I9" i="5" s="1"/>
  <c r="G9" i="5"/>
  <c r="G11" i="5"/>
  <c r="H11" i="5"/>
  <c r="I11" i="5" s="1"/>
  <c r="G12" i="5"/>
  <c r="H12" i="5"/>
  <c r="I12" i="5" s="1"/>
  <c r="G7" i="5"/>
  <c r="H7" i="5"/>
  <c r="I7" i="5" s="1"/>
  <c r="G12" i="6" l="1"/>
  <c r="H26" i="6" s="1"/>
  <c r="I12" i="6"/>
  <c r="H30" i="6" s="1"/>
  <c r="H34" i="6" s="1"/>
  <c r="B17" i="8"/>
  <c r="C17" i="8" s="1"/>
  <c r="D16" i="8"/>
  <c r="G9" i="7"/>
  <c r="D10" i="7"/>
  <c r="G13" i="5"/>
  <c r="H27" i="5" s="1"/>
  <c r="I13" i="5"/>
  <c r="B18" i="8" l="1"/>
  <c r="D17" i="8"/>
  <c r="D11" i="7"/>
  <c r="D12" i="7"/>
  <c r="G10" i="7"/>
  <c r="H31" i="5"/>
  <c r="C18" i="8" l="1"/>
  <c r="B19" i="8" s="1"/>
  <c r="C19" i="8" s="1"/>
  <c r="G12" i="7"/>
  <c r="G11" i="7"/>
  <c r="D18" i="8" l="1"/>
  <c r="B20" i="8"/>
  <c r="C20" i="8" s="1"/>
  <c r="D19" i="8"/>
  <c r="G13" i="7"/>
  <c r="C18" i="7" s="1"/>
  <c r="D20" i="8" l="1"/>
  <c r="H7" i="7"/>
  <c r="H8" i="7"/>
  <c r="H9" i="7"/>
  <c r="H10" i="7"/>
  <c r="H11" i="7"/>
  <c r="H12" i="7"/>
  <c r="I8" i="7" l="1"/>
  <c r="J8" i="7"/>
  <c r="K8" i="7" s="1"/>
  <c r="I7" i="7"/>
  <c r="J7" i="7"/>
  <c r="K7" i="7" s="1"/>
  <c r="J9" i="7"/>
  <c r="K9" i="7" s="1"/>
  <c r="I9" i="7"/>
  <c r="I11" i="7"/>
  <c r="J11" i="7"/>
  <c r="K11" i="7" s="1"/>
  <c r="I12" i="7"/>
  <c r="J12" i="7"/>
  <c r="K12" i="7" s="1"/>
  <c r="I10" i="7"/>
  <c r="J10" i="7"/>
  <c r="K10" i="7" s="1"/>
  <c r="S23" i="4"/>
  <c r="S15" i="4"/>
  <c r="F12" i="4"/>
  <c r="G12" i="4" s="1"/>
  <c r="D18" i="4"/>
  <c r="D17" i="4"/>
  <c r="D16" i="4"/>
  <c r="D15" i="4"/>
  <c r="D14" i="4"/>
  <c r="D13" i="4"/>
  <c r="E13" i="4" s="1"/>
  <c r="E14" i="4" s="1"/>
  <c r="E15" i="4" s="1"/>
  <c r="E16" i="4" s="1"/>
  <c r="E17" i="4" s="1"/>
  <c r="E18" i="4" s="1"/>
  <c r="D12" i="4"/>
  <c r="D19" i="4" s="1"/>
  <c r="C13" i="4"/>
  <c r="F13" i="4" s="1"/>
  <c r="C14" i="4"/>
  <c r="F14" i="4" s="1"/>
  <c r="C15" i="4"/>
  <c r="F15" i="4" s="1"/>
  <c r="C16" i="4"/>
  <c r="F16" i="4" s="1"/>
  <c r="C17" i="4"/>
  <c r="F17" i="4" s="1"/>
  <c r="C18" i="4"/>
  <c r="F18" i="4" s="1"/>
  <c r="C12" i="4"/>
  <c r="P11" i="4"/>
  <c r="P28" i="4"/>
  <c r="P7" i="4"/>
  <c r="P6" i="4"/>
  <c r="P8" i="4" s="1"/>
  <c r="P19" i="4"/>
  <c r="K40" i="3"/>
  <c r="C37" i="3" s="1"/>
  <c r="C35" i="3"/>
  <c r="F30" i="3"/>
  <c r="C30" i="3"/>
  <c r="C26" i="3"/>
  <c r="G16" i="4" l="1"/>
  <c r="G17" i="4"/>
  <c r="G15" i="4"/>
  <c r="G18" i="4"/>
  <c r="G14" i="4"/>
  <c r="P15" i="4"/>
  <c r="P22" i="4"/>
  <c r="P25" i="4"/>
  <c r="G13" i="4"/>
  <c r="G19" i="4"/>
  <c r="S6" i="4" s="1"/>
  <c r="H16" i="4" s="1"/>
  <c r="S9" i="4"/>
  <c r="I13" i="7"/>
  <c r="H34" i="7" s="1"/>
  <c r="K13" i="7"/>
  <c r="H38" i="7" s="1"/>
  <c r="H42" i="7" s="1"/>
  <c r="E6" i="3"/>
  <c r="E7" i="3" s="1"/>
  <c r="E8" i="3" s="1"/>
  <c r="E9" i="3" s="1"/>
  <c r="E10" i="3" s="1"/>
  <c r="E11" i="3" s="1"/>
  <c r="E12" i="3" s="1"/>
  <c r="F12" i="3"/>
  <c r="F11" i="3"/>
  <c r="F10" i="3"/>
  <c r="F9" i="3"/>
  <c r="F8" i="3"/>
  <c r="F7" i="3"/>
  <c r="F6" i="3"/>
  <c r="F5" i="3"/>
  <c r="P11" i="2"/>
  <c r="F31" i="2"/>
  <c r="I31" i="2" s="1"/>
  <c r="C31" i="2"/>
  <c r="C35" i="1"/>
  <c r="C37" i="1" s="1"/>
  <c r="E35" i="1"/>
  <c r="C31" i="1"/>
  <c r="C27" i="2"/>
  <c r="C15" i="2"/>
  <c r="Q8" i="2" s="1"/>
  <c r="C19" i="1"/>
  <c r="M13" i="1" s="1"/>
  <c r="Q9" i="2" l="1"/>
  <c r="R9" i="2" s="1"/>
  <c r="Q7" i="2"/>
  <c r="R7" i="2" s="1"/>
  <c r="G8" i="3"/>
  <c r="G11" i="3"/>
  <c r="G6" i="3"/>
  <c r="G10" i="3"/>
  <c r="G12" i="3"/>
  <c r="G7" i="3"/>
  <c r="G9" i="3"/>
  <c r="G5" i="3"/>
  <c r="M10" i="1"/>
  <c r="I16" i="4"/>
  <c r="J16" i="4"/>
  <c r="K16" i="4" s="1"/>
  <c r="H18" i="4"/>
  <c r="H15" i="4"/>
  <c r="H17" i="4"/>
  <c r="H13" i="4"/>
  <c r="H12" i="4"/>
  <c r="H14" i="4"/>
  <c r="R8" i="2"/>
  <c r="S8" i="2"/>
  <c r="Q6" i="2"/>
  <c r="S9" i="2"/>
  <c r="Q5" i="2"/>
  <c r="R5" i="2" s="1"/>
  <c r="Q10" i="2"/>
  <c r="N13" i="1"/>
  <c r="O13" i="1"/>
  <c r="M11" i="1"/>
  <c r="M12" i="1"/>
  <c r="G13" i="3" l="1"/>
  <c r="C18" i="3" s="1"/>
  <c r="S7" i="2"/>
  <c r="H12" i="3"/>
  <c r="H11" i="3"/>
  <c r="H8" i="3"/>
  <c r="H7" i="3"/>
  <c r="H9" i="3"/>
  <c r="H5" i="3"/>
  <c r="H6" i="3"/>
  <c r="H10" i="3"/>
  <c r="I17" i="4"/>
  <c r="J17" i="4"/>
  <c r="K17" i="4" s="1"/>
  <c r="J14" i="4"/>
  <c r="K14" i="4" s="1"/>
  <c r="I14" i="4"/>
  <c r="I13" i="4"/>
  <c r="J13" i="4"/>
  <c r="K13" i="4" s="1"/>
  <c r="I18" i="4"/>
  <c r="J18" i="4"/>
  <c r="K18" i="4" s="1"/>
  <c r="J12" i="4"/>
  <c r="K12" i="4" s="1"/>
  <c r="I12" i="4"/>
  <c r="I15" i="4"/>
  <c r="J15" i="4"/>
  <c r="K15" i="4" s="1"/>
  <c r="S10" i="2"/>
  <c r="R10" i="2"/>
  <c r="S5" i="2"/>
  <c r="R6" i="2"/>
  <c r="S6" i="2"/>
  <c r="N12" i="1"/>
  <c r="O12" i="1"/>
  <c r="N11" i="1"/>
  <c r="O11" i="1"/>
  <c r="N10" i="1"/>
  <c r="N14" i="1" s="1"/>
  <c r="O10" i="1"/>
  <c r="O14" i="1" s="1"/>
  <c r="J7" i="3" l="1"/>
  <c r="K7" i="3" s="1"/>
  <c r="I7" i="3"/>
  <c r="J6" i="3"/>
  <c r="K6" i="3" s="1"/>
  <c r="I6" i="3"/>
  <c r="I9" i="3"/>
  <c r="J9" i="3"/>
  <c r="K9" i="3" s="1"/>
  <c r="J8" i="3"/>
  <c r="K8" i="3" s="1"/>
  <c r="I8" i="3"/>
  <c r="J11" i="3"/>
  <c r="K11" i="3" s="1"/>
  <c r="I11" i="3"/>
  <c r="I10" i="3"/>
  <c r="J10" i="3"/>
  <c r="K10" i="3" s="1"/>
  <c r="J5" i="3"/>
  <c r="K5" i="3" s="1"/>
  <c r="I5" i="3"/>
  <c r="J12" i="3"/>
  <c r="K12" i="3" s="1"/>
  <c r="I12" i="3"/>
  <c r="B45" i="1"/>
  <c r="B49" i="1" s="1"/>
  <c r="I19" i="4"/>
  <c r="T26" i="4" s="1"/>
  <c r="V15" i="4" s="1"/>
  <c r="K19" i="4"/>
  <c r="V6" i="4" s="1"/>
  <c r="V9" i="4" s="1"/>
  <c r="V12" i="4" s="1"/>
  <c r="R11" i="2"/>
  <c r="C35" i="2" s="1"/>
  <c r="S11" i="2"/>
  <c r="C39" i="2" s="1"/>
  <c r="C43" i="2" s="1"/>
  <c r="G14" i="8"/>
  <c r="G15" i="8"/>
  <c r="F15" i="8"/>
  <c r="G17" i="8"/>
  <c r="I13" i="3" l="1"/>
  <c r="J18" i="3" s="1"/>
  <c r="K13" i="3"/>
  <c r="J22" i="3" s="1"/>
  <c r="J26" i="3" s="1"/>
  <c r="G18" i="8"/>
  <c r="G20" i="8"/>
  <c r="G19" i="8" l="1"/>
  <c r="G16" i="8"/>
  <c r="F16" i="8"/>
  <c r="F17" i="8" s="1"/>
  <c r="F18" i="8" s="1"/>
  <c r="F19" i="8" s="1"/>
  <c r="F20" i="8" s="1"/>
  <c r="E21" i="8"/>
  <c r="R8" i="8" l="1"/>
  <c r="Y5" i="8"/>
  <c r="Y4" i="8"/>
  <c r="G21" i="8"/>
  <c r="R5" i="8" s="1"/>
  <c r="H14" i="8" l="1"/>
  <c r="H15" i="8"/>
  <c r="H16" i="8"/>
  <c r="H17" i="8"/>
  <c r="H19" i="8"/>
  <c r="H18" i="8"/>
  <c r="H20" i="8"/>
  <c r="J17" i="8" l="1"/>
  <c r="K17" i="8" s="1"/>
  <c r="I17" i="8"/>
  <c r="J20" i="8"/>
  <c r="K20" i="8" s="1"/>
  <c r="I20" i="8"/>
  <c r="J18" i="8"/>
  <c r="I18" i="8"/>
  <c r="J16" i="8"/>
  <c r="K16" i="8" s="1"/>
  <c r="I16" i="8"/>
  <c r="J14" i="8"/>
  <c r="K14" i="8" s="1"/>
  <c r="I14" i="8"/>
  <c r="J19" i="8"/>
  <c r="K19" i="8" s="1"/>
  <c r="I19" i="8"/>
  <c r="J15" i="8"/>
  <c r="K15" i="8" s="1"/>
  <c r="I15" i="8"/>
  <c r="I21" i="8" l="1"/>
  <c r="S25" i="8" s="1"/>
  <c r="U14" i="8" s="1"/>
  <c r="K18" i="8"/>
  <c r="K21" i="8" s="1"/>
  <c r="U5" i="8" s="1"/>
  <c r="U8" i="8" s="1"/>
  <c r="U11" i="8" s="1"/>
</calcChain>
</file>

<file path=xl/sharedStrings.xml><?xml version="1.0" encoding="utf-8"?>
<sst xmlns="http://schemas.openxmlformats.org/spreadsheetml/2006/main" count="406" uniqueCount="163">
  <si>
    <t>1. Considere los cinco valores siguientes como los datos de una muestra: 8, 3, 7, 3 y 4</t>
  </si>
  <si>
    <t>ACTIVIDADES</t>
  </si>
  <si>
    <t>a) Determine la media aritmética e interprete</t>
  </si>
  <si>
    <t>b) Calcule la mediana e interprete</t>
  </si>
  <si>
    <t>c) Calcule la moda e interprete</t>
  </si>
  <si>
    <t>d) Encuentre el rango e interprete</t>
  </si>
  <si>
    <t>e) Encuentre el rango intercuartilico</t>
  </si>
  <si>
    <t>f) Encuentre la desviación media</t>
  </si>
  <si>
    <r>
      <rPr>
        <sz val="14"/>
        <color theme="1"/>
        <rFont val="MS Reference Sans Serif"/>
        <family val="2"/>
      </rPr>
      <t></t>
    </r>
    <r>
      <rPr>
        <sz val="14"/>
        <color theme="1"/>
        <rFont val="Arial Narrow"/>
        <family val="2"/>
      </rPr>
      <t>=</t>
    </r>
  </si>
  <si>
    <t>Me=</t>
  </si>
  <si>
    <t>Mo=</t>
  </si>
  <si>
    <t>Rango=</t>
  </si>
  <si>
    <t>Q1=</t>
  </si>
  <si>
    <t>Q3=</t>
  </si>
  <si>
    <t>RIQ=</t>
  </si>
  <si>
    <t>i</t>
  </si>
  <si>
    <t>fi</t>
  </si>
  <si>
    <t>s=</t>
  </si>
  <si>
    <t xml:space="preserve">g) Encuentre el valor de la varianza </t>
  </si>
  <si>
    <t>h) Encuentre el valor de la desviación estándar e interprete</t>
  </si>
  <si>
    <t>=</t>
  </si>
  <si>
    <t>2. Considere el siguiente conjunto de datos, referentes a las edades en meses a las que un grupo de niños de una guardería aprendió a caminar:</t>
  </si>
  <si>
    <t>g) Encuentre el valor de la varianza</t>
  </si>
  <si>
    <t>6. Una muestra del valor pagado por permanecer el auto en un estacionamiento público el día sábado, se presenta en las siguiente distribución de frecuencias.</t>
  </si>
  <si>
    <t>Frecuencia</t>
  </si>
  <si>
    <t xml:space="preserve">n= </t>
  </si>
  <si>
    <t>Cantidad Pagada</t>
  </si>
  <si>
    <t>1. El siguiente conjunto de datos hace referencia al número de computadoras que se encuentran dañadas en un laboratorio.</t>
  </si>
  <si>
    <t>Xi</t>
  </si>
  <si>
    <t xml:space="preserve">fi </t>
  </si>
  <si>
    <t>Xm</t>
  </si>
  <si>
    <t>Xmfi</t>
  </si>
  <si>
    <t>Mediana</t>
  </si>
  <si>
    <t>F. acumulada</t>
  </si>
  <si>
    <t>Li</t>
  </si>
  <si>
    <t>Fi-1</t>
  </si>
  <si>
    <t xml:space="preserve">Posición= </t>
  </si>
  <si>
    <t>Li=</t>
  </si>
  <si>
    <t>n/2=</t>
  </si>
  <si>
    <t>Fi-1=</t>
  </si>
  <si>
    <t>fi=</t>
  </si>
  <si>
    <t>Ai=</t>
  </si>
  <si>
    <t>Moda</t>
  </si>
  <si>
    <t>fi-1</t>
  </si>
  <si>
    <t>fi+1</t>
  </si>
  <si>
    <t>fi-1=</t>
  </si>
  <si>
    <t>fi+1=</t>
  </si>
  <si>
    <t>ti=</t>
  </si>
  <si>
    <t>1. Rango</t>
  </si>
  <si>
    <t>2.Rango</t>
  </si>
  <si>
    <t>Posicion</t>
  </si>
  <si>
    <t>Posicion Q1=</t>
  </si>
  <si>
    <t>Posicion Q3=</t>
  </si>
  <si>
    <t>Q1</t>
  </si>
  <si>
    <t>kn/4=</t>
  </si>
  <si>
    <t>FA-1=</t>
  </si>
  <si>
    <t>fa=</t>
  </si>
  <si>
    <t>i=</t>
  </si>
  <si>
    <t>Q2</t>
  </si>
  <si>
    <t>Rango</t>
  </si>
  <si>
    <t>Xmax</t>
  </si>
  <si>
    <t>Xmin</t>
  </si>
  <si>
    <t xml:space="preserve">R= </t>
  </si>
  <si>
    <t># de Intervalos</t>
  </si>
  <si>
    <t>K=</t>
  </si>
  <si>
    <t>Amplitud</t>
  </si>
  <si>
    <t>Rango Nuevo</t>
  </si>
  <si>
    <t>Rn=</t>
  </si>
  <si>
    <t>Diferencia</t>
  </si>
  <si>
    <t>d=</t>
  </si>
  <si>
    <t>Limite Inferior</t>
  </si>
  <si>
    <t>Nº Total</t>
  </si>
  <si>
    <t>Num=</t>
  </si>
  <si>
    <t>f</t>
  </si>
  <si>
    <t>XmFi</t>
  </si>
  <si>
    <t>Fa</t>
  </si>
  <si>
    <t>Media Arimetica</t>
  </si>
  <si>
    <t>Varianza</t>
  </si>
  <si>
    <t>Desviación Estándar</t>
  </si>
  <si>
    <t>Posicion=</t>
  </si>
  <si>
    <t xml:space="preserve">C. Variación </t>
  </si>
  <si>
    <t>CV=</t>
  </si>
  <si>
    <t>%</t>
  </si>
  <si>
    <t>A=</t>
  </si>
  <si>
    <t>f=</t>
  </si>
  <si>
    <t>C.Variación de DM</t>
  </si>
  <si>
    <t>CVM=</t>
  </si>
  <si>
    <t>M=</t>
  </si>
  <si>
    <t>Desviacion Absoluta de la media</t>
  </si>
  <si>
    <t>3. Los resultados referentes a la cantidad de tiempo que se invierte diariamente en redes sociales de un grupo de amas de casa se resume en la siguiente tabla de frecuencias:</t>
  </si>
  <si>
    <t>Horas(x)</t>
  </si>
  <si>
    <t>FA</t>
  </si>
  <si>
    <t>PQ1</t>
  </si>
  <si>
    <t>PQ3</t>
  </si>
  <si>
    <t>RIQ</t>
  </si>
  <si>
    <t>Q3</t>
  </si>
  <si>
    <t>FiXi</t>
  </si>
  <si>
    <t>4. En la siguiente tabla se presenta los datos con respecto a la cantidad de atrasos durante una semana que presentan un grupo de empleados de Corporaciones La Favorita S. A. en Cuenca.</t>
  </si>
  <si>
    <t>fi*Xi</t>
  </si>
  <si>
    <t xml:space="preserve">5. A cada persona que se presenta como aspirante de un trabajo de ensamble en la empresa de fabricación de muebles Colineal, </t>
  </si>
  <si>
    <t xml:space="preserve">se le aplica un examen de aptitudes mecánicas. Una parte de la prueba consiste en ensamblar un armario basándose en instrucciones numeradas.  </t>
  </si>
  <si>
    <t>En la siguiente distribución de frecuencias se tiene una muestra de los tiempos que necesitaron 42 aspirantes para ensamblar el armario.</t>
  </si>
  <si>
    <t>Ls</t>
  </si>
  <si>
    <t>li</t>
  </si>
  <si>
    <t>Me</t>
  </si>
  <si>
    <t>Fa-1</t>
  </si>
  <si>
    <t>Posicion Q1</t>
  </si>
  <si>
    <t>Posicion Q3</t>
  </si>
  <si>
    <t>Rango Intercurtilico</t>
  </si>
  <si>
    <t>fi*Xm</t>
  </si>
  <si>
    <t>Mo</t>
  </si>
  <si>
    <t xml:space="preserve">2. El siguiente conjunto de datos corresponde a la edad a la que un grupo de personas aprendió a programar. </t>
  </si>
  <si>
    <t>Computadoras</t>
  </si>
  <si>
    <t xml:space="preserve">F </t>
  </si>
  <si>
    <t>2,5 - 3,5</t>
  </si>
  <si>
    <t>3,5 - 4,5</t>
  </si>
  <si>
    <t>4,5 - 5,5</t>
  </si>
  <si>
    <t>5,5 - 6,5</t>
  </si>
  <si>
    <t>6,5 - 7,5</t>
  </si>
  <si>
    <t>7,5 - 8,5</t>
  </si>
  <si>
    <t>8,5 - 9,5</t>
  </si>
  <si>
    <t>Edad</t>
  </si>
  <si>
    <t>[52 - 59)</t>
  </si>
  <si>
    <t>[45 - 52)</t>
  </si>
  <si>
    <t>[38 - 45)</t>
  </si>
  <si>
    <t>[31 - 38)</t>
  </si>
  <si>
    <t>[24 - 31)</t>
  </si>
  <si>
    <t>[17 - 24)</t>
  </si>
  <si>
    <t>[10 - 17)</t>
  </si>
  <si>
    <t>Media Aritmetica</t>
  </si>
  <si>
    <t>El promedio que nos presenta este grupo de datos es de 5.</t>
  </si>
  <si>
    <t>El valor que se encuentra a la mitad es 4.</t>
  </si>
  <si>
    <t xml:space="preserve">El valor que más se repite en este conjunto de datos es 3. </t>
  </si>
  <si>
    <t xml:space="preserve">Desviación Estandar </t>
  </si>
  <si>
    <t>La diferencia entre los datos es de 5</t>
  </si>
  <si>
    <t>La desviacion estandar existente de los datos es de 2,12</t>
  </si>
  <si>
    <t>El promedio que nos presenta este grupo de datos es de 11</t>
  </si>
  <si>
    <t>El valor que se encuentra a la mitad es 12.</t>
  </si>
  <si>
    <t xml:space="preserve">El valor que más se repite en este conjunto de datos es 12. </t>
  </si>
  <si>
    <t>La diferencia entre los datos es de 6.</t>
  </si>
  <si>
    <t>La desviacion estandar existente de los datos es de 1,84.</t>
  </si>
  <si>
    <t>El promedio que nos presenta este grupo de datos es de 2,79.</t>
  </si>
  <si>
    <t>El valor que se encuentra a la mitad es 3.</t>
  </si>
  <si>
    <t>La desviacion estandar existente de los datos es de 0,8.</t>
  </si>
  <si>
    <t>El promedio que nos presenta este grupo de datos es de 2,39.</t>
  </si>
  <si>
    <t>La desviacion estandar existente de los datos es de 1,38.</t>
  </si>
  <si>
    <t>El promedio que nos presenta este grupo de datos es de 7,429.</t>
  </si>
  <si>
    <t>El valor que representa la mediana en este conjunto de datos es 7,286.</t>
  </si>
  <si>
    <t xml:space="preserve">El valor modal presente en este conjunto de datos es 7,091. </t>
  </si>
  <si>
    <t>La amplitud entre los datos es de 12.</t>
  </si>
  <si>
    <t>La amplitud entre los datos es de 5.</t>
  </si>
  <si>
    <t>Interpretación</t>
  </si>
  <si>
    <t>El promedio que nos presenta este grupo de datos es de 1,42.</t>
  </si>
  <si>
    <t>El valor que representa la mediana en este conjunto de datos es 1,39.</t>
  </si>
  <si>
    <t>El valor modal presente en este conjunto de datos es 1,37.</t>
  </si>
  <si>
    <t>La rango en su segunda forma es de 2.</t>
  </si>
  <si>
    <t>El rango en su primera forma es de 1,75</t>
  </si>
  <si>
    <t>La desviacion estandar existente de los datos es de 0,36.</t>
  </si>
  <si>
    <t>Nombre=</t>
  </si>
  <si>
    <t>Curso=</t>
  </si>
  <si>
    <t>Fecha=</t>
  </si>
  <si>
    <t>Alexis Siavichay</t>
  </si>
  <si>
    <t>M4A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</si>
</sst>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MS Reference Sans Serif"/>
      <family val="2"/>
    </font>
    <font>
      <b/>
      <sz val="11"/>
      <color rgb="FF3F3F3F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3F3F3F"/>
      <name val="Arial Narrow"/>
      <family val="2"/>
    </font>
    <font>
      <b/>
      <sz val="11"/>
      <color theme="1"/>
      <name val="Arial Narrow"/>
      <family val="2"/>
    </font>
    <font>
      <b/>
      <sz val="14"/>
      <color rgb="FF3F3F3F"/>
      <name val="Arial Narrow"/>
      <family val="2"/>
    </font>
    <font>
      <sz val="14"/>
      <color rgb="FF3F3F3F"/>
      <name val="Arial Narrow"/>
      <family val="2"/>
    </font>
    <font>
      <sz val="14"/>
      <color rgb="FF3F3F3F"/>
      <name val="MS Reference Sans Serif"/>
      <family val="2"/>
    </font>
    <font>
      <b/>
      <i/>
      <sz val="14"/>
      <color rgb="FF3F3F3F"/>
      <name val="Arial Narrow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3F3F3F"/>
      <name val="Bahnschrift SemiLight SemiConde"/>
      <family val="2"/>
    </font>
    <font>
      <b/>
      <i/>
      <sz val="14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/>
    <xf numFmtId="0" fontId="6" fillId="2" borderId="1" xfId="1" applyFont="1"/>
    <xf numFmtId="0" fontId="7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/>
    <xf numFmtId="0" fontId="0" fillId="0" borderId="0" xfId="0"/>
    <xf numFmtId="0" fontId="9" fillId="2" borderId="1" xfId="1" applyFont="1" applyAlignment="1">
      <alignment horizontal="center"/>
    </xf>
    <xf numFmtId="0" fontId="9" fillId="2" borderId="1" xfId="1" applyFont="1"/>
    <xf numFmtId="0" fontId="2" fillId="0" borderId="0" xfId="0" applyFont="1"/>
    <xf numFmtId="0" fontId="10" fillId="2" borderId="1" xfId="1" applyFont="1" applyAlignment="1">
      <alignment horizontal="center"/>
    </xf>
    <xf numFmtId="0" fontId="9" fillId="2" borderId="1" xfId="1" applyFont="1" applyAlignment="1">
      <alignment horizontal="center"/>
    </xf>
    <xf numFmtId="0" fontId="8" fillId="2" borderId="1" xfId="1" applyFont="1" applyAlignment="1">
      <alignment horizontal="center"/>
    </xf>
    <xf numFmtId="0" fontId="8" fillId="2" borderId="1" xfId="1" applyFont="1"/>
    <xf numFmtId="0" fontId="9" fillId="3" borderId="1" xfId="1" applyFont="1" applyFill="1" applyAlignment="1">
      <alignment horizontal="center"/>
    </xf>
    <xf numFmtId="0" fontId="11" fillId="2" borderId="1" xfId="1" applyFont="1"/>
    <xf numFmtId="0" fontId="11" fillId="2" borderId="1" xfId="1" applyFont="1" applyAlignment="1">
      <alignment horizontal="center"/>
    </xf>
    <xf numFmtId="0" fontId="9" fillId="4" borderId="1" xfId="1" applyFont="1" applyFill="1" applyAlignment="1">
      <alignment horizontal="center"/>
    </xf>
    <xf numFmtId="0" fontId="12" fillId="0" borderId="0" xfId="0" applyFont="1"/>
    <xf numFmtId="0" fontId="1" fillId="0" borderId="0" xfId="0" applyFont="1" applyAlignment="1"/>
    <xf numFmtId="0" fontId="9" fillId="2" borderId="1" xfId="1" quotePrefix="1" applyFont="1" applyAlignment="1">
      <alignment horizontal="center"/>
    </xf>
    <xf numFmtId="0" fontId="9" fillId="5" borderId="1" xfId="1" applyFont="1" applyFill="1" applyAlignment="1">
      <alignment horizontal="center"/>
    </xf>
    <xf numFmtId="0" fontId="9" fillId="5" borderId="1" xfId="1" quotePrefix="1" applyFont="1" applyFill="1" applyAlignment="1">
      <alignment horizontal="center"/>
    </xf>
    <xf numFmtId="0" fontId="9" fillId="3" borderId="1" xfId="1" quotePrefix="1" applyFont="1" applyFill="1" applyAlignment="1">
      <alignment horizontal="center"/>
    </xf>
    <xf numFmtId="0" fontId="9" fillId="2" borderId="1" xfId="1" applyFont="1" applyAlignment="1">
      <alignment vertical="center"/>
    </xf>
    <xf numFmtId="0" fontId="9" fillId="4" borderId="1" xfId="1" quotePrefix="1" applyFont="1" applyFill="1" applyAlignment="1">
      <alignment horizontal="center"/>
    </xf>
    <xf numFmtId="0" fontId="9" fillId="6" borderId="1" xfId="1" applyFont="1" applyFill="1" applyAlignment="1">
      <alignment horizontal="center"/>
    </xf>
    <xf numFmtId="0" fontId="8" fillId="8" borderId="1" xfId="1" applyFont="1" applyFill="1" applyAlignment="1">
      <alignment horizontal="center"/>
    </xf>
    <xf numFmtId="0" fontId="9" fillId="9" borderId="1" xfId="1" applyFont="1" applyFill="1" applyAlignment="1">
      <alignment horizontal="center"/>
    </xf>
    <xf numFmtId="20" fontId="9" fillId="2" borderId="1" xfId="1" applyNumberFormat="1" applyFont="1" applyAlignment="1">
      <alignment horizontal="center"/>
    </xf>
    <xf numFmtId="0" fontId="9" fillId="7" borderId="2" xfId="1" applyFont="1" applyFill="1" applyBorder="1" applyAlignment="1"/>
    <xf numFmtId="0" fontId="9" fillId="7" borderId="4" xfId="1" applyFont="1" applyFill="1" applyBorder="1" applyAlignment="1"/>
    <xf numFmtId="0" fontId="9" fillId="7" borderId="3" xfId="1" applyFont="1" applyFill="1" applyBorder="1" applyAlignment="1"/>
    <xf numFmtId="0" fontId="9" fillId="7" borderId="1" xfId="1" applyFont="1" applyFill="1" applyAlignment="1">
      <alignment horizontal="left"/>
    </xf>
    <xf numFmtId="0" fontId="9" fillId="7" borderId="1" xfId="1" applyFont="1" applyFill="1" applyAlignment="1">
      <alignment horizontal="left"/>
    </xf>
    <xf numFmtId="0" fontId="14" fillId="2" borderId="1" xfId="1" applyFont="1" applyAlignment="1">
      <alignment horizontal="center"/>
    </xf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2" borderId="2" xfId="1" applyFont="1" applyBorder="1" applyAlignment="1">
      <alignment horizontal="center"/>
    </xf>
    <xf numFmtId="0" fontId="14" fillId="2" borderId="3" xfId="1" applyFont="1" applyBorder="1" applyAlignment="1">
      <alignment horizontal="center"/>
    </xf>
    <xf numFmtId="14" fontId="14" fillId="2" borderId="2" xfId="1" applyNumberFormat="1" applyFont="1" applyBorder="1" applyAlignment="1">
      <alignment horizontal="center"/>
    </xf>
    <xf numFmtId="14" fontId="14" fillId="2" borderId="3" xfId="1" applyNumberFormat="1" applyFont="1" applyBorder="1" applyAlignment="1">
      <alignment horizontal="center"/>
    </xf>
    <xf numFmtId="0" fontId="8" fillId="10" borderId="2" xfId="1" applyFont="1" applyFill="1" applyBorder="1" applyAlignment="1">
      <alignment horizontal="center"/>
    </xf>
    <xf numFmtId="0" fontId="8" fillId="10" borderId="4" xfId="1" applyFont="1" applyFill="1" applyBorder="1" applyAlignment="1">
      <alignment horizontal="center"/>
    </xf>
    <xf numFmtId="0" fontId="8" fillId="10" borderId="3" xfId="1" applyFont="1" applyFill="1" applyBorder="1" applyAlignment="1">
      <alignment horizontal="center"/>
    </xf>
    <xf numFmtId="0" fontId="8" fillId="7" borderId="2" xfId="1" applyFont="1" applyFill="1" applyBorder="1" applyAlignment="1">
      <alignment horizontal="center"/>
    </xf>
    <xf numFmtId="0" fontId="8" fillId="7" borderId="4" xfId="1" applyFont="1" applyFill="1" applyBorder="1" applyAlignment="1">
      <alignment horizontal="center"/>
    </xf>
    <xf numFmtId="0" fontId="8" fillId="7" borderId="3" xfId="1" applyFont="1" applyFill="1" applyBorder="1" applyAlignment="1">
      <alignment horizontal="center"/>
    </xf>
    <xf numFmtId="0" fontId="9" fillId="7" borderId="2" xfId="1" applyFont="1" applyFill="1" applyBorder="1" applyAlignment="1">
      <alignment horizontal="left"/>
    </xf>
    <xf numFmtId="0" fontId="9" fillId="7" borderId="4" xfId="1" applyFont="1" applyFill="1" applyBorder="1" applyAlignment="1">
      <alignment horizontal="left"/>
    </xf>
    <xf numFmtId="0" fontId="9" fillId="7" borderId="3" xfId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9" fillId="7" borderId="1" xfId="1" applyFont="1" applyFill="1" applyAlignment="1">
      <alignment horizontal="left"/>
    </xf>
    <xf numFmtId="0" fontId="15" fillId="0" borderId="0" xfId="0" applyFont="1" applyAlignment="1">
      <alignment horizontal="left"/>
    </xf>
    <xf numFmtId="0" fontId="8" fillId="7" borderId="1" xfId="1" applyFont="1" applyFill="1" applyAlignment="1">
      <alignment horizontal="center"/>
    </xf>
    <xf numFmtId="0" fontId="8" fillId="2" borderId="2" xfId="1" applyFont="1" applyBorder="1" applyAlignment="1">
      <alignment horizontal="center"/>
    </xf>
    <xf numFmtId="0" fontId="8" fillId="2" borderId="3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2" borderId="1" xfId="1" applyFont="1" applyAlignment="1">
      <alignment horizontal="center"/>
    </xf>
    <xf numFmtId="0" fontId="9" fillId="2" borderId="1" xfId="1" applyFont="1" applyAlignment="1">
      <alignment horizontal="center"/>
    </xf>
    <xf numFmtId="0" fontId="8" fillId="2" borderId="4" xfId="1" applyFont="1" applyBorder="1" applyAlignment="1">
      <alignment horizontal="center"/>
    </xf>
    <xf numFmtId="0" fontId="8" fillId="2" borderId="1" xfId="1" applyFont="1" applyAlignment="1">
      <alignment horizontal="center"/>
    </xf>
    <xf numFmtId="0" fontId="6" fillId="2" borderId="1" xfId="1" applyFont="1" applyAlignment="1">
      <alignment horizontal="right"/>
    </xf>
    <xf numFmtId="0" fontId="0" fillId="0" borderId="0" xfId="0"/>
    <xf numFmtId="0" fontId="1" fillId="0" borderId="0" xfId="0" applyFont="1" applyAlignment="1">
      <alignment horizontal="left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Poligono</a:t>
            </a:r>
            <a:r>
              <a:rPr lang="es-EC" baseline="0"/>
              <a:t> de 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6.1262930368997992E-2"/>
          <c:y val="0.16735473620408736"/>
          <c:w val="0.90584649404592932"/>
          <c:h val="0.72797176759498028"/>
        </c:manualLayout>
      </c:layout>
      <c:barChart>
        <c:barDir val="col"/>
        <c:grouping val="clustered"/>
        <c:varyColors val="0"/>
        <c:ser>
          <c:idx val="0"/>
          <c:order val="1"/>
          <c:tx>
            <c:v>Histograma de Frecuencias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Actividad_2!$B$22:$B$28</c:f>
              <c:strCache>
                <c:ptCount val="7"/>
                <c:pt idx="0">
                  <c:v>2,5 - 3,5</c:v>
                </c:pt>
                <c:pt idx="1">
                  <c:v>3,5 - 4,5</c:v>
                </c:pt>
                <c:pt idx="2">
                  <c:v>4,5 - 5,5</c:v>
                </c:pt>
                <c:pt idx="3">
                  <c:v>5,5 - 6,5</c:v>
                </c:pt>
                <c:pt idx="4">
                  <c:v>6,5 - 7,5</c:v>
                </c:pt>
                <c:pt idx="5">
                  <c:v>7,5 - 8,5</c:v>
                </c:pt>
                <c:pt idx="6">
                  <c:v>8,5 - 9,5</c:v>
                </c:pt>
              </c:strCache>
            </c:strRef>
          </c:cat>
          <c:val>
            <c:numRef>
              <c:f>Actividad_2!$C$22:$C$28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6-41D8-98EF-7D6F43C45E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581263935"/>
        <c:axId val="1581268927"/>
      </c:barChart>
      <c:lineChart>
        <c:grouping val="standard"/>
        <c:varyColors val="0"/>
        <c:ser>
          <c:idx val="1"/>
          <c:order val="0"/>
          <c:tx>
            <c:v>"Histograma de Frecuencias"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Actividad_2!$B$22:$B$28</c:f>
              <c:strCache>
                <c:ptCount val="7"/>
                <c:pt idx="0">
                  <c:v>2,5 - 3,5</c:v>
                </c:pt>
                <c:pt idx="1">
                  <c:v>3,5 - 4,5</c:v>
                </c:pt>
                <c:pt idx="2">
                  <c:v>4,5 - 5,5</c:v>
                </c:pt>
                <c:pt idx="3">
                  <c:v>5,5 - 6,5</c:v>
                </c:pt>
                <c:pt idx="4">
                  <c:v>6,5 - 7,5</c:v>
                </c:pt>
                <c:pt idx="5">
                  <c:v>7,5 - 8,5</c:v>
                </c:pt>
                <c:pt idx="6">
                  <c:v>8,5 - 9,5</c:v>
                </c:pt>
              </c:strCache>
            </c:strRef>
          </c:cat>
          <c:val>
            <c:numRef>
              <c:f>Actividad_2!$C$22:$C$28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6-41D8-98EF-7D6F43C45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263935"/>
        <c:axId val="1581268927"/>
      </c:lineChart>
      <c:catAx>
        <c:axId val="15812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C"/>
          </a:p>
        </c:txPr>
        <c:crossAx val="1581268927"/>
        <c:crosses val="autoZero"/>
        <c:auto val="1"/>
        <c:lblAlgn val="ctr"/>
        <c:lblOffset val="100"/>
        <c:noMultiLvlLbl val="0"/>
      </c:catAx>
      <c:valAx>
        <c:axId val="15812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C"/>
          </a:p>
        </c:txPr>
        <c:crossAx val="158126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1" u="none" strike="noStrike" kern="1200" cap="all" spc="100" normalizeH="0" baseline="0">
                <a:solidFill>
                  <a:schemeClr val="lt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i="1">
                <a:latin typeface="Arial Narrow" panose="020B0606020202030204" pitchFamily="34" charset="0"/>
              </a:rPr>
              <a:t>OjivA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1" u="none" strike="noStrike" kern="1200" cap="all" spc="100" normalizeH="0" baseline="0">
              <a:solidFill>
                <a:schemeClr val="lt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171296296296298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Ojivs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'Actividad 2_1'!$B$25:$B$31</c:f>
              <c:strCache>
                <c:ptCount val="7"/>
                <c:pt idx="0">
                  <c:v>[10 - 17)</c:v>
                </c:pt>
                <c:pt idx="1">
                  <c:v>[17 - 24)</c:v>
                </c:pt>
                <c:pt idx="2">
                  <c:v>[24 - 31)</c:v>
                </c:pt>
                <c:pt idx="3">
                  <c:v>[31 - 38)</c:v>
                </c:pt>
                <c:pt idx="4">
                  <c:v>[38 - 45)</c:v>
                </c:pt>
                <c:pt idx="5">
                  <c:v>[45 - 52)</c:v>
                </c:pt>
                <c:pt idx="6">
                  <c:v>[52 - 59)</c:v>
                </c:pt>
              </c:strCache>
            </c:strRef>
          </c:cat>
          <c:val>
            <c:numRef>
              <c:f>'Actividad 2_1'!$C$25:$C$31</c:f>
              <c:numCache>
                <c:formatCode>General</c:formatCode>
                <c:ptCount val="7"/>
                <c:pt idx="0">
                  <c:v>5</c:v>
                </c:pt>
                <c:pt idx="1">
                  <c:v>33</c:v>
                </c:pt>
                <c:pt idx="2">
                  <c:v>44</c:v>
                </c:pt>
                <c:pt idx="3">
                  <c:v>50</c:v>
                </c:pt>
                <c:pt idx="4">
                  <c:v>55</c:v>
                </c:pt>
                <c:pt idx="5">
                  <c:v>63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1-4649-ADF5-B7541365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74231359"/>
        <c:axId val="1274232607"/>
      </c:lineChart>
      <c:catAx>
        <c:axId val="12742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100" baseline="0">
                <a:solidFill>
                  <a:schemeClr val="lt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C"/>
          </a:p>
        </c:txPr>
        <c:crossAx val="1274232607"/>
        <c:crosses val="autoZero"/>
        <c:auto val="1"/>
        <c:lblAlgn val="ctr"/>
        <c:lblOffset val="100"/>
        <c:noMultiLvlLbl val="0"/>
      </c:catAx>
      <c:valAx>
        <c:axId val="1274232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C"/>
          </a:p>
        </c:txPr>
        <c:crossAx val="127423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1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196454</xdr:colOff>
      <xdr:row>8</xdr:row>
      <xdr:rowOff>5954</xdr:rowOff>
    </xdr:from>
    <xdr:to>
      <xdr:col>12</xdr:col>
      <xdr:colOff>619126</xdr:colOff>
      <xdr:row>9</xdr:row>
      <xdr:rowOff>1853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7988CA-2BEF-4390-B9E0-52BFD2980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0454" y="422673"/>
          <a:ext cx="422672" cy="220016"/>
        </a:xfrm>
        <a:prstGeom prst="rect">
          <a:avLst/>
        </a:prstGeom>
      </xdr:spPr>
    </xdr:pic>
    <xdr:clientData/>
  </xdr:twoCellAnchor>
  <xdr:twoCellAnchor editAs="oneCell">
    <xdr:from>
      <xdr:col>13</xdr:col>
      <xdr:colOff>153865</xdr:colOff>
      <xdr:row>8</xdr:row>
      <xdr:rowOff>14654</xdr:rowOff>
    </xdr:from>
    <xdr:to>
      <xdr:col>13</xdr:col>
      <xdr:colOff>659423</xdr:colOff>
      <xdr:row>8</xdr:row>
      <xdr:rowOff>205274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03D1C8-F81E-44A3-AD5D-DDD414B31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9865" y="432289"/>
          <a:ext cx="505558" cy="190620"/>
        </a:xfrm>
        <a:prstGeom prst="rect">
          <a:avLst/>
        </a:prstGeom>
      </xdr:spPr>
    </xdr:pic>
    <xdr:clientData/>
  </xdr:twoCellAnchor>
  <xdr:twoCellAnchor editAs="oneCell">
    <xdr:from>
      <xdr:col>14</xdr:col>
      <xdr:colOff>117231</xdr:colOff>
      <xdr:row>8</xdr:row>
      <xdr:rowOff>0</xdr:rowOff>
    </xdr:from>
    <xdr:to>
      <xdr:col>14</xdr:col>
      <xdr:colOff>725366</xdr:colOff>
      <xdr:row>8</xdr:row>
      <xdr:rowOff>220761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FE762B-FDD1-43AD-BF8B-B18E00D17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5231" y="417635"/>
          <a:ext cx="608135" cy="220761"/>
        </a:xfrm>
        <a:prstGeom prst="rect">
          <a:avLst/>
        </a:prstGeom>
      </xdr:spPr>
    </xdr:pic>
    <xdr:clientData/>
  </xdr:twoCellAnchor>
  <xdr:oneCellAnchor>
    <xdr:from>
      <xdr:col>1</xdr:col>
      <xdr:colOff>95982</xdr:colOff>
      <xdr:row>40</xdr:row>
      <xdr:rowOff>11723</xdr:rowOff>
    </xdr:from>
    <xdr:ext cx="42684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4E09B57-BB07-423F-800E-92F9C1868109}"/>
                </a:ext>
              </a:extLst>
            </xdr:cNvPr>
            <xdr:cNvSpPr txBox="1"/>
          </xdr:nvSpPr>
          <xdr:spPr>
            <a:xfrm>
              <a:off x="857982" y="7022123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4E09B57-BB07-423F-800E-92F9C1868109}"/>
                </a:ext>
              </a:extLst>
            </xdr:cNvPr>
            <xdr:cNvSpPr txBox="1"/>
          </xdr:nvSpPr>
          <xdr:spPr>
            <a:xfrm>
              <a:off x="857982" y="7022123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C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𝑥=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1</xdr:col>
      <xdr:colOff>124558</xdr:colOff>
      <xdr:row>44</xdr:row>
      <xdr:rowOff>21981</xdr:rowOff>
    </xdr:from>
    <xdr:ext cx="438838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9419DE2D-471F-4B67-AD66-1CA797D8A567}"/>
                </a:ext>
              </a:extLst>
            </xdr:cNvPr>
            <xdr:cNvSpPr txBox="1"/>
          </xdr:nvSpPr>
          <xdr:spPr>
            <a:xfrm>
              <a:off x="886558" y="7984881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9419DE2D-471F-4B67-AD66-1CA797D8A567}"/>
                </a:ext>
              </a:extLst>
            </xdr:cNvPr>
            <xdr:cNvSpPr txBox="1"/>
          </xdr:nvSpPr>
          <xdr:spPr>
            <a:xfrm>
              <a:off x="886558" y="7984881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</a:t>
              </a:r>
              <a:r>
                <a:rPr lang="es-EC" sz="1400" b="0" i="0">
                  <a:latin typeface="Cambria Math" panose="02040503050406030204" pitchFamily="18" charset="0"/>
                </a:rPr>
                <a:t>^</a:t>
              </a:r>
              <a:r>
                <a:rPr lang="es-ES" sz="1400" b="0" i="0">
                  <a:latin typeface="Cambria Math" panose="02040503050406030204" pitchFamily="18" charset="0"/>
                </a:rPr>
                <a:t>2= 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1</xdr:col>
      <xdr:colOff>73269</xdr:colOff>
      <xdr:row>47</xdr:row>
      <xdr:rowOff>235928</xdr:rowOff>
    </xdr:from>
    <xdr:ext cx="3111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087A290-E2CB-4E9C-9A55-764617B951C4}"/>
                </a:ext>
              </a:extLst>
            </xdr:cNvPr>
            <xdr:cNvSpPr txBox="1"/>
          </xdr:nvSpPr>
          <xdr:spPr>
            <a:xfrm>
              <a:off x="835269" y="8913203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087A290-E2CB-4E9C-9A55-764617B951C4}"/>
                </a:ext>
              </a:extLst>
            </xdr:cNvPr>
            <xdr:cNvSpPr txBox="1"/>
          </xdr:nvSpPr>
          <xdr:spPr>
            <a:xfrm>
              <a:off x="835269" y="8913203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𝑠=</a:t>
              </a:r>
              <a:endParaRPr lang="es-EC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2</xdr:row>
      <xdr:rowOff>214105</xdr:rowOff>
    </xdr:from>
    <xdr:to>
      <xdr:col>16</xdr:col>
      <xdr:colOff>632222</xdr:colOff>
      <xdr:row>3</xdr:row>
      <xdr:rowOff>202208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857D5A-347E-4B10-869D-22D0A50BB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4398" y="636518"/>
          <a:ext cx="422672" cy="220016"/>
        </a:xfrm>
        <a:prstGeom prst="rect">
          <a:avLst/>
        </a:prstGeom>
      </xdr:spPr>
    </xdr:pic>
    <xdr:clientData/>
  </xdr:twoCellAnchor>
  <xdr:twoCellAnchor editAs="oneCell">
    <xdr:from>
      <xdr:col>17</xdr:col>
      <xdr:colOff>124557</xdr:colOff>
      <xdr:row>3</xdr:row>
      <xdr:rowOff>0</xdr:rowOff>
    </xdr:from>
    <xdr:to>
      <xdr:col>17</xdr:col>
      <xdr:colOff>630115</xdr:colOff>
      <xdr:row>3</xdr:row>
      <xdr:rowOff>190620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F7C2A2-655D-4D96-B1EC-55B5702BF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5865" y="381000"/>
          <a:ext cx="505558" cy="190620"/>
        </a:xfrm>
        <a:prstGeom prst="rect">
          <a:avLst/>
        </a:prstGeom>
      </xdr:spPr>
    </xdr:pic>
    <xdr:clientData/>
  </xdr:twoCellAnchor>
  <xdr:twoCellAnchor editAs="oneCell">
    <xdr:from>
      <xdr:col>18</xdr:col>
      <xdr:colOff>84100</xdr:colOff>
      <xdr:row>3</xdr:row>
      <xdr:rowOff>31537</xdr:rowOff>
    </xdr:from>
    <xdr:to>
      <xdr:col>18</xdr:col>
      <xdr:colOff>692235</xdr:colOff>
      <xdr:row>4</xdr:row>
      <xdr:rowOff>20385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25C9022-41C3-4F74-B755-F7ECA8E90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62948" y="685863"/>
          <a:ext cx="608135" cy="220761"/>
        </a:xfrm>
        <a:prstGeom prst="rect">
          <a:avLst/>
        </a:prstGeom>
      </xdr:spPr>
    </xdr:pic>
    <xdr:clientData/>
  </xdr:twoCellAnchor>
  <xdr:oneCellAnchor>
    <xdr:from>
      <xdr:col>1</xdr:col>
      <xdr:colOff>175847</xdr:colOff>
      <xdr:row>34</xdr:row>
      <xdr:rowOff>7327</xdr:rowOff>
    </xdr:from>
    <xdr:ext cx="42684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98B91A1-6E2F-4C27-941F-3799B8D4089E}"/>
                </a:ext>
              </a:extLst>
            </xdr:cNvPr>
            <xdr:cNvSpPr txBox="1"/>
          </xdr:nvSpPr>
          <xdr:spPr>
            <a:xfrm>
              <a:off x="937847" y="6244131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98B91A1-6E2F-4C27-941F-3799B8D4089E}"/>
                </a:ext>
              </a:extLst>
            </xdr:cNvPr>
            <xdr:cNvSpPr txBox="1"/>
          </xdr:nvSpPr>
          <xdr:spPr>
            <a:xfrm>
              <a:off x="937847" y="6244131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C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𝑥=</a:t>
              </a:r>
              <a:endParaRPr lang="es-EC" sz="1400"/>
            </a:p>
          </xdr:txBody>
        </xdr:sp>
      </mc:Fallback>
    </mc:AlternateContent>
    <xdr:clientData/>
  </xdr:oneCellAnchor>
  <xdr:oneCellAnchor>
    <xdr:from>
      <xdr:col>1</xdr:col>
      <xdr:colOff>173935</xdr:colOff>
      <xdr:row>38</xdr:row>
      <xdr:rowOff>0</xdr:rowOff>
    </xdr:from>
    <xdr:ext cx="438838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12063BD-BC51-47BC-92A2-703D7C0DDC2B}"/>
                </a:ext>
              </a:extLst>
            </xdr:cNvPr>
            <xdr:cNvSpPr txBox="1"/>
          </xdr:nvSpPr>
          <xdr:spPr>
            <a:xfrm>
              <a:off x="935935" y="7164457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12063BD-BC51-47BC-92A2-703D7C0DDC2B}"/>
                </a:ext>
              </a:extLst>
            </xdr:cNvPr>
            <xdr:cNvSpPr txBox="1"/>
          </xdr:nvSpPr>
          <xdr:spPr>
            <a:xfrm>
              <a:off x="935935" y="7164457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</a:t>
              </a:r>
              <a:r>
                <a:rPr lang="es-EC" sz="1400" b="0" i="0">
                  <a:latin typeface="Cambria Math" panose="02040503050406030204" pitchFamily="18" charset="0"/>
                </a:rPr>
                <a:t>^</a:t>
              </a:r>
              <a:r>
                <a:rPr lang="es-ES" sz="1400" b="0" i="0">
                  <a:latin typeface="Cambria Math" panose="02040503050406030204" pitchFamily="18" charset="0"/>
                </a:rPr>
                <a:t>2= </a:t>
              </a:r>
              <a:endParaRPr lang="es-EC" sz="1400"/>
            </a:p>
          </xdr:txBody>
        </xdr:sp>
      </mc:Fallback>
    </mc:AlternateContent>
    <xdr:clientData/>
  </xdr:oneCellAnchor>
  <xdr:oneCellAnchor>
    <xdr:from>
      <xdr:col>1</xdr:col>
      <xdr:colOff>207065</xdr:colOff>
      <xdr:row>42</xdr:row>
      <xdr:rowOff>0</xdr:rowOff>
    </xdr:from>
    <xdr:ext cx="3111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D65524D-BB32-4E30-A7AB-6AB9398B9AFA}"/>
                </a:ext>
              </a:extLst>
            </xdr:cNvPr>
            <xdr:cNvSpPr txBox="1"/>
          </xdr:nvSpPr>
          <xdr:spPr>
            <a:xfrm>
              <a:off x="969065" y="8092109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D65524D-BB32-4E30-A7AB-6AB9398B9AFA}"/>
                </a:ext>
              </a:extLst>
            </xdr:cNvPr>
            <xdr:cNvSpPr txBox="1"/>
          </xdr:nvSpPr>
          <xdr:spPr>
            <a:xfrm>
              <a:off x="969065" y="8092109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𝑠=</a:t>
              </a:r>
              <a:endParaRPr lang="es-EC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30</xdr:row>
      <xdr:rowOff>0</xdr:rowOff>
    </xdr:from>
    <xdr:ext cx="438838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ECE685A-CC56-4F4D-BC32-20D887582284}"/>
                </a:ext>
              </a:extLst>
            </xdr:cNvPr>
            <xdr:cNvSpPr txBox="1"/>
          </xdr:nvSpPr>
          <xdr:spPr>
            <a:xfrm>
              <a:off x="6324600" y="5010150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ECE685A-CC56-4F4D-BC32-20D887582284}"/>
                </a:ext>
              </a:extLst>
            </xdr:cNvPr>
            <xdr:cNvSpPr txBox="1"/>
          </xdr:nvSpPr>
          <xdr:spPr>
            <a:xfrm>
              <a:off x="6324600" y="5010150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</a:t>
              </a:r>
              <a:r>
                <a:rPr lang="es-EC" sz="1400" b="0" i="0">
                  <a:latin typeface="Cambria Math" panose="02040503050406030204" pitchFamily="18" charset="0"/>
                </a:rPr>
                <a:t>^</a:t>
              </a:r>
              <a:r>
                <a:rPr lang="es-ES" sz="1400" b="0" i="0">
                  <a:latin typeface="Cambria Math" panose="02040503050406030204" pitchFamily="18" charset="0"/>
                </a:rPr>
                <a:t>2= </a:t>
              </a:r>
              <a:endParaRPr lang="es-EC" sz="1400"/>
            </a:p>
          </xdr:txBody>
        </xdr:sp>
      </mc:Fallback>
    </mc:AlternateContent>
    <xdr:clientData/>
  </xdr:oneCellAnchor>
  <xdr:oneCellAnchor>
    <xdr:from>
      <xdr:col>6</xdr:col>
      <xdr:colOff>171450</xdr:colOff>
      <xdr:row>34</xdr:row>
      <xdr:rowOff>0</xdr:rowOff>
    </xdr:from>
    <xdr:ext cx="3111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8B4A60F-9C4A-4924-9ADD-F92C9B6E8A4D}"/>
                </a:ext>
              </a:extLst>
            </xdr:cNvPr>
            <xdr:cNvSpPr txBox="1"/>
          </xdr:nvSpPr>
          <xdr:spPr>
            <a:xfrm>
              <a:off x="6267450" y="5772150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8B4A60F-9C4A-4924-9ADD-F92C9B6E8A4D}"/>
                </a:ext>
              </a:extLst>
            </xdr:cNvPr>
            <xdr:cNvSpPr txBox="1"/>
          </xdr:nvSpPr>
          <xdr:spPr>
            <a:xfrm>
              <a:off x="6267450" y="5772150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𝑠=</a:t>
              </a:r>
              <a:endParaRPr lang="es-EC" sz="1400"/>
            </a:p>
          </xdr:txBody>
        </xdr:sp>
      </mc:Fallback>
    </mc:AlternateContent>
    <xdr:clientData/>
  </xdr:oneCellAnchor>
  <xdr:twoCellAnchor editAs="oneCell">
    <xdr:from>
      <xdr:col>5</xdr:col>
      <xdr:colOff>142875</xdr:colOff>
      <xdr:row>4</xdr:row>
      <xdr:rowOff>0</xdr:rowOff>
    </xdr:from>
    <xdr:to>
      <xdr:col>5</xdr:col>
      <xdr:colOff>565547</xdr:colOff>
      <xdr:row>4</xdr:row>
      <xdr:rowOff>220016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9BB477D-6E2E-4501-988B-05FC2E8D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876300"/>
          <a:ext cx="422672" cy="220016"/>
        </a:xfrm>
        <a:prstGeom prst="rect">
          <a:avLst/>
        </a:prstGeom>
      </xdr:spPr>
    </xdr:pic>
    <xdr:clientData/>
  </xdr:twoCellAnchor>
  <xdr:twoCellAnchor editAs="oneCell">
    <xdr:from>
      <xdr:col>6</xdr:col>
      <xdr:colOff>76932</xdr:colOff>
      <xdr:row>4</xdr:row>
      <xdr:rowOff>8283</xdr:rowOff>
    </xdr:from>
    <xdr:to>
      <xdr:col>6</xdr:col>
      <xdr:colOff>582490</xdr:colOff>
      <xdr:row>4</xdr:row>
      <xdr:rowOff>198903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D100ACB-7D2A-447B-A87D-98B2BFD19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8932" y="808383"/>
          <a:ext cx="505558" cy="190620"/>
        </a:xfrm>
        <a:prstGeom prst="rect">
          <a:avLst/>
        </a:prstGeom>
      </xdr:spPr>
    </xdr:pic>
    <xdr:clientData/>
  </xdr:twoCellAnchor>
  <xdr:twoCellAnchor editAs="oneCell">
    <xdr:from>
      <xdr:col>7</xdr:col>
      <xdr:colOff>74575</xdr:colOff>
      <xdr:row>4</xdr:row>
      <xdr:rowOff>20770</xdr:rowOff>
    </xdr:from>
    <xdr:to>
      <xdr:col>7</xdr:col>
      <xdr:colOff>682710</xdr:colOff>
      <xdr:row>5</xdr:row>
      <xdr:rowOff>12931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F306821-8E69-48E1-9A56-6C9EBFF8A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08575" y="897070"/>
          <a:ext cx="608135" cy="220761"/>
        </a:xfrm>
        <a:prstGeom prst="rect">
          <a:avLst/>
        </a:prstGeom>
      </xdr:spPr>
    </xdr:pic>
    <xdr:clientData/>
  </xdr:twoCellAnchor>
  <xdr:twoCellAnchor editAs="oneCell">
    <xdr:from>
      <xdr:col>8</xdr:col>
      <xdr:colOff>57151</xdr:colOff>
      <xdr:row>4</xdr:row>
      <xdr:rowOff>0</xdr:rowOff>
    </xdr:from>
    <xdr:to>
      <xdr:col>8</xdr:col>
      <xdr:colOff>666751</xdr:colOff>
      <xdr:row>4</xdr:row>
      <xdr:rowOff>210589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9AACCB5-5F2E-4C00-9490-16ED1EF85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1" y="876300"/>
          <a:ext cx="609600" cy="210589"/>
        </a:xfrm>
        <a:prstGeom prst="rect">
          <a:avLst/>
        </a:prstGeom>
      </xdr:spPr>
    </xdr:pic>
    <xdr:clientData/>
  </xdr:twoCellAnchor>
  <xdr:oneCellAnchor>
    <xdr:from>
      <xdr:col>6</xdr:col>
      <xdr:colOff>228600</xdr:colOff>
      <xdr:row>26</xdr:row>
      <xdr:rowOff>19050</xdr:rowOff>
    </xdr:from>
    <xdr:ext cx="42684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728EB165-0780-44B9-BF2F-A5E58E8011E9}"/>
                </a:ext>
              </a:extLst>
            </xdr:cNvPr>
            <xdr:cNvSpPr txBox="1"/>
          </xdr:nvSpPr>
          <xdr:spPr>
            <a:xfrm>
              <a:off x="6324600" y="5867400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728EB165-0780-44B9-BF2F-A5E58E8011E9}"/>
                </a:ext>
              </a:extLst>
            </xdr:cNvPr>
            <xdr:cNvSpPr txBox="1"/>
          </xdr:nvSpPr>
          <xdr:spPr>
            <a:xfrm>
              <a:off x="6324600" y="5867400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C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𝑥=</a:t>
              </a:r>
              <a:endParaRPr lang="es-EC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4</xdr:row>
      <xdr:rowOff>19050</xdr:rowOff>
    </xdr:from>
    <xdr:to>
      <xdr:col>5</xdr:col>
      <xdr:colOff>632222</xdr:colOff>
      <xdr:row>5</xdr:row>
      <xdr:rowOff>10466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F54CF4-38CB-4DC5-A252-641076E98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895350"/>
          <a:ext cx="422672" cy="220016"/>
        </a:xfrm>
        <a:prstGeom prst="rect">
          <a:avLst/>
        </a:prstGeom>
      </xdr:spPr>
    </xdr:pic>
    <xdr:clientData/>
  </xdr:twoCellAnchor>
  <xdr:twoCellAnchor editAs="oneCell">
    <xdr:from>
      <xdr:col>6</xdr:col>
      <xdr:colOff>162657</xdr:colOff>
      <xdr:row>4</xdr:row>
      <xdr:rowOff>27333</xdr:rowOff>
    </xdr:from>
    <xdr:to>
      <xdr:col>6</xdr:col>
      <xdr:colOff>668215</xdr:colOff>
      <xdr:row>4</xdr:row>
      <xdr:rowOff>217953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26C6A9-6A9B-48EC-82D0-27FCC1681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4657" y="903633"/>
          <a:ext cx="505558" cy="190620"/>
        </a:xfrm>
        <a:prstGeom prst="rect">
          <a:avLst/>
        </a:prstGeom>
      </xdr:spPr>
    </xdr:pic>
    <xdr:clientData/>
  </xdr:twoCellAnchor>
  <xdr:twoCellAnchor editAs="oneCell">
    <xdr:from>
      <xdr:col>7</xdr:col>
      <xdr:colOff>103150</xdr:colOff>
      <xdr:row>4</xdr:row>
      <xdr:rowOff>1720</xdr:rowOff>
    </xdr:from>
    <xdr:to>
      <xdr:col>7</xdr:col>
      <xdr:colOff>711285</xdr:colOff>
      <xdr:row>4</xdr:row>
      <xdr:rowOff>222481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41ACCD-4B8A-43CB-BF24-FABC8CA05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37150" y="878020"/>
          <a:ext cx="608135" cy="220761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123826</xdr:colOff>
      <xdr:row>4</xdr:row>
      <xdr:rowOff>9525</xdr:rowOff>
    </xdr:from>
    <xdr:to>
      <xdr:col>8</xdr:col>
      <xdr:colOff>733426</xdr:colOff>
      <xdr:row>4</xdr:row>
      <xdr:rowOff>220114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0C086D-D848-4711-BAFC-E2AF0825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19826" y="885825"/>
          <a:ext cx="609600" cy="210589"/>
        </a:xfrm>
        <a:prstGeom prst="rect">
          <a:avLst/>
        </a:prstGeom>
      </xdr:spPr>
    </xdr:pic>
    <xdr:clientData/>
  </xdr:twoCellAnchor>
  <xdr:oneCellAnchor>
    <xdr:from>
      <xdr:col>6</xdr:col>
      <xdr:colOff>161925</xdr:colOff>
      <xdr:row>25</xdr:row>
      <xdr:rowOff>0</xdr:rowOff>
    </xdr:from>
    <xdr:ext cx="42684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C2325C6-102A-44B6-9CC6-72D93ADAD0DD}"/>
                </a:ext>
              </a:extLst>
            </xdr:cNvPr>
            <xdr:cNvSpPr txBox="1"/>
          </xdr:nvSpPr>
          <xdr:spPr>
            <a:xfrm>
              <a:off x="6257925" y="5695950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C2325C6-102A-44B6-9CC6-72D93ADAD0DD}"/>
                </a:ext>
              </a:extLst>
            </xdr:cNvPr>
            <xdr:cNvSpPr txBox="1"/>
          </xdr:nvSpPr>
          <xdr:spPr>
            <a:xfrm>
              <a:off x="6257925" y="5695950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C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𝑥=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6</xdr:col>
      <xdr:colOff>180975</xdr:colOff>
      <xdr:row>29</xdr:row>
      <xdr:rowOff>19050</xdr:rowOff>
    </xdr:from>
    <xdr:ext cx="438838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674E6B3-C2EA-4D08-81F4-ADF9C2510DCE}"/>
                </a:ext>
              </a:extLst>
            </xdr:cNvPr>
            <xdr:cNvSpPr txBox="1"/>
          </xdr:nvSpPr>
          <xdr:spPr>
            <a:xfrm>
              <a:off x="6276975" y="6629400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674E6B3-C2EA-4D08-81F4-ADF9C2510DCE}"/>
                </a:ext>
              </a:extLst>
            </xdr:cNvPr>
            <xdr:cNvSpPr txBox="1"/>
          </xdr:nvSpPr>
          <xdr:spPr>
            <a:xfrm>
              <a:off x="6276975" y="6629400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</a:t>
              </a:r>
              <a:r>
                <a:rPr lang="es-EC" sz="1400" b="0" i="0">
                  <a:latin typeface="Cambria Math" panose="02040503050406030204" pitchFamily="18" charset="0"/>
                </a:rPr>
                <a:t>^</a:t>
              </a:r>
              <a:r>
                <a:rPr lang="es-ES" sz="1400" b="0" i="0">
                  <a:latin typeface="Cambria Math" panose="02040503050406030204" pitchFamily="18" charset="0"/>
                </a:rPr>
                <a:t>2= </a:t>
              </a:r>
              <a:endParaRPr lang="es-EC" sz="1400"/>
            </a:p>
          </xdr:txBody>
        </xdr:sp>
      </mc:Fallback>
    </mc:AlternateContent>
    <xdr:clientData/>
  </xdr:oneCellAnchor>
  <xdr:oneCellAnchor>
    <xdr:from>
      <xdr:col>6</xdr:col>
      <xdr:colOff>180975</xdr:colOff>
      <xdr:row>33</xdr:row>
      <xdr:rowOff>19050</xdr:rowOff>
    </xdr:from>
    <xdr:ext cx="3111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8808AFD-B0E0-47A0-95E0-35344C1480E9}"/>
                </a:ext>
              </a:extLst>
            </xdr:cNvPr>
            <xdr:cNvSpPr txBox="1"/>
          </xdr:nvSpPr>
          <xdr:spPr>
            <a:xfrm>
              <a:off x="6276975" y="7543800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8808AFD-B0E0-47A0-95E0-35344C1480E9}"/>
                </a:ext>
              </a:extLst>
            </xdr:cNvPr>
            <xdr:cNvSpPr txBox="1"/>
          </xdr:nvSpPr>
          <xdr:spPr>
            <a:xfrm>
              <a:off x="6276975" y="7543800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𝑠=</a:t>
              </a:r>
              <a:endParaRPr lang="es-EC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314325</xdr:colOff>
      <xdr:row>33</xdr:row>
      <xdr:rowOff>19050</xdr:rowOff>
    </xdr:from>
    <xdr:ext cx="42684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F5B24B2-461A-42CD-95AA-C5CE35632736}"/>
                </a:ext>
              </a:extLst>
            </xdr:cNvPr>
            <xdr:cNvSpPr txBox="1"/>
          </xdr:nvSpPr>
          <xdr:spPr>
            <a:xfrm>
              <a:off x="6410325" y="7772400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F5B24B2-461A-42CD-95AA-C5CE35632736}"/>
                </a:ext>
              </a:extLst>
            </xdr:cNvPr>
            <xdr:cNvSpPr txBox="1"/>
          </xdr:nvSpPr>
          <xdr:spPr>
            <a:xfrm>
              <a:off x="6410325" y="7772400"/>
              <a:ext cx="42684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𝐷</a:t>
              </a:r>
              <a:r>
                <a:rPr lang="es-EC" sz="1400" b="0" i="0">
                  <a:latin typeface="Cambria Math" panose="02040503050406030204" pitchFamily="18" charset="0"/>
                </a:rPr>
                <a:t>_</a:t>
              </a:r>
              <a:r>
                <a:rPr lang="es-ES" sz="1400" b="0" i="0">
                  <a:latin typeface="Cambria Math" panose="02040503050406030204" pitchFamily="18" charset="0"/>
                </a:rPr>
                <a:t>𝑥=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6</xdr:col>
      <xdr:colOff>238125</xdr:colOff>
      <xdr:row>37</xdr:row>
      <xdr:rowOff>0</xdr:rowOff>
    </xdr:from>
    <xdr:ext cx="438838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136E2E9-8AB0-4C55-B561-E92017AF90E1}"/>
                </a:ext>
              </a:extLst>
            </xdr:cNvPr>
            <xdr:cNvSpPr txBox="1"/>
          </xdr:nvSpPr>
          <xdr:spPr>
            <a:xfrm>
              <a:off x="6334125" y="8667750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136E2E9-8AB0-4C55-B561-E92017AF90E1}"/>
                </a:ext>
              </a:extLst>
            </xdr:cNvPr>
            <xdr:cNvSpPr txBox="1"/>
          </xdr:nvSpPr>
          <xdr:spPr>
            <a:xfrm>
              <a:off x="6334125" y="8667750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</a:t>
              </a:r>
              <a:r>
                <a:rPr lang="es-EC" sz="1400" b="0" i="0">
                  <a:latin typeface="Cambria Math" panose="02040503050406030204" pitchFamily="18" charset="0"/>
                </a:rPr>
                <a:t>^</a:t>
              </a:r>
              <a:r>
                <a:rPr lang="es-ES" sz="1400" b="0" i="0">
                  <a:latin typeface="Cambria Math" panose="02040503050406030204" pitchFamily="18" charset="0"/>
                </a:rPr>
                <a:t>2= </a:t>
              </a:r>
              <a:endParaRPr lang="es-EC" sz="1400"/>
            </a:p>
          </xdr:txBody>
        </xdr:sp>
      </mc:Fallback>
    </mc:AlternateContent>
    <xdr:clientData/>
  </xdr:oneCellAnchor>
  <xdr:oneCellAnchor>
    <xdr:from>
      <xdr:col>6</xdr:col>
      <xdr:colOff>266700</xdr:colOff>
      <xdr:row>41</xdr:row>
      <xdr:rowOff>9525</xdr:rowOff>
    </xdr:from>
    <xdr:ext cx="3111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53042E6-4545-4A1D-A863-9FCE238BD4E7}"/>
                </a:ext>
              </a:extLst>
            </xdr:cNvPr>
            <xdr:cNvSpPr txBox="1"/>
          </xdr:nvSpPr>
          <xdr:spPr>
            <a:xfrm>
              <a:off x="6362700" y="9591675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53042E6-4545-4A1D-A863-9FCE238BD4E7}"/>
                </a:ext>
              </a:extLst>
            </xdr:cNvPr>
            <xdr:cNvSpPr txBox="1"/>
          </xdr:nvSpPr>
          <xdr:spPr>
            <a:xfrm>
              <a:off x="6362700" y="9591675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𝑠=</a:t>
              </a:r>
              <a:endParaRPr lang="es-EC" sz="1400"/>
            </a:p>
          </xdr:txBody>
        </xdr:sp>
      </mc:Fallback>
    </mc:AlternateContent>
    <xdr:clientData/>
  </xdr:oneCellAnchor>
  <xdr:twoCellAnchor editAs="oneCell">
    <xdr:from>
      <xdr:col>7</xdr:col>
      <xdr:colOff>66675</xdr:colOff>
      <xdr:row>5</xdr:row>
      <xdr:rowOff>19083</xdr:rowOff>
    </xdr:from>
    <xdr:to>
      <xdr:col>7</xdr:col>
      <xdr:colOff>590549</xdr:colOff>
      <xdr:row>5</xdr:row>
      <xdr:rowOff>227428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FB3E43A-F187-4990-876E-D24D1C32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1123983"/>
          <a:ext cx="523874" cy="208345"/>
        </a:xfrm>
        <a:prstGeom prst="rect">
          <a:avLst/>
        </a:prstGeom>
      </xdr:spPr>
    </xdr:pic>
    <xdr:clientData/>
  </xdr:twoCellAnchor>
  <xdr:twoCellAnchor editAs="oneCell">
    <xdr:from>
      <xdr:col>8</xdr:col>
      <xdr:colOff>193884</xdr:colOff>
      <xdr:row>5</xdr:row>
      <xdr:rowOff>17017</xdr:rowOff>
    </xdr:from>
    <xdr:to>
      <xdr:col>8</xdr:col>
      <xdr:colOff>699505</xdr:colOff>
      <xdr:row>5</xdr:row>
      <xdr:rowOff>201275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5F391-ED3A-42C1-8D71-8399864DE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9884" y="1121917"/>
          <a:ext cx="505621" cy="184258"/>
        </a:xfrm>
        <a:prstGeom prst="rect">
          <a:avLst/>
        </a:prstGeom>
      </xdr:spPr>
    </xdr:pic>
    <xdr:clientData/>
  </xdr:twoCellAnchor>
  <xdr:twoCellAnchor editAs="oneCell">
    <xdr:from>
      <xdr:col>9</xdr:col>
      <xdr:colOff>171611</xdr:colOff>
      <xdr:row>5</xdr:row>
      <xdr:rowOff>0</xdr:rowOff>
    </xdr:from>
    <xdr:to>
      <xdr:col>9</xdr:col>
      <xdr:colOff>618872</xdr:colOff>
      <xdr:row>6</xdr:row>
      <xdr:rowOff>4414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B01FA3F-CE60-43C4-9669-8E2AA5A6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4861" y="1104900"/>
          <a:ext cx="447261" cy="233014"/>
        </a:xfrm>
        <a:prstGeom prst="rect">
          <a:avLst/>
        </a:prstGeom>
      </xdr:spPr>
    </xdr:pic>
    <xdr:clientData/>
  </xdr:twoCellAnchor>
  <xdr:twoCellAnchor editAs="oneCell">
    <xdr:from>
      <xdr:col>10</xdr:col>
      <xdr:colOff>115222</xdr:colOff>
      <xdr:row>5</xdr:row>
      <xdr:rowOff>10353</xdr:rowOff>
    </xdr:from>
    <xdr:to>
      <xdr:col>10</xdr:col>
      <xdr:colOff>613234</xdr:colOff>
      <xdr:row>6</xdr:row>
      <xdr:rowOff>2524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ECF9FFA-2B5B-45CE-A0D2-8D3BC54A4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30472" y="1115253"/>
          <a:ext cx="498012" cy="220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82412</xdr:colOff>
      <xdr:row>3</xdr:row>
      <xdr:rowOff>10353</xdr:rowOff>
    </xdr:from>
    <xdr:to>
      <xdr:col>7</xdr:col>
      <xdr:colOff>606286</xdr:colOff>
      <xdr:row>3</xdr:row>
      <xdr:rowOff>218698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B3A68E-0904-43D3-A6D8-F1D16974D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042" y="664679"/>
          <a:ext cx="523874" cy="208345"/>
        </a:xfrm>
        <a:prstGeom prst="rect">
          <a:avLst/>
        </a:prstGeom>
      </xdr:spPr>
    </xdr:pic>
    <xdr:clientData/>
  </xdr:twoCellAnchor>
  <xdr:twoCellAnchor editAs="oneCell">
    <xdr:from>
      <xdr:col>8</xdr:col>
      <xdr:colOff>142946</xdr:colOff>
      <xdr:row>3</xdr:row>
      <xdr:rowOff>27337</xdr:rowOff>
    </xdr:from>
    <xdr:to>
      <xdr:col>8</xdr:col>
      <xdr:colOff>648567</xdr:colOff>
      <xdr:row>3</xdr:row>
      <xdr:rowOff>211595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A774D0-B1FF-4827-942D-F624E65FC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2576" y="681663"/>
          <a:ext cx="505621" cy="184258"/>
        </a:xfrm>
        <a:prstGeom prst="rect">
          <a:avLst/>
        </a:prstGeom>
      </xdr:spPr>
    </xdr:pic>
    <xdr:clientData/>
  </xdr:twoCellAnchor>
  <xdr:twoCellAnchor editAs="oneCell">
    <xdr:from>
      <xdr:col>9</xdr:col>
      <xdr:colOff>196873</xdr:colOff>
      <xdr:row>2</xdr:row>
      <xdr:rowOff>204133</xdr:rowOff>
    </xdr:from>
    <xdr:to>
      <xdr:col>9</xdr:col>
      <xdr:colOff>644134</xdr:colOff>
      <xdr:row>3</xdr:row>
      <xdr:rowOff>205234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639176D-098C-4B6A-AD04-39792B4B4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8503" y="626546"/>
          <a:ext cx="447261" cy="233014"/>
        </a:xfrm>
        <a:prstGeom prst="rect">
          <a:avLst/>
        </a:prstGeom>
      </xdr:spPr>
    </xdr:pic>
    <xdr:clientData/>
  </xdr:twoCellAnchor>
  <xdr:twoCellAnchor editAs="oneCell">
    <xdr:from>
      <xdr:col>10</xdr:col>
      <xdr:colOff>130959</xdr:colOff>
      <xdr:row>3</xdr:row>
      <xdr:rowOff>1623</xdr:rowOff>
    </xdr:from>
    <xdr:to>
      <xdr:col>10</xdr:col>
      <xdr:colOff>628971</xdr:colOff>
      <xdr:row>3</xdr:row>
      <xdr:rowOff>219081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EE3C296-505E-42EB-8164-6AFF2BA0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4359" y="649323"/>
          <a:ext cx="498012" cy="217458"/>
        </a:xfrm>
        <a:prstGeom prst="rect">
          <a:avLst/>
        </a:prstGeom>
      </xdr:spPr>
    </xdr:pic>
    <xdr:clientData/>
  </xdr:twoCellAnchor>
  <xdr:twoCellAnchor editAs="oneCell">
    <xdr:from>
      <xdr:col>8</xdr:col>
      <xdr:colOff>248478</xdr:colOff>
      <xdr:row>17</xdr:row>
      <xdr:rowOff>0</xdr:rowOff>
    </xdr:from>
    <xdr:to>
      <xdr:col>8</xdr:col>
      <xdr:colOff>515734</xdr:colOff>
      <xdr:row>17</xdr:row>
      <xdr:rowOff>222633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2022F67-5877-4090-9053-10AC7DEC1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68108" y="3818283"/>
          <a:ext cx="267256" cy="222633"/>
        </a:xfrm>
        <a:prstGeom prst="rect">
          <a:avLst/>
        </a:prstGeom>
      </xdr:spPr>
    </xdr:pic>
    <xdr:clientData/>
  </xdr:twoCellAnchor>
  <xdr:oneCellAnchor>
    <xdr:from>
      <xdr:col>8</xdr:col>
      <xdr:colOff>215347</xdr:colOff>
      <xdr:row>21</xdr:row>
      <xdr:rowOff>0</xdr:rowOff>
    </xdr:from>
    <xdr:ext cx="438838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1EFBCB5-9DA9-40D8-B9D3-BE928A4E3692}"/>
                </a:ext>
              </a:extLst>
            </xdr:cNvPr>
            <xdr:cNvSpPr txBox="1"/>
          </xdr:nvSpPr>
          <xdr:spPr>
            <a:xfrm>
              <a:off x="6534977" y="4721087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E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C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1EFBCB5-9DA9-40D8-B9D3-BE928A4E3692}"/>
                </a:ext>
              </a:extLst>
            </xdr:cNvPr>
            <xdr:cNvSpPr txBox="1"/>
          </xdr:nvSpPr>
          <xdr:spPr>
            <a:xfrm>
              <a:off x="6534977" y="4721087"/>
              <a:ext cx="43883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</a:t>
              </a:r>
              <a:r>
                <a:rPr lang="es-EC" sz="1400" b="0" i="0">
                  <a:latin typeface="Cambria Math" panose="02040503050406030204" pitchFamily="18" charset="0"/>
                </a:rPr>
                <a:t>^</a:t>
              </a:r>
              <a:r>
                <a:rPr lang="es-ES" sz="1400" b="0" i="0">
                  <a:latin typeface="Cambria Math" panose="02040503050406030204" pitchFamily="18" charset="0"/>
                </a:rPr>
                <a:t>2= </a:t>
              </a:r>
              <a:endParaRPr lang="es-EC" sz="1400"/>
            </a:p>
          </xdr:txBody>
        </xdr:sp>
      </mc:Fallback>
    </mc:AlternateContent>
    <xdr:clientData/>
  </xdr:oneCellAnchor>
  <xdr:oneCellAnchor>
    <xdr:from>
      <xdr:col>8</xdr:col>
      <xdr:colOff>248478</xdr:colOff>
      <xdr:row>25</xdr:row>
      <xdr:rowOff>8283</xdr:rowOff>
    </xdr:from>
    <xdr:ext cx="3111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E467757-4CB3-4F27-A2C6-9095BD374435}"/>
                </a:ext>
              </a:extLst>
            </xdr:cNvPr>
            <xdr:cNvSpPr txBox="1"/>
          </xdr:nvSpPr>
          <xdr:spPr>
            <a:xfrm>
              <a:off x="6568108" y="5657022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ES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E467757-4CB3-4F27-A2C6-9095BD374435}"/>
                </a:ext>
              </a:extLst>
            </xdr:cNvPr>
            <xdr:cNvSpPr txBox="1"/>
          </xdr:nvSpPr>
          <xdr:spPr>
            <a:xfrm>
              <a:off x="6568108" y="5657022"/>
              <a:ext cx="3111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0" i="0">
                  <a:latin typeface="Cambria Math" panose="02040503050406030204" pitchFamily="18" charset="0"/>
                </a:rPr>
                <a:t>𝑠=</a:t>
              </a:r>
              <a:endParaRPr lang="es-EC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10</xdr:row>
      <xdr:rowOff>19050</xdr:rowOff>
    </xdr:from>
    <xdr:to>
      <xdr:col>7</xdr:col>
      <xdr:colOff>571499</xdr:colOff>
      <xdr:row>10</xdr:row>
      <xdr:rowOff>227395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635705-F72D-4D54-9597-73CAD6CCA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152650"/>
          <a:ext cx="523874" cy="208345"/>
        </a:xfrm>
        <a:prstGeom prst="rect">
          <a:avLst/>
        </a:prstGeom>
      </xdr:spPr>
    </xdr:pic>
    <xdr:clientData/>
  </xdr:twoCellAnchor>
  <xdr:twoCellAnchor editAs="oneCell">
    <xdr:from>
      <xdr:col>8</xdr:col>
      <xdr:colOff>17096</xdr:colOff>
      <xdr:row>10</xdr:row>
      <xdr:rowOff>25267</xdr:rowOff>
    </xdr:from>
    <xdr:to>
      <xdr:col>8</xdr:col>
      <xdr:colOff>522717</xdr:colOff>
      <xdr:row>10</xdr:row>
      <xdr:rowOff>209525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CDCAB3-1F0E-49B8-96D8-6B4CD1A4F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2921" y="2158867"/>
          <a:ext cx="505621" cy="184258"/>
        </a:xfrm>
        <a:prstGeom prst="rect">
          <a:avLst/>
        </a:prstGeom>
      </xdr:spPr>
    </xdr:pic>
    <xdr:clientData/>
  </xdr:twoCellAnchor>
  <xdr:twoCellAnchor editAs="oneCell">
    <xdr:from>
      <xdr:col>9</xdr:col>
      <xdr:colOff>92793</xdr:colOff>
      <xdr:row>10</xdr:row>
      <xdr:rowOff>11563</xdr:rowOff>
    </xdr:from>
    <xdr:to>
      <xdr:col>9</xdr:col>
      <xdr:colOff>474785</xdr:colOff>
      <xdr:row>10</xdr:row>
      <xdr:rowOff>208181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FBC3FE-8DDE-41C2-AB9F-0A3D05182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4331" y="2187659"/>
          <a:ext cx="381992" cy="196618"/>
        </a:xfrm>
        <a:prstGeom prst="rect">
          <a:avLst/>
        </a:prstGeom>
      </xdr:spPr>
    </xdr:pic>
    <xdr:clientData/>
  </xdr:twoCellAnchor>
  <xdr:twoCellAnchor editAs="oneCell">
    <xdr:from>
      <xdr:col>10</xdr:col>
      <xdr:colOff>25904</xdr:colOff>
      <xdr:row>9</xdr:row>
      <xdr:rowOff>212829</xdr:rowOff>
    </xdr:from>
    <xdr:to>
      <xdr:col>10</xdr:col>
      <xdr:colOff>523916</xdr:colOff>
      <xdr:row>10</xdr:row>
      <xdr:rowOff>195475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D8CF9A-698C-46EF-BE27-90C9E2BCC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45679" y="2117829"/>
          <a:ext cx="498012" cy="220771"/>
        </a:xfrm>
        <a:prstGeom prst="rect">
          <a:avLst/>
        </a:prstGeom>
      </xdr:spPr>
    </xdr:pic>
    <xdr:clientData/>
  </xdr:twoCellAnchor>
  <xdr:twoCellAnchor editAs="oneCell">
    <xdr:from>
      <xdr:col>17</xdr:col>
      <xdr:colOff>454973</xdr:colOff>
      <xdr:row>25</xdr:row>
      <xdr:rowOff>17707</xdr:rowOff>
    </xdr:from>
    <xdr:to>
      <xdr:col>17</xdr:col>
      <xdr:colOff>722229</xdr:colOff>
      <xdr:row>26</xdr:row>
      <xdr:rowOff>14542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9A2224-91FF-45A6-9710-3AA6F556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90173" y="6313732"/>
          <a:ext cx="267256" cy="225435"/>
        </a:xfrm>
        <a:prstGeom prst="rect">
          <a:avLst/>
        </a:prstGeom>
      </xdr:spPr>
    </xdr:pic>
    <xdr:clientData/>
  </xdr:twoCellAnchor>
  <xdr:oneCellAnchor>
    <xdr:from>
      <xdr:col>20</xdr:col>
      <xdr:colOff>239782</xdr:colOff>
      <xdr:row>5</xdr:row>
      <xdr:rowOff>58807</xdr:rowOff>
    </xdr:from>
    <xdr:ext cx="31367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B139C27-0F21-4084-AB73-1699FF38D70D}"/>
                </a:ext>
              </a:extLst>
            </xdr:cNvPr>
            <xdr:cNvSpPr txBox="1"/>
          </xdr:nvSpPr>
          <xdr:spPr>
            <a:xfrm>
              <a:off x="17432407" y="1649482"/>
              <a:ext cx="31367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B139C27-0F21-4084-AB73-1699FF38D70D}"/>
                </a:ext>
              </a:extLst>
            </xdr:cNvPr>
            <xdr:cNvSpPr txBox="1"/>
          </xdr:nvSpPr>
          <xdr:spPr>
            <a:xfrm>
              <a:off x="17432407" y="1649482"/>
              <a:ext cx="31367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𝑠</a:t>
              </a:r>
              <a:r>
                <a:rPr lang="es-EC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2=</a:t>
              </a:r>
              <a:endParaRPr lang="es-EC" sz="1100"/>
            </a:p>
          </xdr:txBody>
        </xdr:sp>
      </mc:Fallback>
    </mc:AlternateContent>
    <xdr:clientData/>
  </xdr:oneCellAnchor>
  <xdr:twoCellAnchor>
    <xdr:from>
      <xdr:col>4</xdr:col>
      <xdr:colOff>19049</xdr:colOff>
      <xdr:row>20</xdr:row>
      <xdr:rowOff>33337</xdr:rowOff>
    </xdr:from>
    <xdr:to>
      <xdr:col>12</xdr:col>
      <xdr:colOff>9524</xdr:colOff>
      <xdr:row>31</xdr:row>
      <xdr:rowOff>57150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DDA606D-D539-4194-A354-8875C583D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653756</xdr:colOff>
      <xdr:row>24</xdr:row>
      <xdr:rowOff>25990</xdr:rowOff>
    </xdr:from>
    <xdr:to>
      <xdr:col>17</xdr:col>
      <xdr:colOff>82827</xdr:colOff>
      <xdr:row>24</xdr:row>
      <xdr:rowOff>229501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1B8AA8-F367-4041-AEF6-E17CE5E9A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2821" y="5625033"/>
          <a:ext cx="191071" cy="203511"/>
        </a:xfrm>
        <a:prstGeom prst="rect">
          <a:avLst/>
        </a:prstGeom>
      </xdr:spPr>
    </xdr:pic>
    <xdr:clientData/>
  </xdr:twoCellAnchor>
  <xdr:oneCellAnchor>
    <xdr:from>
      <xdr:col>19</xdr:col>
      <xdr:colOff>239782</xdr:colOff>
      <xdr:row>4</xdr:row>
      <xdr:rowOff>58807</xdr:rowOff>
    </xdr:from>
    <xdr:ext cx="31367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F887048-ABB4-4EAC-9631-0C4C5EFD3818}"/>
                </a:ext>
              </a:extLst>
            </xdr:cNvPr>
            <xdr:cNvSpPr txBox="1"/>
          </xdr:nvSpPr>
          <xdr:spPr>
            <a:xfrm>
              <a:off x="12946132" y="1154182"/>
              <a:ext cx="31367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F887048-ABB4-4EAC-9631-0C4C5EFD3818}"/>
                </a:ext>
              </a:extLst>
            </xdr:cNvPr>
            <xdr:cNvSpPr txBox="1"/>
          </xdr:nvSpPr>
          <xdr:spPr>
            <a:xfrm>
              <a:off x="12946132" y="1154182"/>
              <a:ext cx="31367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𝑠</a:t>
              </a:r>
              <a:r>
                <a:rPr lang="es-EC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2=</a:t>
              </a:r>
              <a:endParaRPr lang="es-EC" sz="1100"/>
            </a:p>
          </xdr:txBody>
        </xdr:sp>
      </mc:Fallback>
    </mc:AlternateContent>
    <xdr:clientData/>
  </xdr:oneCellAnchor>
  <xdr:twoCellAnchor>
    <xdr:from>
      <xdr:col>4</xdr:col>
      <xdr:colOff>14286</xdr:colOff>
      <xdr:row>23</xdr:row>
      <xdr:rowOff>14286</xdr:rowOff>
    </xdr:from>
    <xdr:to>
      <xdr:col>11</xdr:col>
      <xdr:colOff>28575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2729F3-2D4C-4CB5-AF0D-DC750F7E6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171450</xdr:colOff>
      <xdr:row>12</xdr:row>
      <xdr:rowOff>6246</xdr:rowOff>
    </xdr:from>
    <xdr:to>
      <xdr:col>7</xdr:col>
      <xdr:colOff>695324</xdr:colOff>
      <xdr:row>12</xdr:row>
      <xdr:rowOff>214591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BB4B6A4-5300-4434-90AF-2B8127E4D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5450" y="2720871"/>
          <a:ext cx="523874" cy="208345"/>
        </a:xfrm>
        <a:prstGeom prst="rect">
          <a:avLst/>
        </a:prstGeom>
      </xdr:spPr>
    </xdr:pic>
    <xdr:clientData/>
  </xdr:twoCellAnchor>
  <xdr:twoCellAnchor editAs="oneCell">
    <xdr:from>
      <xdr:col>8</xdr:col>
      <xdr:colOff>150446</xdr:colOff>
      <xdr:row>12</xdr:row>
      <xdr:rowOff>12463</xdr:rowOff>
    </xdr:from>
    <xdr:to>
      <xdr:col>8</xdr:col>
      <xdr:colOff>656067</xdr:colOff>
      <xdr:row>12</xdr:row>
      <xdr:rowOff>196721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6472AF9-5FD6-4A2D-AD8A-7B6A01619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46446" y="2727088"/>
          <a:ext cx="505621" cy="184258"/>
        </a:xfrm>
        <a:prstGeom prst="rect">
          <a:avLst/>
        </a:prstGeom>
      </xdr:spPr>
    </xdr:pic>
    <xdr:clientData/>
  </xdr:twoCellAnchor>
  <xdr:twoCellAnchor editAs="oneCell">
    <xdr:from>
      <xdr:col>9</xdr:col>
      <xdr:colOff>216618</xdr:colOff>
      <xdr:row>12</xdr:row>
      <xdr:rowOff>8284</xdr:rowOff>
    </xdr:from>
    <xdr:to>
      <xdr:col>9</xdr:col>
      <xdr:colOff>598610</xdr:colOff>
      <xdr:row>12</xdr:row>
      <xdr:rowOff>204902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E90A49C-97A2-4531-B12F-7474A20E2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74618" y="2722909"/>
          <a:ext cx="381992" cy="196618"/>
        </a:xfrm>
        <a:prstGeom prst="rect">
          <a:avLst/>
        </a:prstGeom>
      </xdr:spPr>
    </xdr:pic>
    <xdr:clientData/>
  </xdr:twoCellAnchor>
  <xdr:twoCellAnchor editAs="oneCell">
    <xdr:from>
      <xdr:col>10</xdr:col>
      <xdr:colOff>168779</xdr:colOff>
      <xdr:row>12</xdr:row>
      <xdr:rowOff>0</xdr:rowOff>
    </xdr:from>
    <xdr:to>
      <xdr:col>10</xdr:col>
      <xdr:colOff>666791</xdr:colOff>
      <xdr:row>12</xdr:row>
      <xdr:rowOff>220771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2B2708C-5B87-4424-88F5-E898396B6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88779" y="2714625"/>
          <a:ext cx="498012" cy="220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FE0F-EE4A-4BA6-9271-444D7096F621}">
  <dimension ref="B2:P52"/>
  <sheetViews>
    <sheetView topLeftCell="A4" zoomScale="85" zoomScaleNormal="85" workbookViewId="0">
      <selection activeCell="S17" sqref="S17"/>
    </sheetView>
  </sheetViews>
  <sheetFormatPr baseColWidth="10" defaultRowHeight="15" x14ac:dyDescent="0.25"/>
  <cols>
    <col min="14" max="14" width="15" customWidth="1"/>
  </cols>
  <sheetData>
    <row r="2" spans="2:16" ht="19.5" x14ac:dyDescent="0.25">
      <c r="B2" s="40" t="s">
        <v>158</v>
      </c>
      <c r="C2" s="45" t="s">
        <v>161</v>
      </c>
      <c r="D2" s="46"/>
    </row>
    <row r="3" spans="2:16" ht="19.5" x14ac:dyDescent="0.25">
      <c r="B3" s="40" t="s">
        <v>159</v>
      </c>
      <c r="C3" s="45" t="s">
        <v>162</v>
      </c>
      <c r="D3" s="46"/>
    </row>
    <row r="4" spans="2:16" ht="19.5" x14ac:dyDescent="0.25">
      <c r="B4" s="40" t="s">
        <v>160</v>
      </c>
      <c r="C4" s="47">
        <v>44748</v>
      </c>
      <c r="D4" s="48"/>
    </row>
    <row r="7" spans="2:16" ht="18" x14ac:dyDescent="0.25">
      <c r="B7" s="44" t="s">
        <v>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2:16" ht="18" x14ac:dyDescent="0.25">
      <c r="B8" s="24"/>
      <c r="C8" s="24"/>
      <c r="D8" s="24"/>
      <c r="E8" s="24"/>
      <c r="F8" s="24"/>
      <c r="G8" s="24"/>
      <c r="H8" s="24"/>
      <c r="I8" s="2"/>
      <c r="J8" s="2"/>
      <c r="K8" s="2"/>
      <c r="L8" s="2"/>
      <c r="M8" s="2"/>
      <c r="N8" s="2"/>
      <c r="O8" s="2"/>
    </row>
    <row r="9" spans="2:16" ht="18" x14ac:dyDescent="0.25">
      <c r="B9" s="5" t="s">
        <v>0</v>
      </c>
      <c r="C9" s="5"/>
      <c r="D9" s="5"/>
      <c r="E9" s="5"/>
      <c r="F9" s="5"/>
      <c r="G9" s="5"/>
      <c r="H9" s="5"/>
      <c r="I9" s="2"/>
      <c r="J9" s="2"/>
      <c r="K9" s="17" t="s">
        <v>15</v>
      </c>
      <c r="L9" s="17" t="s">
        <v>16</v>
      </c>
      <c r="M9" s="18"/>
      <c r="N9" s="18"/>
      <c r="O9" s="18"/>
    </row>
    <row r="10" spans="2:16" ht="18" x14ac:dyDescent="0.25">
      <c r="B10" s="1"/>
      <c r="C10" s="1"/>
      <c r="D10" s="1"/>
      <c r="E10" s="1"/>
      <c r="F10" s="1"/>
      <c r="G10" s="1"/>
      <c r="H10" s="1"/>
      <c r="I10" s="2"/>
      <c r="J10" s="2"/>
      <c r="K10" s="12">
        <v>3</v>
      </c>
      <c r="L10" s="12">
        <v>2</v>
      </c>
      <c r="M10" s="12">
        <f>ABS(K10-C$19)</f>
        <v>2</v>
      </c>
      <c r="N10" s="12">
        <f>M10*L10</f>
        <v>4</v>
      </c>
      <c r="O10" s="12">
        <f>M10^2</f>
        <v>4</v>
      </c>
    </row>
    <row r="11" spans="2:16" ht="18" x14ac:dyDescent="0.25">
      <c r="B11" s="4">
        <v>8</v>
      </c>
      <c r="C11" s="4">
        <v>7</v>
      </c>
      <c r="D11" s="4">
        <v>4</v>
      </c>
      <c r="E11" s="4">
        <v>3</v>
      </c>
      <c r="F11" s="4">
        <v>3</v>
      </c>
      <c r="G11" s="1"/>
      <c r="H11" s="1"/>
      <c r="I11" s="2"/>
      <c r="J11" s="2"/>
      <c r="K11" s="12">
        <v>4</v>
      </c>
      <c r="L11" s="12">
        <v>1</v>
      </c>
      <c r="M11" s="12">
        <f>ABS(K11-C$19)</f>
        <v>1</v>
      </c>
      <c r="N11" s="12">
        <f t="shared" ref="N11:N13" si="0">M11*L11</f>
        <v>1</v>
      </c>
      <c r="O11" s="12">
        <f t="shared" ref="O11:O13" si="1">M11^2</f>
        <v>1</v>
      </c>
    </row>
    <row r="12" spans="2:16" ht="18" x14ac:dyDescent="0.25">
      <c r="B12" s="1"/>
      <c r="C12" s="1"/>
      <c r="D12" s="1"/>
      <c r="E12" s="1"/>
      <c r="F12" s="1"/>
      <c r="G12" s="1"/>
      <c r="H12" s="1"/>
      <c r="I12" s="2"/>
      <c r="J12" s="2"/>
      <c r="K12" s="12">
        <v>7</v>
      </c>
      <c r="L12" s="12">
        <v>1</v>
      </c>
      <c r="M12" s="12">
        <f>ABS(K12-C$19)</f>
        <v>2</v>
      </c>
      <c r="N12" s="12">
        <f t="shared" si="0"/>
        <v>2</v>
      </c>
      <c r="O12" s="12">
        <f t="shared" si="1"/>
        <v>4</v>
      </c>
    </row>
    <row r="13" spans="2:16" ht="18" x14ac:dyDescent="0.25">
      <c r="B13" s="1"/>
      <c r="C13" s="1"/>
      <c r="D13" s="1"/>
      <c r="E13" s="1"/>
      <c r="F13" s="1"/>
      <c r="G13" s="1"/>
      <c r="H13" s="1"/>
      <c r="I13" s="2"/>
      <c r="J13" s="2"/>
      <c r="K13" s="12">
        <v>8</v>
      </c>
      <c r="L13" s="12">
        <v>1</v>
      </c>
      <c r="M13" s="12">
        <f>ABS(K13-C$19)</f>
        <v>3</v>
      </c>
      <c r="N13" s="12">
        <f t="shared" si="0"/>
        <v>3</v>
      </c>
      <c r="O13" s="12">
        <f t="shared" si="1"/>
        <v>9</v>
      </c>
    </row>
    <row r="14" spans="2:16" ht="18" x14ac:dyDescent="0.25">
      <c r="B14" s="1"/>
      <c r="C14" s="1"/>
      <c r="D14" s="1"/>
      <c r="E14" s="1"/>
      <c r="F14" s="1"/>
      <c r="G14" s="1"/>
      <c r="H14" s="1"/>
      <c r="I14" s="2"/>
      <c r="J14" s="2"/>
      <c r="K14" s="12"/>
      <c r="L14" s="12">
        <v>5</v>
      </c>
      <c r="M14" s="12"/>
      <c r="N14" s="12">
        <f>SUM(N10:N13)</f>
        <v>10</v>
      </c>
      <c r="O14" s="12">
        <f>SUM(O10:O13)</f>
        <v>18</v>
      </c>
    </row>
    <row r="15" spans="2:16" ht="18.75" x14ac:dyDescent="0.3">
      <c r="B15" s="1"/>
      <c r="C15" s="1"/>
      <c r="D15" s="1"/>
      <c r="E15" s="1"/>
      <c r="F15" s="9"/>
      <c r="G15" s="9"/>
      <c r="H15" s="9"/>
      <c r="I15" s="6"/>
      <c r="J15" s="6"/>
      <c r="K15" s="6"/>
      <c r="L15" s="6"/>
      <c r="M15" s="6"/>
      <c r="N15" s="6"/>
      <c r="O15" s="6"/>
    </row>
    <row r="16" spans="2:16" ht="18.75" x14ac:dyDescent="0.3">
      <c r="B16" s="1"/>
      <c r="C16" s="1"/>
      <c r="D16" s="1"/>
      <c r="E16" s="1"/>
      <c r="F16" s="9"/>
      <c r="G16" s="9"/>
      <c r="H16" s="9"/>
      <c r="I16" s="9"/>
      <c r="J16" s="6"/>
      <c r="K16" s="6"/>
      <c r="L16" s="6"/>
      <c r="M16" s="6"/>
      <c r="N16" s="6"/>
      <c r="O16" s="6"/>
      <c r="P16" s="6"/>
    </row>
    <row r="17" spans="2:16" ht="18.75" x14ac:dyDescent="0.3">
      <c r="B17" s="3" t="s">
        <v>2</v>
      </c>
      <c r="C17" s="3"/>
      <c r="D17" s="3"/>
      <c r="E17" s="3"/>
      <c r="F17" s="3"/>
      <c r="G17" s="9"/>
      <c r="H17" s="9"/>
      <c r="I17" s="9"/>
      <c r="J17" s="6"/>
      <c r="K17" s="49" t="s">
        <v>151</v>
      </c>
      <c r="L17" s="50"/>
      <c r="M17" s="50"/>
      <c r="N17" s="50"/>
      <c r="O17" s="51"/>
      <c r="P17" s="6"/>
    </row>
    <row r="18" spans="2:16" ht="18.75" x14ac:dyDescent="0.3">
      <c r="B18" s="1"/>
      <c r="C18" s="1"/>
      <c r="D18" s="1"/>
      <c r="E18" s="1"/>
      <c r="F18" s="1"/>
      <c r="G18" s="9"/>
      <c r="H18" s="9"/>
      <c r="I18" s="9"/>
      <c r="J18" s="6"/>
      <c r="K18" s="2"/>
      <c r="L18" s="2"/>
      <c r="M18" s="2"/>
      <c r="N18" s="2"/>
      <c r="O18" s="2"/>
      <c r="P18" s="6"/>
    </row>
    <row r="19" spans="2:16" ht="19.5" x14ac:dyDescent="0.3">
      <c r="B19" s="4" t="s">
        <v>8</v>
      </c>
      <c r="C19" s="4">
        <f>SUM(B11:F11)/5</f>
        <v>5</v>
      </c>
      <c r="D19" s="9"/>
      <c r="E19" s="9"/>
      <c r="F19" s="1"/>
      <c r="G19" s="9"/>
      <c r="H19" s="9"/>
      <c r="I19" s="9"/>
      <c r="J19" s="6"/>
      <c r="K19" s="52" t="s">
        <v>129</v>
      </c>
      <c r="L19" s="53"/>
      <c r="M19" s="53"/>
      <c r="N19" s="53"/>
      <c r="O19" s="54"/>
      <c r="P19" s="6"/>
    </row>
    <row r="20" spans="2:16" ht="18.75" x14ac:dyDescent="0.3">
      <c r="B20" s="9"/>
      <c r="C20" s="9"/>
      <c r="D20" s="9"/>
      <c r="E20" s="9"/>
      <c r="F20" s="1"/>
      <c r="G20" s="9"/>
      <c r="H20" s="9"/>
      <c r="I20" s="9"/>
      <c r="J20" s="6"/>
      <c r="K20" s="35" t="s">
        <v>130</v>
      </c>
      <c r="L20" s="36"/>
      <c r="M20" s="36"/>
      <c r="N20" s="36"/>
      <c r="O20" s="37"/>
      <c r="P20" s="6"/>
    </row>
    <row r="21" spans="2:16" ht="18.75" x14ac:dyDescent="0.3">
      <c r="B21" s="58" t="s">
        <v>3</v>
      </c>
      <c r="C21" s="58"/>
      <c r="D21" s="58"/>
      <c r="E21" s="58"/>
      <c r="F21" s="1"/>
      <c r="G21" s="9"/>
      <c r="H21" s="9"/>
      <c r="I21" s="9"/>
      <c r="J21" s="6"/>
      <c r="K21" s="24"/>
      <c r="L21" s="24"/>
      <c r="M21" s="24"/>
      <c r="N21" s="24"/>
      <c r="O21" s="24"/>
      <c r="P21" s="6"/>
    </row>
    <row r="22" spans="2:16" ht="18.75" x14ac:dyDescent="0.3">
      <c r="B22" s="3"/>
      <c r="C22" s="3"/>
      <c r="D22" s="3"/>
      <c r="E22" s="3"/>
      <c r="F22" s="1"/>
      <c r="G22" s="6"/>
      <c r="H22" s="6"/>
      <c r="I22" s="6"/>
      <c r="J22" s="6"/>
      <c r="K22" s="52" t="s">
        <v>32</v>
      </c>
      <c r="L22" s="53"/>
      <c r="M22" s="53"/>
      <c r="N22" s="53"/>
      <c r="O22" s="54"/>
      <c r="P22" s="6"/>
    </row>
    <row r="23" spans="2:16" ht="18.75" x14ac:dyDescent="0.3">
      <c r="B23" s="4" t="s">
        <v>9</v>
      </c>
      <c r="C23" s="4">
        <v>4</v>
      </c>
      <c r="D23" s="3"/>
      <c r="E23" s="3"/>
      <c r="F23" s="1"/>
      <c r="G23" s="6"/>
      <c r="H23" s="6"/>
      <c r="I23" s="6"/>
      <c r="J23" s="6"/>
      <c r="K23" s="38" t="s">
        <v>131</v>
      </c>
      <c r="L23" s="38"/>
      <c r="M23" s="38"/>
      <c r="N23" s="35"/>
      <c r="O23" s="37"/>
      <c r="P23" s="6"/>
    </row>
    <row r="24" spans="2:16" ht="18.75" x14ac:dyDescent="0.3">
      <c r="B24" s="1"/>
      <c r="C24" s="1"/>
      <c r="D24" s="1"/>
      <c r="E24" s="1"/>
      <c r="F24" s="1"/>
      <c r="G24" s="6"/>
      <c r="H24" s="6"/>
      <c r="I24" s="6"/>
      <c r="J24" s="6"/>
      <c r="K24" s="24"/>
      <c r="L24" s="24"/>
      <c r="M24" s="24"/>
      <c r="N24" s="24"/>
      <c r="O24" s="24"/>
      <c r="P24" s="6"/>
    </row>
    <row r="25" spans="2:16" ht="18.75" x14ac:dyDescent="0.3">
      <c r="B25" s="58" t="s">
        <v>4</v>
      </c>
      <c r="C25" s="58"/>
      <c r="D25" s="58"/>
      <c r="E25" s="58"/>
      <c r="F25" s="1"/>
      <c r="G25" s="6"/>
      <c r="H25" s="6"/>
      <c r="I25" s="6"/>
      <c r="J25" s="6"/>
      <c r="K25" s="52" t="s">
        <v>42</v>
      </c>
      <c r="L25" s="53"/>
      <c r="M25" s="53"/>
      <c r="N25" s="53"/>
      <c r="O25" s="54"/>
      <c r="P25" s="6"/>
    </row>
    <row r="26" spans="2:16" ht="18.75" x14ac:dyDescent="0.3">
      <c r="B26" s="3"/>
      <c r="C26" s="3"/>
      <c r="D26" s="3"/>
      <c r="E26" s="3"/>
      <c r="F26" s="1"/>
      <c r="G26" s="6"/>
      <c r="H26" s="6"/>
      <c r="I26" s="6"/>
      <c r="J26" s="6"/>
      <c r="K26" s="55" t="s">
        <v>132</v>
      </c>
      <c r="L26" s="56"/>
      <c r="M26" s="56"/>
      <c r="N26" s="56"/>
      <c r="O26" s="57"/>
      <c r="P26" s="6"/>
    </row>
    <row r="27" spans="2:16" ht="18.75" x14ac:dyDescent="0.3">
      <c r="B27" s="4" t="s">
        <v>10</v>
      </c>
      <c r="C27" s="4">
        <v>3</v>
      </c>
      <c r="D27" s="3"/>
      <c r="E27" s="1"/>
      <c r="F27" s="1"/>
      <c r="G27" s="6"/>
      <c r="H27" s="6"/>
      <c r="I27" s="6"/>
      <c r="J27" s="6"/>
      <c r="K27" s="2"/>
      <c r="L27" s="2"/>
      <c r="M27" s="2"/>
      <c r="N27" s="2"/>
      <c r="O27" s="2"/>
      <c r="P27" s="6"/>
    </row>
    <row r="28" spans="2:16" ht="18.75" x14ac:dyDescent="0.3">
      <c r="B28" s="1"/>
      <c r="C28" s="1"/>
      <c r="D28" s="1"/>
      <c r="E28" s="3"/>
      <c r="F28" s="1"/>
      <c r="G28" s="6"/>
      <c r="H28" s="6"/>
      <c r="I28" s="6"/>
      <c r="J28" s="6"/>
      <c r="K28" s="52" t="s">
        <v>59</v>
      </c>
      <c r="L28" s="53"/>
      <c r="M28" s="53"/>
      <c r="N28" s="53"/>
      <c r="O28" s="54"/>
      <c r="P28" s="6"/>
    </row>
    <row r="29" spans="2:16" ht="18.75" x14ac:dyDescent="0.3">
      <c r="B29" s="3" t="s">
        <v>5</v>
      </c>
      <c r="C29" s="3"/>
      <c r="D29" s="3"/>
      <c r="E29" s="1"/>
      <c r="F29" s="1"/>
      <c r="G29" s="6"/>
      <c r="H29" s="6"/>
      <c r="I29" s="6"/>
      <c r="J29" s="6"/>
      <c r="K29" s="55" t="s">
        <v>134</v>
      </c>
      <c r="L29" s="56"/>
      <c r="M29" s="56"/>
      <c r="N29" s="56"/>
      <c r="O29" s="57"/>
      <c r="P29" s="6"/>
    </row>
    <row r="30" spans="2:16" ht="18.75" x14ac:dyDescent="0.3">
      <c r="B30" s="3"/>
      <c r="C30" s="3"/>
      <c r="D30" s="3"/>
      <c r="E30" s="1"/>
      <c r="F30" s="2"/>
      <c r="G30" s="6"/>
      <c r="H30" s="6"/>
      <c r="I30" s="6"/>
      <c r="J30" s="6"/>
      <c r="K30" s="2"/>
      <c r="L30" s="2"/>
      <c r="M30" s="2"/>
      <c r="N30" s="2"/>
      <c r="O30" s="2"/>
      <c r="P30" s="6"/>
    </row>
    <row r="31" spans="2:16" ht="18.75" x14ac:dyDescent="0.3">
      <c r="B31" s="4" t="s">
        <v>11</v>
      </c>
      <c r="C31" s="4">
        <f>B11-F11</f>
        <v>5</v>
      </c>
      <c r="D31" s="3"/>
      <c r="E31" s="1"/>
      <c r="F31" s="2"/>
      <c r="G31" s="6"/>
      <c r="H31" s="6"/>
      <c r="I31" s="6"/>
      <c r="J31" s="6"/>
      <c r="K31" s="52" t="s">
        <v>133</v>
      </c>
      <c r="L31" s="53"/>
      <c r="M31" s="53"/>
      <c r="N31" s="53"/>
      <c r="O31" s="54"/>
      <c r="P31" s="6"/>
    </row>
    <row r="32" spans="2:16" ht="18.75" x14ac:dyDescent="0.3">
      <c r="B32" s="1"/>
      <c r="C32" s="1"/>
      <c r="D32" s="1"/>
      <c r="E32" s="3"/>
      <c r="F32" s="2"/>
      <c r="G32" s="6"/>
      <c r="H32" s="6"/>
      <c r="I32" s="6"/>
      <c r="J32" s="6"/>
      <c r="K32" s="55" t="s">
        <v>135</v>
      </c>
      <c r="L32" s="56"/>
      <c r="M32" s="56"/>
      <c r="N32" s="56"/>
      <c r="O32" s="57"/>
    </row>
    <row r="33" spans="2:15" ht="18.75" x14ac:dyDescent="0.3">
      <c r="B33" s="3" t="s">
        <v>6</v>
      </c>
      <c r="C33" s="3"/>
      <c r="D33" s="3"/>
      <c r="E33" s="1"/>
      <c r="F33" s="2"/>
      <c r="G33" s="6"/>
      <c r="H33" s="6"/>
      <c r="I33" s="6"/>
      <c r="J33" s="6"/>
      <c r="K33" s="6"/>
      <c r="L33" s="6"/>
      <c r="M33" s="6"/>
      <c r="N33" s="6"/>
      <c r="O33" s="6"/>
    </row>
    <row r="34" spans="2:15" ht="18.75" x14ac:dyDescent="0.3">
      <c r="B34" s="3"/>
      <c r="C34" s="3"/>
      <c r="D34" s="3"/>
      <c r="E34" s="1"/>
      <c r="F34" s="2"/>
      <c r="G34" s="6"/>
      <c r="H34" s="6"/>
      <c r="I34" s="6"/>
      <c r="J34" s="6"/>
      <c r="K34" s="6"/>
      <c r="L34" s="6"/>
      <c r="M34" s="6"/>
      <c r="N34" s="6"/>
      <c r="O34" s="6"/>
    </row>
    <row r="35" spans="2:15" ht="18.75" x14ac:dyDescent="0.3">
      <c r="B35" s="1" t="s">
        <v>13</v>
      </c>
      <c r="C35" s="1">
        <f>(B11+C11)/2</f>
        <v>7.5</v>
      </c>
      <c r="D35" s="1" t="s">
        <v>12</v>
      </c>
      <c r="E35" s="1">
        <f>(E11+F11)/2</f>
        <v>3</v>
      </c>
      <c r="F35" s="2"/>
      <c r="G35" s="6"/>
      <c r="H35" s="6"/>
      <c r="I35" s="6"/>
      <c r="J35" s="6"/>
      <c r="K35" s="6"/>
      <c r="L35" s="6"/>
      <c r="M35" s="6"/>
      <c r="N35" s="6"/>
      <c r="O35" s="6"/>
    </row>
    <row r="36" spans="2:15" ht="18.75" x14ac:dyDescent="0.3">
      <c r="B36" s="1"/>
      <c r="C36" s="1"/>
      <c r="D36" s="1"/>
      <c r="E36" s="1"/>
      <c r="F36" s="2"/>
      <c r="G36" s="6"/>
      <c r="H36" s="6"/>
      <c r="I36" s="6"/>
      <c r="J36" s="6"/>
      <c r="K36" s="6"/>
      <c r="L36" s="6"/>
      <c r="M36" s="6"/>
      <c r="N36" s="6"/>
      <c r="O36" s="6"/>
    </row>
    <row r="37" spans="2:15" ht="18.75" x14ac:dyDescent="0.3">
      <c r="B37" s="1" t="s">
        <v>14</v>
      </c>
      <c r="C37" s="1">
        <f>C35-E35</f>
        <v>4.5</v>
      </c>
      <c r="D37" s="1"/>
      <c r="E37" s="1"/>
      <c r="F37" s="2"/>
      <c r="G37" s="6"/>
      <c r="H37" s="6"/>
      <c r="I37" s="6"/>
      <c r="J37" s="6"/>
      <c r="K37" s="6"/>
      <c r="L37" s="6"/>
      <c r="M37" s="6"/>
      <c r="N37" s="6"/>
      <c r="O37" s="6"/>
    </row>
    <row r="38" spans="2:15" ht="18.75" x14ac:dyDescent="0.3">
      <c r="B38" s="1"/>
      <c r="C38" s="1"/>
      <c r="D38" s="1"/>
      <c r="E38" s="1"/>
      <c r="F38" s="2"/>
      <c r="G38" s="6"/>
      <c r="H38" s="6"/>
      <c r="I38" s="6"/>
      <c r="J38" s="6"/>
      <c r="K38" s="6"/>
      <c r="L38" s="6"/>
      <c r="M38" s="6"/>
      <c r="N38" s="6"/>
      <c r="O38" s="6"/>
    </row>
    <row r="39" spans="2:15" ht="18.75" x14ac:dyDescent="0.3">
      <c r="B39" s="3" t="s">
        <v>7</v>
      </c>
      <c r="C39" s="3"/>
      <c r="D39" s="3"/>
      <c r="E39" s="3"/>
      <c r="F39" s="2"/>
      <c r="G39" s="6"/>
      <c r="H39" s="6"/>
      <c r="I39" s="6"/>
      <c r="J39" s="6"/>
      <c r="K39" s="6"/>
      <c r="L39" s="6"/>
      <c r="M39" s="6"/>
      <c r="N39" s="6"/>
      <c r="O39" s="6"/>
    </row>
    <row r="40" spans="2:15" ht="18.75" x14ac:dyDescent="0.3">
      <c r="B40" s="14"/>
      <c r="C40" s="2"/>
      <c r="D40" s="2"/>
      <c r="E40" s="2"/>
      <c r="F40" s="2"/>
      <c r="G40" s="6"/>
      <c r="H40" s="6"/>
      <c r="I40" s="6"/>
      <c r="J40" s="6"/>
      <c r="K40" s="6"/>
      <c r="L40" s="6"/>
      <c r="M40" s="6"/>
      <c r="N40" s="6"/>
      <c r="O40" s="6"/>
    </row>
    <row r="41" spans="2:15" ht="18.75" x14ac:dyDescent="0.3">
      <c r="B41" s="2"/>
      <c r="C41" s="2">
        <v>2</v>
      </c>
      <c r="D41" s="2"/>
      <c r="E41" s="2"/>
      <c r="F41" s="2"/>
      <c r="G41" s="6"/>
      <c r="H41" s="6"/>
      <c r="I41" s="6"/>
      <c r="J41" s="6"/>
      <c r="K41" s="6"/>
      <c r="L41" s="6"/>
      <c r="M41" s="6"/>
      <c r="N41" s="6"/>
      <c r="O41" s="6"/>
    </row>
    <row r="42" spans="2:15" ht="18.75" x14ac:dyDescent="0.3">
      <c r="B42" s="2"/>
      <c r="C42" s="2"/>
      <c r="D42" s="2"/>
      <c r="E42" s="2"/>
      <c r="F42" s="2"/>
      <c r="G42" s="6"/>
      <c r="H42" s="6"/>
      <c r="I42" s="6"/>
      <c r="J42" s="6"/>
      <c r="K42" s="6"/>
      <c r="L42" s="6"/>
      <c r="M42" s="6"/>
      <c r="N42" s="6"/>
      <c r="O42" s="6"/>
    </row>
    <row r="43" spans="2:15" ht="18.75" x14ac:dyDescent="0.3">
      <c r="B43" s="5" t="s">
        <v>18</v>
      </c>
      <c r="C43" s="5"/>
      <c r="D43" s="5"/>
      <c r="E43" s="2"/>
      <c r="F43" s="2"/>
      <c r="G43" s="6"/>
      <c r="H43" s="6"/>
      <c r="I43" s="6"/>
      <c r="J43" s="6"/>
      <c r="K43" s="6"/>
      <c r="L43" s="6"/>
      <c r="M43" s="6"/>
      <c r="N43" s="6"/>
      <c r="O43" s="6"/>
    </row>
    <row r="44" spans="2:15" ht="18.75" x14ac:dyDescent="0.3">
      <c r="B44" s="2"/>
      <c r="C44" s="2"/>
      <c r="D44" s="2"/>
      <c r="E44" s="2"/>
      <c r="F44" s="2"/>
      <c r="G44" s="6"/>
      <c r="H44" s="6"/>
      <c r="I44" s="6"/>
      <c r="J44" s="6"/>
      <c r="K44" s="6"/>
      <c r="L44" s="6"/>
      <c r="M44" s="6"/>
      <c r="N44" s="6"/>
      <c r="O44" s="6"/>
    </row>
    <row r="45" spans="2:15" ht="18.75" x14ac:dyDescent="0.3">
      <c r="B45" s="2">
        <f>O14/(L14-1)</f>
        <v>4.5</v>
      </c>
      <c r="C45" s="2"/>
      <c r="D45" s="2"/>
      <c r="E45" s="2"/>
      <c r="F45" s="2"/>
      <c r="G45" s="6"/>
      <c r="H45" s="6"/>
      <c r="I45" s="6"/>
      <c r="J45" s="6"/>
      <c r="K45" s="6"/>
      <c r="L45" s="6"/>
      <c r="M45" s="6"/>
      <c r="N45" s="6"/>
      <c r="O45" s="6"/>
    </row>
    <row r="46" spans="2:15" ht="18.75" x14ac:dyDescent="0.3">
      <c r="B46" s="2"/>
      <c r="C46" s="2"/>
      <c r="D46" s="2"/>
      <c r="E46" s="2"/>
      <c r="F46" s="2"/>
      <c r="G46" s="6"/>
      <c r="H46" s="6"/>
      <c r="I46" s="6"/>
      <c r="J46" s="6"/>
      <c r="K46" s="6"/>
      <c r="L46" s="6"/>
      <c r="M46" s="6"/>
      <c r="N46" s="6"/>
      <c r="O46" s="6"/>
    </row>
    <row r="47" spans="2:15" ht="18.75" x14ac:dyDescent="0.3">
      <c r="B47" s="5" t="s">
        <v>19</v>
      </c>
      <c r="C47" s="5"/>
      <c r="D47" s="5"/>
      <c r="E47" s="5"/>
      <c r="F47" s="23"/>
      <c r="J47" s="6"/>
      <c r="K47" s="6"/>
      <c r="L47" s="6"/>
      <c r="M47" s="6"/>
      <c r="N47" s="6"/>
      <c r="O47" s="6"/>
    </row>
    <row r="48" spans="2:15" ht="18.75" x14ac:dyDescent="0.3">
      <c r="B48" s="2"/>
      <c r="C48" s="2"/>
      <c r="D48" s="2"/>
      <c r="E48" s="2"/>
      <c r="F48" s="23"/>
      <c r="K48" s="6"/>
      <c r="L48" s="6"/>
      <c r="M48" s="6"/>
      <c r="N48" s="6"/>
    </row>
    <row r="49" spans="2:5" ht="18" x14ac:dyDescent="0.25">
      <c r="B49" s="2">
        <f>ROUND(SQRT(B45),2)</f>
        <v>2.12</v>
      </c>
      <c r="C49" s="2"/>
      <c r="D49" s="2"/>
      <c r="E49" s="2"/>
    </row>
    <row r="50" spans="2:5" ht="18" x14ac:dyDescent="0.25">
      <c r="B50" s="2"/>
      <c r="C50" s="2"/>
      <c r="D50" s="2"/>
      <c r="E50" s="2"/>
    </row>
    <row r="51" spans="2:5" ht="18.75" x14ac:dyDescent="0.3">
      <c r="B51" s="23"/>
      <c r="C51" s="23"/>
      <c r="D51" s="23"/>
      <c r="E51" s="23"/>
    </row>
    <row r="52" spans="2:5" ht="18.75" x14ac:dyDescent="0.3">
      <c r="B52" s="23"/>
      <c r="C52" s="23"/>
      <c r="D52" s="23"/>
      <c r="E52" s="23"/>
    </row>
  </sheetData>
  <mergeCells count="15">
    <mergeCell ref="K31:O31"/>
    <mergeCell ref="K32:O32"/>
    <mergeCell ref="K29:O29"/>
    <mergeCell ref="B21:E21"/>
    <mergeCell ref="B25:E25"/>
    <mergeCell ref="K25:O25"/>
    <mergeCell ref="K26:O26"/>
    <mergeCell ref="K19:O19"/>
    <mergeCell ref="K22:O22"/>
    <mergeCell ref="K28:O28"/>
    <mergeCell ref="B7:O7"/>
    <mergeCell ref="C2:D2"/>
    <mergeCell ref="C3:D3"/>
    <mergeCell ref="C4:D4"/>
    <mergeCell ref="K17:O1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2E93-2057-4635-BC7D-68A5E7699947}">
  <dimension ref="B2:S45"/>
  <sheetViews>
    <sheetView topLeftCell="A12" zoomScale="90" zoomScaleNormal="90" workbookViewId="0">
      <selection activeCell="W38" sqref="W38"/>
    </sheetView>
  </sheetViews>
  <sheetFormatPr baseColWidth="10" defaultRowHeight="15" x14ac:dyDescent="0.25"/>
  <cols>
    <col min="3" max="3" width="11.85546875" bestFit="1" customWidth="1"/>
    <col min="16" max="16" width="14.7109375" customWidth="1"/>
    <col min="19" max="19" width="15.85546875" customWidth="1"/>
  </cols>
  <sheetData>
    <row r="2" spans="2:19" ht="18" x14ac:dyDescent="0.25">
      <c r="B2" s="60" t="s">
        <v>21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2:19" ht="1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</row>
    <row r="4" spans="2:19" ht="18" x14ac:dyDescent="0.25">
      <c r="B4" s="12">
        <v>14</v>
      </c>
      <c r="C4" s="12">
        <v>13</v>
      </c>
      <c r="D4" s="12">
        <v>12</v>
      </c>
      <c r="E4" s="12">
        <v>12</v>
      </c>
      <c r="F4" s="12">
        <v>12</v>
      </c>
      <c r="G4" s="12">
        <v>11</v>
      </c>
      <c r="H4" s="12">
        <v>9</v>
      </c>
      <c r="I4" s="12">
        <v>8</v>
      </c>
      <c r="J4" s="12">
        <v>8</v>
      </c>
      <c r="K4" s="2"/>
      <c r="L4" s="2"/>
      <c r="O4" s="17" t="s">
        <v>28</v>
      </c>
      <c r="P4" s="17" t="s">
        <v>29</v>
      </c>
      <c r="Q4" s="17"/>
      <c r="R4" s="17"/>
      <c r="S4" s="17"/>
    </row>
    <row r="5" spans="2:19" ht="18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O5" s="12">
        <v>8</v>
      </c>
      <c r="P5" s="12">
        <v>2</v>
      </c>
      <c r="Q5" s="12">
        <f t="shared" ref="Q5:Q10" si="0">ABS(O5-C$15)</f>
        <v>3</v>
      </c>
      <c r="R5" s="12">
        <f>Q5*P5</f>
        <v>6</v>
      </c>
      <c r="S5" s="12">
        <f>Q5^2</f>
        <v>9</v>
      </c>
    </row>
    <row r="6" spans="2:19" ht="18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O6" s="12">
        <v>9</v>
      </c>
      <c r="P6" s="12">
        <v>1</v>
      </c>
      <c r="Q6" s="12">
        <f t="shared" si="0"/>
        <v>2</v>
      </c>
      <c r="R6" s="12">
        <f t="shared" ref="R6:R10" si="1">Q6*P6</f>
        <v>2</v>
      </c>
      <c r="S6" s="12">
        <f t="shared" ref="S6:S10" si="2">Q6^2</f>
        <v>4</v>
      </c>
    </row>
    <row r="7" spans="2:19" ht="18" x14ac:dyDescent="0.25">
      <c r="B7" s="2"/>
      <c r="C7" s="2"/>
      <c r="D7" s="2"/>
      <c r="E7" s="2"/>
      <c r="F7" s="2"/>
      <c r="G7" s="2"/>
      <c r="O7" s="12">
        <v>11</v>
      </c>
      <c r="P7" s="12">
        <v>1</v>
      </c>
      <c r="Q7" s="12">
        <f t="shared" si="0"/>
        <v>0</v>
      </c>
      <c r="R7" s="12">
        <f t="shared" si="1"/>
        <v>0</v>
      </c>
      <c r="S7" s="12">
        <f t="shared" si="2"/>
        <v>0</v>
      </c>
    </row>
    <row r="8" spans="2:19" ht="18" x14ac:dyDescent="0.25">
      <c r="B8" s="2"/>
      <c r="C8" s="2"/>
      <c r="D8" s="2"/>
      <c r="E8" s="2"/>
      <c r="F8" s="2"/>
      <c r="G8" s="2"/>
      <c r="O8" s="12">
        <v>12</v>
      </c>
      <c r="P8" s="12">
        <v>3</v>
      </c>
      <c r="Q8" s="12">
        <f t="shared" si="0"/>
        <v>1</v>
      </c>
      <c r="R8" s="12">
        <f t="shared" si="1"/>
        <v>3</v>
      </c>
      <c r="S8" s="12">
        <f t="shared" si="2"/>
        <v>1</v>
      </c>
    </row>
    <row r="9" spans="2:19" ht="18" x14ac:dyDescent="0.25">
      <c r="B9" s="2"/>
      <c r="C9" s="2"/>
      <c r="D9" s="2"/>
      <c r="E9" s="2"/>
      <c r="F9" s="2"/>
      <c r="G9" s="2"/>
      <c r="O9" s="12">
        <v>13</v>
      </c>
      <c r="P9" s="12">
        <v>1</v>
      </c>
      <c r="Q9" s="12">
        <f t="shared" si="0"/>
        <v>2</v>
      </c>
      <c r="R9" s="12">
        <f t="shared" si="1"/>
        <v>2</v>
      </c>
      <c r="S9" s="12">
        <f t="shared" si="2"/>
        <v>4</v>
      </c>
    </row>
    <row r="10" spans="2:19" ht="1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O10" s="12">
        <v>14</v>
      </c>
      <c r="P10" s="12">
        <v>1</v>
      </c>
      <c r="Q10" s="12">
        <f t="shared" si="0"/>
        <v>3</v>
      </c>
      <c r="R10" s="12">
        <f t="shared" si="1"/>
        <v>3</v>
      </c>
      <c r="S10" s="12">
        <f t="shared" si="2"/>
        <v>9</v>
      </c>
    </row>
    <row r="11" spans="2:19" ht="18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O11" s="12"/>
      <c r="P11" s="12">
        <f>SUM(P5:P10)</f>
        <v>9</v>
      </c>
      <c r="Q11" s="12"/>
      <c r="R11" s="12">
        <f>SUM(R5:R10)</f>
        <v>16</v>
      </c>
      <c r="S11" s="12">
        <f>SUM(S5:S10)</f>
        <v>27</v>
      </c>
    </row>
    <row r="12" spans="2:19" ht="18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9" ht="18" x14ac:dyDescent="0.25">
      <c r="B13" s="2" t="s">
        <v>2</v>
      </c>
      <c r="C13" s="2"/>
      <c r="D13" s="2"/>
      <c r="E13" s="2"/>
      <c r="F13" s="2"/>
      <c r="G13" s="2"/>
      <c r="H13" s="2"/>
      <c r="I13" s="2"/>
      <c r="J13" s="2"/>
      <c r="L13" s="49" t="s">
        <v>151</v>
      </c>
      <c r="M13" s="50"/>
      <c r="N13" s="50"/>
      <c r="O13" s="50"/>
      <c r="P13" s="51"/>
    </row>
    <row r="14" spans="2:19" ht="18" x14ac:dyDescent="0.25">
      <c r="H14" s="2"/>
      <c r="I14" s="2"/>
      <c r="J14" s="2"/>
      <c r="L14" s="2"/>
      <c r="M14" s="2"/>
      <c r="N14" s="2"/>
      <c r="O14" s="2"/>
      <c r="P14" s="2"/>
    </row>
    <row r="15" spans="2:19" ht="19.5" x14ac:dyDescent="0.3">
      <c r="B15" s="4" t="s">
        <v>8</v>
      </c>
      <c r="C15" s="23">
        <f>SUM(B4:J4)/9</f>
        <v>11</v>
      </c>
      <c r="H15" s="2"/>
      <c r="I15" s="2"/>
      <c r="J15" s="2"/>
      <c r="L15" s="61" t="s">
        <v>129</v>
      </c>
      <c r="M15" s="61"/>
      <c r="N15" s="61"/>
      <c r="O15" s="61"/>
      <c r="P15" s="61"/>
      <c r="Q15" s="61"/>
    </row>
    <row r="16" spans="2:19" ht="18" x14ac:dyDescent="0.25">
      <c r="H16" s="2"/>
      <c r="I16" s="2"/>
      <c r="J16" s="2"/>
      <c r="L16" s="59" t="s">
        <v>136</v>
      </c>
      <c r="M16" s="59"/>
      <c r="N16" s="59"/>
      <c r="O16" s="59"/>
      <c r="P16" s="59"/>
      <c r="Q16" s="59"/>
    </row>
    <row r="17" spans="2:16" ht="18" x14ac:dyDescent="0.25">
      <c r="B17" s="2" t="s">
        <v>3</v>
      </c>
      <c r="C17" s="2"/>
      <c r="D17" s="2"/>
      <c r="E17" s="2"/>
      <c r="F17" s="2"/>
      <c r="G17" s="2"/>
      <c r="H17" s="2"/>
      <c r="I17" s="2"/>
      <c r="J17" s="2"/>
      <c r="L17" s="24"/>
      <c r="M17" s="24"/>
      <c r="N17" s="24"/>
      <c r="O17" s="24"/>
      <c r="P17" s="24"/>
    </row>
    <row r="18" spans="2:16" ht="18" x14ac:dyDescent="0.25">
      <c r="B18" s="2"/>
      <c r="C18" s="2"/>
      <c r="D18" s="2"/>
      <c r="E18" s="2"/>
      <c r="F18" s="2"/>
      <c r="G18" s="2"/>
      <c r="H18" s="2"/>
      <c r="I18" s="2"/>
      <c r="J18" s="2"/>
      <c r="L18" s="52" t="s">
        <v>32</v>
      </c>
      <c r="M18" s="53"/>
      <c r="N18" s="53"/>
      <c r="O18" s="53"/>
      <c r="P18" s="54"/>
    </row>
    <row r="19" spans="2:16" ht="18" x14ac:dyDescent="0.25">
      <c r="B19" s="2" t="s">
        <v>9</v>
      </c>
      <c r="C19" s="2">
        <v>12</v>
      </c>
      <c r="D19" s="2"/>
      <c r="E19" s="2"/>
      <c r="F19" s="2"/>
      <c r="G19" s="2"/>
      <c r="H19" s="2"/>
      <c r="I19" s="2"/>
      <c r="J19" s="2"/>
      <c r="L19" s="38" t="s">
        <v>137</v>
      </c>
      <c r="M19" s="38"/>
      <c r="N19" s="38"/>
      <c r="O19" s="35"/>
      <c r="P19" s="37"/>
    </row>
    <row r="20" spans="2:16" ht="18" x14ac:dyDescent="0.25">
      <c r="B20" s="2"/>
      <c r="C20" s="2"/>
      <c r="D20" s="2"/>
      <c r="E20" s="2"/>
      <c r="F20" s="2"/>
      <c r="G20" s="2"/>
      <c r="H20" s="2"/>
      <c r="I20" s="2"/>
      <c r="J20" s="2"/>
      <c r="L20" s="24"/>
      <c r="M20" s="24"/>
      <c r="N20" s="24"/>
      <c r="O20" s="24"/>
      <c r="P20" s="24"/>
    </row>
    <row r="21" spans="2:16" ht="18" x14ac:dyDescent="0.25">
      <c r="B21" s="2" t="s">
        <v>4</v>
      </c>
      <c r="C21" s="2"/>
      <c r="D21" s="2"/>
      <c r="E21" s="2"/>
      <c r="F21" s="2"/>
      <c r="G21" s="2"/>
      <c r="H21" s="2"/>
      <c r="I21" s="2"/>
      <c r="J21" s="2"/>
      <c r="L21" s="52" t="s">
        <v>42</v>
      </c>
      <c r="M21" s="53"/>
      <c r="N21" s="53"/>
      <c r="O21" s="53"/>
      <c r="P21" s="54"/>
    </row>
    <row r="22" spans="2:16" ht="18" x14ac:dyDescent="0.25">
      <c r="B22" s="2"/>
      <c r="C22" s="2"/>
      <c r="D22" s="2"/>
      <c r="E22" s="2"/>
      <c r="F22" s="2"/>
      <c r="G22" s="2"/>
      <c r="H22" s="2"/>
      <c r="I22" s="2"/>
      <c r="J22" s="2"/>
      <c r="L22" s="55" t="s">
        <v>138</v>
      </c>
      <c r="M22" s="56"/>
      <c r="N22" s="56"/>
      <c r="O22" s="56"/>
      <c r="P22" s="57"/>
    </row>
    <row r="23" spans="2:16" ht="18" x14ac:dyDescent="0.25">
      <c r="B23" s="2" t="s">
        <v>10</v>
      </c>
      <c r="C23" s="2">
        <v>12</v>
      </c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</row>
    <row r="24" spans="2:16" ht="18" x14ac:dyDescent="0.25">
      <c r="B24" s="2"/>
      <c r="C24" s="2"/>
      <c r="D24" s="2"/>
      <c r="E24" s="2"/>
      <c r="F24" s="2"/>
      <c r="G24" s="2"/>
      <c r="H24" s="2"/>
      <c r="I24" s="2"/>
      <c r="J24" s="2"/>
      <c r="L24" s="52" t="s">
        <v>59</v>
      </c>
      <c r="M24" s="53"/>
      <c r="N24" s="53"/>
      <c r="O24" s="53"/>
      <c r="P24" s="54"/>
    </row>
    <row r="25" spans="2:16" ht="18" x14ac:dyDescent="0.25">
      <c r="B25" s="2" t="s">
        <v>5</v>
      </c>
      <c r="C25" s="2"/>
      <c r="D25" s="2"/>
      <c r="E25" s="2"/>
      <c r="F25" s="2"/>
      <c r="G25" s="2"/>
      <c r="H25" s="2"/>
      <c r="I25" s="2"/>
      <c r="J25" s="2"/>
      <c r="L25" s="55" t="s">
        <v>139</v>
      </c>
      <c r="M25" s="56"/>
      <c r="N25" s="56"/>
      <c r="O25" s="56"/>
      <c r="P25" s="57"/>
    </row>
    <row r="26" spans="2:16" ht="18" x14ac:dyDescent="0.25">
      <c r="B26" s="2"/>
      <c r="C26" s="2"/>
      <c r="D26" s="2"/>
      <c r="E26" s="2"/>
      <c r="F26" s="2"/>
      <c r="G26" s="2"/>
      <c r="H26" s="2"/>
      <c r="I26" s="2"/>
      <c r="J26" s="2"/>
      <c r="L26" s="2"/>
      <c r="M26" s="2"/>
      <c r="N26" s="2"/>
      <c r="O26" s="2"/>
      <c r="P26" s="2"/>
    </row>
    <row r="27" spans="2:16" ht="18" x14ac:dyDescent="0.25">
      <c r="B27" s="2" t="s">
        <v>11</v>
      </c>
      <c r="C27" s="2">
        <f>B4-J4</f>
        <v>6</v>
      </c>
      <c r="D27" s="2"/>
      <c r="E27" s="2"/>
      <c r="F27" s="2"/>
      <c r="G27" s="2"/>
      <c r="H27" s="2"/>
      <c r="I27" s="2"/>
      <c r="J27" s="2"/>
      <c r="L27" s="52" t="s">
        <v>133</v>
      </c>
      <c r="M27" s="53"/>
      <c r="N27" s="53"/>
      <c r="O27" s="53"/>
      <c r="P27" s="54"/>
    </row>
    <row r="28" spans="2:16" ht="18" x14ac:dyDescent="0.25">
      <c r="B28" s="2"/>
      <c r="C28" s="2"/>
      <c r="D28" s="2"/>
      <c r="E28" s="2"/>
      <c r="F28" s="2"/>
      <c r="G28" s="2"/>
      <c r="H28" s="2"/>
      <c r="I28" s="2"/>
      <c r="J28" s="2"/>
      <c r="L28" s="55" t="s">
        <v>140</v>
      </c>
      <c r="M28" s="56"/>
      <c r="N28" s="56"/>
      <c r="O28" s="56"/>
      <c r="P28" s="57"/>
    </row>
    <row r="29" spans="2:16" ht="18" x14ac:dyDescent="0.25">
      <c r="B29" s="2" t="s">
        <v>6</v>
      </c>
      <c r="C29" s="2"/>
      <c r="D29" s="2"/>
      <c r="E29" s="2"/>
      <c r="F29" s="2"/>
      <c r="G29" s="2"/>
      <c r="H29" s="2"/>
      <c r="I29" s="2"/>
      <c r="J29" s="2"/>
    </row>
    <row r="30" spans="2:16" ht="18" x14ac:dyDescent="0.25">
      <c r="B30" s="2"/>
      <c r="C30" s="2"/>
      <c r="D30" s="2"/>
      <c r="E30" s="2"/>
      <c r="F30" s="2"/>
      <c r="G30" s="2"/>
      <c r="H30" s="2"/>
      <c r="I30" s="2"/>
      <c r="J30" s="2"/>
    </row>
    <row r="31" spans="2:16" ht="18" x14ac:dyDescent="0.25">
      <c r="B31" s="2" t="s">
        <v>12</v>
      </c>
      <c r="C31" s="2">
        <f>SUM(H4:I4)/2</f>
        <v>8.5</v>
      </c>
      <c r="D31" s="2"/>
      <c r="E31" s="2" t="s">
        <v>13</v>
      </c>
      <c r="F31" s="2">
        <f>SUM(C4:D4)/2</f>
        <v>12.5</v>
      </c>
      <c r="G31" s="2"/>
      <c r="H31" s="2" t="s">
        <v>14</v>
      </c>
      <c r="I31" s="2">
        <f>F31-C31</f>
        <v>4</v>
      </c>
      <c r="J31" s="2"/>
    </row>
    <row r="32" spans="2:16" ht="18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ht="18" x14ac:dyDescent="0.25">
      <c r="B33" s="2" t="s">
        <v>7</v>
      </c>
      <c r="C33" s="2"/>
      <c r="D33" s="2"/>
      <c r="E33" s="2"/>
      <c r="F33" s="2"/>
      <c r="G33" s="2"/>
      <c r="H33" s="2"/>
      <c r="I33" s="2"/>
      <c r="J33" s="2"/>
      <c r="K33" s="2"/>
    </row>
    <row r="34" spans="2:11" ht="18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ht="18" x14ac:dyDescent="0.25">
      <c r="B35" s="2"/>
      <c r="C35" s="2">
        <f>ROUND(R11/P11,2)</f>
        <v>1.78</v>
      </c>
      <c r="D35" s="2"/>
      <c r="E35" s="2"/>
      <c r="F35" s="2"/>
      <c r="G35" s="2"/>
      <c r="H35" s="2"/>
      <c r="I35" s="2"/>
      <c r="J35" s="2"/>
      <c r="K35" s="2"/>
    </row>
    <row r="36" spans="2:11" ht="18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ht="18" x14ac:dyDescent="0.25">
      <c r="B37" s="2" t="s">
        <v>22</v>
      </c>
      <c r="C37" s="2"/>
      <c r="D37" s="2"/>
      <c r="E37" s="2"/>
      <c r="F37" s="2"/>
      <c r="G37" s="2"/>
      <c r="H37" s="2"/>
      <c r="I37" s="2"/>
      <c r="J37" s="2"/>
      <c r="K37" s="2"/>
    </row>
    <row r="38" spans="2:11" ht="1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ht="18" x14ac:dyDescent="0.25">
      <c r="B39" s="2"/>
      <c r="C39" s="2">
        <f>S11/(P11-1)</f>
        <v>3.375</v>
      </c>
      <c r="D39" s="2"/>
      <c r="E39" s="2"/>
      <c r="F39" s="2"/>
      <c r="G39" s="2"/>
    </row>
    <row r="40" spans="2:11" ht="18" x14ac:dyDescent="0.25">
      <c r="B40" s="2"/>
      <c r="C40" s="2"/>
      <c r="D40" s="2"/>
      <c r="E40" s="2"/>
      <c r="F40" s="2"/>
      <c r="G40" s="2"/>
    </row>
    <row r="41" spans="2:11" ht="18" x14ac:dyDescent="0.25">
      <c r="B41" s="2" t="s">
        <v>19</v>
      </c>
      <c r="C41" s="2"/>
      <c r="D41" s="2"/>
      <c r="E41" s="2"/>
      <c r="F41" s="2"/>
      <c r="G41" s="2"/>
    </row>
    <row r="42" spans="2:11" ht="18" x14ac:dyDescent="0.25">
      <c r="B42" s="2"/>
      <c r="C42" s="2"/>
      <c r="D42" s="2"/>
      <c r="E42" s="2"/>
      <c r="F42" s="2"/>
      <c r="G42" s="2"/>
    </row>
    <row r="43" spans="2:11" ht="18" x14ac:dyDescent="0.25">
      <c r="B43" s="2"/>
      <c r="C43" s="2">
        <f>ROUND(SQRT(C39),2)</f>
        <v>1.84</v>
      </c>
      <c r="D43" s="2"/>
      <c r="E43" s="2"/>
      <c r="F43" s="2"/>
      <c r="G43" s="2"/>
    </row>
    <row r="44" spans="2:11" ht="18" x14ac:dyDescent="0.25">
      <c r="B44" s="2"/>
      <c r="C44" s="2"/>
      <c r="D44" s="2"/>
      <c r="E44" s="2"/>
      <c r="F44" s="2"/>
      <c r="G44" s="2"/>
    </row>
    <row r="45" spans="2:11" ht="18" x14ac:dyDescent="0.25">
      <c r="B45" s="2"/>
      <c r="C45" s="2"/>
      <c r="D45" s="2"/>
      <c r="E45" s="2"/>
      <c r="F45" s="2"/>
      <c r="G45" s="2"/>
    </row>
  </sheetData>
  <mergeCells count="11">
    <mergeCell ref="L16:Q16"/>
    <mergeCell ref="B2:O2"/>
    <mergeCell ref="L13:P13"/>
    <mergeCell ref="L18:P18"/>
    <mergeCell ref="L21:P21"/>
    <mergeCell ref="L15:Q15"/>
    <mergeCell ref="L22:P22"/>
    <mergeCell ref="L24:P24"/>
    <mergeCell ref="L25:P25"/>
    <mergeCell ref="L27:P27"/>
    <mergeCell ref="L28:P28"/>
  </mergeCells>
  <pageMargins left="0.7" right="0.7" top="0.75" bottom="0.75" header="0.3" footer="0.3"/>
  <ignoredErrors>
    <ignoredError sqref="C31 F3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4E72-B23D-4C9F-AE9C-4A36215FF940}">
  <dimension ref="B2:P52"/>
  <sheetViews>
    <sheetView workbookViewId="0">
      <selection activeCell="K40" sqref="K40"/>
    </sheetView>
  </sheetViews>
  <sheetFormatPr baseColWidth="10" defaultRowHeight="15" x14ac:dyDescent="0.25"/>
  <cols>
    <col min="5" max="6" width="11.42578125" customWidth="1"/>
    <col min="16" max="16" width="17" customWidth="1"/>
    <col min="18" max="18" width="17.5703125" customWidth="1"/>
    <col min="23" max="23" width="17" customWidth="1"/>
  </cols>
  <sheetData>
    <row r="2" spans="2:16" ht="18" x14ac:dyDescent="0.25">
      <c r="B2" s="41" t="s">
        <v>89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5" spans="2:16" ht="18" x14ac:dyDescent="0.25">
      <c r="B5" s="21" t="s">
        <v>90</v>
      </c>
      <c r="C5" s="21" t="s">
        <v>16</v>
      </c>
      <c r="D5" s="21" t="s">
        <v>75</v>
      </c>
      <c r="E5" s="21" t="s">
        <v>96</v>
      </c>
      <c r="F5" s="17"/>
      <c r="G5" s="17"/>
      <c r="H5" s="17"/>
      <c r="I5" s="17"/>
      <c r="J5" s="2"/>
      <c r="K5" s="2"/>
    </row>
    <row r="6" spans="2:16" ht="18" x14ac:dyDescent="0.25">
      <c r="B6" s="12">
        <v>1</v>
      </c>
      <c r="C6" s="12">
        <v>39</v>
      </c>
      <c r="D6" s="12">
        <f>C6</f>
        <v>39</v>
      </c>
      <c r="E6" s="12">
        <f>C6*B6</f>
        <v>39</v>
      </c>
      <c r="F6" s="12">
        <f t="shared" ref="F6:F12" si="0">ABS(B6-C$18)</f>
        <v>1.79</v>
      </c>
      <c r="G6" s="12">
        <f t="shared" ref="G6:G12" si="1">ROUND(C6*F6,2)</f>
        <v>69.81</v>
      </c>
      <c r="H6" s="12">
        <f>ROUND(F6^2,2)</f>
        <v>3.2</v>
      </c>
      <c r="I6" s="12">
        <f t="shared" ref="I6:I12" si="2">H6*C6</f>
        <v>124.80000000000001</v>
      </c>
      <c r="J6" s="2"/>
      <c r="K6" s="2"/>
    </row>
    <row r="7" spans="2:16" ht="18" x14ac:dyDescent="0.25">
      <c r="B7" s="12">
        <v>2</v>
      </c>
      <c r="C7" s="12">
        <v>45</v>
      </c>
      <c r="D7" s="12">
        <f>C7+D6</f>
        <v>84</v>
      </c>
      <c r="E7" s="12">
        <f>C7*B7</f>
        <v>90</v>
      </c>
      <c r="F7" s="12">
        <f t="shared" si="0"/>
        <v>0.79</v>
      </c>
      <c r="G7" s="12">
        <f t="shared" si="1"/>
        <v>35.549999999999997</v>
      </c>
      <c r="H7" s="12">
        <f t="shared" ref="H7:H12" si="3">ROUND(F7^2,2)</f>
        <v>0.62</v>
      </c>
      <c r="I7" s="12">
        <f t="shared" si="2"/>
        <v>27.9</v>
      </c>
      <c r="J7" s="2"/>
      <c r="K7" s="2"/>
    </row>
    <row r="8" spans="2:16" ht="18" x14ac:dyDescent="0.25">
      <c r="B8" s="12">
        <v>3</v>
      </c>
      <c r="C8" s="12">
        <v>73</v>
      </c>
      <c r="D8" s="12">
        <f t="shared" ref="D8:D12" si="4">C8+D7</f>
        <v>157</v>
      </c>
      <c r="E8" s="12">
        <f t="shared" ref="E8:E12" si="5">C8*B8</f>
        <v>219</v>
      </c>
      <c r="F8" s="12">
        <f t="shared" si="0"/>
        <v>0.20999999999999996</v>
      </c>
      <c r="G8" s="12">
        <f t="shared" si="1"/>
        <v>15.33</v>
      </c>
      <c r="H8" s="12">
        <f t="shared" si="3"/>
        <v>0.04</v>
      </c>
      <c r="I8" s="12">
        <f t="shared" si="2"/>
        <v>2.92</v>
      </c>
      <c r="J8" s="2"/>
      <c r="K8" s="2"/>
    </row>
    <row r="9" spans="2:16" ht="18" x14ac:dyDescent="0.25">
      <c r="B9" s="12">
        <v>4</v>
      </c>
      <c r="C9" s="12">
        <v>30</v>
      </c>
      <c r="D9" s="12">
        <f t="shared" si="4"/>
        <v>187</v>
      </c>
      <c r="E9" s="12">
        <f t="shared" si="5"/>
        <v>120</v>
      </c>
      <c r="F9" s="12">
        <f t="shared" si="0"/>
        <v>1.21</v>
      </c>
      <c r="G9" s="12">
        <f t="shared" si="1"/>
        <v>36.299999999999997</v>
      </c>
      <c r="H9" s="12">
        <f t="shared" si="3"/>
        <v>1.46</v>
      </c>
      <c r="I9" s="12">
        <f t="shared" si="2"/>
        <v>43.8</v>
      </c>
      <c r="J9" s="2"/>
      <c r="K9" s="2"/>
    </row>
    <row r="10" spans="2:16" ht="18" x14ac:dyDescent="0.25">
      <c r="B10" s="12">
        <v>5</v>
      </c>
      <c r="C10" s="12">
        <v>15</v>
      </c>
      <c r="D10" s="12">
        <f t="shared" si="4"/>
        <v>202</v>
      </c>
      <c r="E10" s="12">
        <f t="shared" si="5"/>
        <v>75</v>
      </c>
      <c r="F10" s="12">
        <f t="shared" si="0"/>
        <v>2.21</v>
      </c>
      <c r="G10" s="12">
        <f t="shared" si="1"/>
        <v>33.15</v>
      </c>
      <c r="H10" s="12">
        <f t="shared" si="3"/>
        <v>4.88</v>
      </c>
      <c r="I10" s="12">
        <f t="shared" si="2"/>
        <v>73.2</v>
      </c>
      <c r="J10" s="2"/>
      <c r="K10" s="2"/>
    </row>
    <row r="11" spans="2:16" ht="18" x14ac:dyDescent="0.25">
      <c r="B11" s="12">
        <v>6</v>
      </c>
      <c r="C11" s="12">
        <v>5</v>
      </c>
      <c r="D11" s="12">
        <f t="shared" si="4"/>
        <v>207</v>
      </c>
      <c r="E11" s="12">
        <f t="shared" si="5"/>
        <v>30</v>
      </c>
      <c r="F11" s="12">
        <f t="shared" si="0"/>
        <v>3.21</v>
      </c>
      <c r="G11" s="12">
        <f t="shared" si="1"/>
        <v>16.05</v>
      </c>
      <c r="H11" s="12">
        <f t="shared" si="3"/>
        <v>10.3</v>
      </c>
      <c r="I11" s="12">
        <f t="shared" si="2"/>
        <v>51.5</v>
      </c>
      <c r="J11" s="2"/>
      <c r="K11" s="2"/>
    </row>
    <row r="12" spans="2:16" ht="18" x14ac:dyDescent="0.25">
      <c r="B12" s="12">
        <v>7</v>
      </c>
      <c r="C12" s="12">
        <v>1</v>
      </c>
      <c r="D12" s="12">
        <f t="shared" si="4"/>
        <v>208</v>
      </c>
      <c r="E12" s="12">
        <f t="shared" si="5"/>
        <v>7</v>
      </c>
      <c r="F12" s="12">
        <f t="shared" si="0"/>
        <v>4.21</v>
      </c>
      <c r="G12" s="12">
        <f t="shared" si="1"/>
        <v>4.21</v>
      </c>
      <c r="H12" s="12">
        <f t="shared" si="3"/>
        <v>17.72</v>
      </c>
      <c r="I12" s="12">
        <f t="shared" si="2"/>
        <v>17.72</v>
      </c>
      <c r="J12" s="2"/>
      <c r="K12" s="2"/>
    </row>
    <row r="13" spans="2:16" ht="18" x14ac:dyDescent="0.25">
      <c r="B13" s="12"/>
      <c r="C13" s="12">
        <f>SUM(C6:C12)</f>
        <v>208</v>
      </c>
      <c r="D13" s="12"/>
      <c r="E13" s="12">
        <f>SUM(E6:E12)</f>
        <v>580</v>
      </c>
      <c r="F13" s="12"/>
      <c r="G13" s="12">
        <f>SUM(G6:G12)</f>
        <v>210.40000000000003</v>
      </c>
      <c r="H13" s="12"/>
      <c r="I13" s="12">
        <f>SUM(I6:I12)</f>
        <v>341.84000000000003</v>
      </c>
      <c r="J13" s="2"/>
      <c r="K13" s="2"/>
    </row>
    <row r="14" spans="2:16" ht="18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6" ht="18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6" ht="18" x14ac:dyDescent="0.25">
      <c r="B16" s="2" t="s">
        <v>2</v>
      </c>
      <c r="C16" s="2"/>
      <c r="D16" s="2"/>
      <c r="E16" s="2"/>
      <c r="F16" s="2"/>
      <c r="G16" s="2" t="s">
        <v>6</v>
      </c>
      <c r="H16" s="2"/>
      <c r="I16" s="2"/>
      <c r="L16" s="49" t="s">
        <v>151</v>
      </c>
      <c r="M16" s="50"/>
      <c r="N16" s="50"/>
      <c r="O16" s="50"/>
      <c r="P16" s="51"/>
    </row>
    <row r="17" spans="2:16" ht="18" x14ac:dyDescent="0.25">
      <c r="B17" s="2"/>
      <c r="C17" s="2"/>
      <c r="D17" s="2"/>
      <c r="E17" s="2"/>
      <c r="F17" s="2"/>
      <c r="G17" s="2"/>
      <c r="H17" s="2"/>
      <c r="I17" s="2"/>
      <c r="L17" s="2"/>
      <c r="M17" s="2"/>
      <c r="N17" s="2"/>
      <c r="O17" s="2"/>
      <c r="P17" s="2"/>
    </row>
    <row r="18" spans="2:16" ht="19.5" x14ac:dyDescent="0.3">
      <c r="B18" s="1" t="s">
        <v>8</v>
      </c>
      <c r="C18" s="2">
        <f>ROUND(E13/C13,2)</f>
        <v>2.79</v>
      </c>
      <c r="D18" s="2"/>
      <c r="E18" s="2"/>
      <c r="F18" s="2"/>
      <c r="G18" s="62" t="s">
        <v>94</v>
      </c>
      <c r="H18" s="63"/>
      <c r="I18" s="2"/>
      <c r="J18" s="2"/>
      <c r="K18" s="2"/>
      <c r="L18" s="52" t="s">
        <v>129</v>
      </c>
      <c r="M18" s="53"/>
      <c r="N18" s="53"/>
      <c r="O18" s="53"/>
      <c r="P18" s="54"/>
    </row>
    <row r="19" spans="2:16" ht="18" x14ac:dyDescent="0.25">
      <c r="C19" s="2"/>
      <c r="D19" s="2"/>
      <c r="E19" s="2"/>
      <c r="F19" s="2"/>
      <c r="G19" s="17" t="s">
        <v>92</v>
      </c>
      <c r="H19" s="12">
        <f>ROUND(1*(C13)/4,3)</f>
        <v>52</v>
      </c>
      <c r="I19" s="2"/>
      <c r="J19" s="2"/>
      <c r="K19" s="2"/>
      <c r="L19" s="35" t="s">
        <v>141</v>
      </c>
      <c r="M19" s="36"/>
      <c r="N19" s="36"/>
      <c r="O19" s="36"/>
      <c r="P19" s="37"/>
    </row>
    <row r="20" spans="2:16" ht="18" x14ac:dyDescent="0.25">
      <c r="B20" s="2" t="s">
        <v>3</v>
      </c>
      <c r="C20" s="2"/>
      <c r="D20" s="2"/>
      <c r="E20" s="2"/>
      <c r="F20" s="2"/>
      <c r="G20" s="17" t="s">
        <v>93</v>
      </c>
      <c r="H20" s="12">
        <f>ROUND(3*(C13)/4,3)</f>
        <v>156</v>
      </c>
      <c r="I20" s="2"/>
      <c r="J20" s="2"/>
      <c r="K20" s="2"/>
      <c r="L20" s="24"/>
      <c r="M20" s="24"/>
      <c r="N20" s="24"/>
      <c r="O20" s="24"/>
      <c r="P20" s="24"/>
    </row>
    <row r="21" spans="2:16" ht="18" x14ac:dyDescent="0.25">
      <c r="B21" s="2"/>
      <c r="C21" s="2"/>
      <c r="D21" s="2"/>
      <c r="E21" s="2"/>
      <c r="F21" s="2"/>
      <c r="G21" s="17" t="s">
        <v>53</v>
      </c>
      <c r="H21" s="12">
        <v>2</v>
      </c>
      <c r="I21" s="2"/>
      <c r="J21" s="2"/>
      <c r="K21" s="2"/>
      <c r="L21" s="52" t="s">
        <v>32</v>
      </c>
      <c r="M21" s="53"/>
      <c r="N21" s="53"/>
      <c r="O21" s="53"/>
      <c r="P21" s="54"/>
    </row>
    <row r="22" spans="2:16" ht="18" x14ac:dyDescent="0.25">
      <c r="B22" s="2" t="s">
        <v>9</v>
      </c>
      <c r="C22" s="2">
        <v>3</v>
      </c>
      <c r="D22" s="2"/>
      <c r="E22" s="2"/>
      <c r="F22" s="2"/>
      <c r="G22" s="17" t="s">
        <v>95</v>
      </c>
      <c r="H22" s="12">
        <v>3</v>
      </c>
      <c r="I22" s="2"/>
      <c r="J22" s="2"/>
      <c r="K22" s="2"/>
      <c r="L22" s="38" t="s">
        <v>142</v>
      </c>
      <c r="M22" s="38"/>
      <c r="N22" s="38"/>
      <c r="O22" s="35"/>
      <c r="P22" s="37"/>
    </row>
    <row r="23" spans="2:16" ht="18" x14ac:dyDescent="0.25">
      <c r="B23" s="2"/>
      <c r="C23" s="2"/>
      <c r="D23" s="2"/>
      <c r="E23" s="2"/>
      <c r="F23" s="2"/>
      <c r="G23" s="17" t="s">
        <v>94</v>
      </c>
      <c r="H23" s="12">
        <v>1</v>
      </c>
      <c r="I23" s="2"/>
      <c r="J23" s="2"/>
      <c r="K23" s="2"/>
      <c r="L23" s="24"/>
      <c r="M23" s="24"/>
      <c r="N23" s="24"/>
      <c r="O23" s="24"/>
      <c r="P23" s="24"/>
    </row>
    <row r="24" spans="2:16" ht="18" x14ac:dyDescent="0.25">
      <c r="B24" s="2" t="s">
        <v>4</v>
      </c>
      <c r="C24" s="2"/>
      <c r="D24" s="2"/>
      <c r="E24" s="2"/>
      <c r="F24" s="2"/>
      <c r="G24" s="2"/>
      <c r="H24" s="2"/>
      <c r="I24" s="2"/>
      <c r="J24" s="2"/>
      <c r="K24" s="2"/>
      <c r="L24" s="52" t="s">
        <v>42</v>
      </c>
      <c r="M24" s="53"/>
      <c r="N24" s="53"/>
      <c r="O24" s="53"/>
      <c r="P24" s="54"/>
    </row>
    <row r="25" spans="2:16" ht="18" x14ac:dyDescent="0.25">
      <c r="B25" s="2"/>
      <c r="C25" s="2"/>
      <c r="D25" s="2"/>
      <c r="E25" s="2"/>
      <c r="F25" s="2"/>
      <c r="G25" s="2" t="s">
        <v>7</v>
      </c>
      <c r="H25" s="2"/>
      <c r="I25" s="2"/>
      <c r="J25" s="2"/>
      <c r="K25" s="2"/>
      <c r="L25" s="55" t="s">
        <v>132</v>
      </c>
      <c r="M25" s="56"/>
      <c r="N25" s="56"/>
      <c r="O25" s="56"/>
      <c r="P25" s="57"/>
    </row>
    <row r="26" spans="2:16" ht="18" x14ac:dyDescent="0.25">
      <c r="B26" s="2" t="s">
        <v>10</v>
      </c>
      <c r="C26" s="2">
        <v>3</v>
      </c>
      <c r="D26" s="2"/>
      <c r="E26" s="2"/>
      <c r="F26" s="2"/>
      <c r="H26" s="2"/>
      <c r="I26" s="2"/>
      <c r="J26" s="2"/>
      <c r="K26" s="2"/>
      <c r="L26" s="2"/>
      <c r="M26" s="2"/>
      <c r="N26" s="2"/>
      <c r="O26" s="2"/>
      <c r="P26" s="2"/>
    </row>
    <row r="27" spans="2:16" ht="18" x14ac:dyDescent="0.25">
      <c r="B27" s="2"/>
      <c r="C27" s="2"/>
      <c r="D27" s="2"/>
      <c r="E27" s="2"/>
      <c r="F27" s="2"/>
      <c r="G27" s="2"/>
      <c r="H27" s="2">
        <f>ROUND(G13/C13,3)</f>
        <v>1.012</v>
      </c>
      <c r="I27" s="2"/>
      <c r="J27" s="2"/>
      <c r="K27" s="2"/>
      <c r="L27" s="52" t="s">
        <v>59</v>
      </c>
      <c r="M27" s="53"/>
      <c r="N27" s="53"/>
      <c r="O27" s="53"/>
      <c r="P27" s="54"/>
    </row>
    <row r="28" spans="2:16" ht="18" x14ac:dyDescent="0.25">
      <c r="B28" s="2" t="s">
        <v>5</v>
      </c>
      <c r="C28" s="2"/>
      <c r="D28" s="2"/>
      <c r="E28" s="2"/>
      <c r="F28" s="2"/>
      <c r="G28" s="2"/>
      <c r="H28" s="2"/>
      <c r="I28" s="2"/>
      <c r="J28" s="2"/>
      <c r="K28" s="2"/>
      <c r="L28" s="55" t="s">
        <v>139</v>
      </c>
      <c r="M28" s="56"/>
      <c r="N28" s="56"/>
      <c r="O28" s="56"/>
      <c r="P28" s="57"/>
    </row>
    <row r="29" spans="2:16" ht="18" x14ac:dyDescent="0.25">
      <c r="B29" s="2"/>
      <c r="C29" s="2"/>
      <c r="D29" s="2"/>
      <c r="E29" s="2"/>
      <c r="F29" s="2"/>
      <c r="G29" s="2" t="s">
        <v>22</v>
      </c>
      <c r="H29" s="2"/>
      <c r="I29" s="2"/>
      <c r="J29" s="2"/>
      <c r="K29" s="2"/>
      <c r="L29" s="2"/>
      <c r="M29" s="2"/>
      <c r="N29" s="2"/>
      <c r="O29" s="2"/>
      <c r="P29" s="2"/>
    </row>
    <row r="30" spans="2:16" ht="18" x14ac:dyDescent="0.25">
      <c r="B30" s="2" t="s">
        <v>11</v>
      </c>
      <c r="C30" s="2">
        <v>6</v>
      </c>
      <c r="D30" s="2"/>
      <c r="E30" s="2"/>
      <c r="F30" s="2"/>
      <c r="G30" s="2"/>
      <c r="H30" s="2"/>
      <c r="I30" s="2"/>
      <c r="J30" s="2"/>
      <c r="K30" s="2"/>
      <c r="L30" s="52" t="s">
        <v>133</v>
      </c>
      <c r="M30" s="53"/>
      <c r="N30" s="53"/>
      <c r="O30" s="53"/>
      <c r="P30" s="54"/>
    </row>
    <row r="31" spans="2:16" ht="18" x14ac:dyDescent="0.25">
      <c r="C31" s="2"/>
      <c r="D31" s="2"/>
      <c r="E31" s="2"/>
      <c r="F31" s="2"/>
      <c r="G31" s="2"/>
      <c r="H31" s="2">
        <f>ROUND(I13/C13-1,2)</f>
        <v>0.64</v>
      </c>
      <c r="I31" s="2"/>
      <c r="J31" s="2"/>
      <c r="K31" s="2"/>
      <c r="L31" s="55" t="s">
        <v>143</v>
      </c>
      <c r="M31" s="56"/>
      <c r="N31" s="56"/>
      <c r="O31" s="56"/>
      <c r="P31" s="57"/>
    </row>
    <row r="32" spans="2:16" ht="18" x14ac:dyDescent="0.25">
      <c r="F32" s="2"/>
      <c r="G32" s="2"/>
      <c r="H32" s="2"/>
      <c r="I32" s="2"/>
      <c r="J32" s="2"/>
    </row>
    <row r="33" spans="2:10" ht="18" x14ac:dyDescent="0.25">
      <c r="F33" s="2"/>
      <c r="G33" s="2" t="s">
        <v>19</v>
      </c>
      <c r="H33" s="2"/>
      <c r="I33" s="2"/>
      <c r="J33" s="2"/>
    </row>
    <row r="34" spans="2:10" ht="18" x14ac:dyDescent="0.25">
      <c r="F34" s="2"/>
      <c r="G34" s="2"/>
      <c r="H34" s="2"/>
      <c r="I34" s="2"/>
      <c r="J34" s="2"/>
    </row>
    <row r="35" spans="2:10" ht="18" x14ac:dyDescent="0.25">
      <c r="G35" s="2"/>
      <c r="H35" s="2">
        <f>ROUND(SQRT(H31),2)</f>
        <v>0.8</v>
      </c>
      <c r="I35" s="2"/>
    </row>
    <row r="37" spans="2:10" x14ac:dyDescent="0.25">
      <c r="B37" s="10"/>
      <c r="C37" s="10"/>
      <c r="D37" s="10"/>
      <c r="E37" s="10"/>
    </row>
    <row r="39" spans="2:10" x14ac:dyDescent="0.25">
      <c r="B39" s="10"/>
      <c r="C39" s="10"/>
      <c r="D39" s="10"/>
      <c r="E39" s="10"/>
    </row>
    <row r="42" spans="2:10" x14ac:dyDescent="0.25">
      <c r="B42" s="10"/>
      <c r="C42" s="10"/>
      <c r="D42" s="10"/>
      <c r="E42" s="10"/>
    </row>
    <row r="45" spans="2:10" x14ac:dyDescent="0.25">
      <c r="B45" s="10"/>
      <c r="C45" s="10"/>
      <c r="D45" s="10"/>
      <c r="E45" s="10"/>
    </row>
    <row r="46" spans="2:10" x14ac:dyDescent="0.25">
      <c r="B46" s="10"/>
      <c r="C46" s="10"/>
      <c r="D46" s="10"/>
      <c r="E46" s="10"/>
    </row>
    <row r="48" spans="2:10" x14ac:dyDescent="0.25">
      <c r="B48" s="10"/>
      <c r="C48" s="10"/>
      <c r="D48" s="10"/>
      <c r="E48" s="10"/>
    </row>
    <row r="49" spans="2:5" x14ac:dyDescent="0.25">
      <c r="B49" s="10"/>
      <c r="C49" s="10"/>
      <c r="D49" s="10"/>
      <c r="E49" s="10"/>
    </row>
    <row r="51" spans="2:5" x14ac:dyDescent="0.25">
      <c r="B51" s="10"/>
      <c r="C51" s="10"/>
      <c r="D51" s="10"/>
      <c r="E51" s="10"/>
    </row>
    <row r="52" spans="2:5" x14ac:dyDescent="0.25">
      <c r="B52" s="10"/>
      <c r="C52" s="10"/>
      <c r="D52" s="10"/>
      <c r="E52" s="10"/>
    </row>
  </sheetData>
  <mergeCells count="10">
    <mergeCell ref="G18:H18"/>
    <mergeCell ref="L24:P24"/>
    <mergeCell ref="L25:P25"/>
    <mergeCell ref="L27:P27"/>
    <mergeCell ref="L28:P28"/>
    <mergeCell ref="L30:P30"/>
    <mergeCell ref="L31:P31"/>
    <mergeCell ref="L16:P16"/>
    <mergeCell ref="L18:P18"/>
    <mergeCell ref="L21:P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447D-9A81-4F52-98C1-B1D9BDEC3AD5}">
  <dimension ref="B2:Y36"/>
  <sheetViews>
    <sheetView topLeftCell="A10" zoomScaleNormal="100" workbookViewId="0">
      <selection activeCell="U24" sqref="U24"/>
    </sheetView>
  </sheetViews>
  <sheetFormatPr baseColWidth="10" defaultRowHeight="15" x14ac:dyDescent="0.25"/>
  <cols>
    <col min="11" max="11" width="12.85546875" customWidth="1"/>
    <col min="12" max="12" width="13.140625" customWidth="1"/>
    <col min="16" max="16" width="11.42578125" customWidth="1"/>
    <col min="17" max="17" width="17" customWidth="1"/>
    <col min="19" max="19" width="17.5703125" customWidth="1"/>
    <col min="24" max="24" width="19" customWidth="1"/>
  </cols>
  <sheetData>
    <row r="2" spans="2:25" ht="18" x14ac:dyDescent="0.25">
      <c r="B2" s="43" t="s">
        <v>97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U2" s="10"/>
      <c r="V2" s="10"/>
      <c r="W2" s="10"/>
      <c r="X2" s="10"/>
      <c r="Y2" s="10"/>
    </row>
    <row r="3" spans="2:25" ht="1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U3" s="11"/>
      <c r="V3" s="11"/>
      <c r="W3" s="11"/>
      <c r="X3" s="11"/>
      <c r="Y3" s="11"/>
    </row>
    <row r="4" spans="2:25" ht="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U4" s="10"/>
      <c r="V4" s="10"/>
      <c r="W4" s="10"/>
      <c r="X4" s="10"/>
      <c r="Y4" s="10"/>
    </row>
    <row r="5" spans="2:25" ht="18" x14ac:dyDescent="0.25">
      <c r="B5" s="18" t="s">
        <v>90</v>
      </c>
      <c r="C5" s="18" t="s">
        <v>16</v>
      </c>
      <c r="D5" s="18" t="s">
        <v>91</v>
      </c>
      <c r="E5" s="18" t="s">
        <v>98</v>
      </c>
      <c r="F5" s="18"/>
      <c r="G5" s="18"/>
      <c r="H5" s="18"/>
      <c r="I5" s="18"/>
      <c r="J5" s="2"/>
      <c r="K5" s="2"/>
      <c r="L5" s="2"/>
      <c r="M5" s="2"/>
      <c r="N5" s="2"/>
      <c r="O5" s="2"/>
      <c r="P5" s="2"/>
      <c r="U5" s="11"/>
      <c r="V5" s="11"/>
      <c r="W5" s="11"/>
      <c r="X5" s="11"/>
      <c r="Y5" s="11"/>
    </row>
    <row r="6" spans="2:25" ht="18" x14ac:dyDescent="0.25">
      <c r="B6" s="12">
        <v>0</v>
      </c>
      <c r="C6" s="12">
        <v>20</v>
      </c>
      <c r="D6" s="12">
        <f>C6</f>
        <v>20</v>
      </c>
      <c r="E6" s="12">
        <f t="shared" ref="E6:E11" si="0">C6*B6</f>
        <v>0</v>
      </c>
      <c r="F6" s="12">
        <f>ABS(B6-C$17)</f>
        <v>2.39</v>
      </c>
      <c r="G6" s="12">
        <f>ROUND(C6*F6,3)</f>
        <v>47.8</v>
      </c>
      <c r="H6" s="12">
        <f>ROUND(F6^2,3)</f>
        <v>5.7119999999999997</v>
      </c>
      <c r="I6" s="12">
        <f>H6*C6</f>
        <v>114.24</v>
      </c>
      <c r="J6" s="2"/>
      <c r="K6" s="2"/>
      <c r="L6" s="2"/>
      <c r="M6" s="2"/>
      <c r="N6" s="2"/>
      <c r="O6" s="2"/>
      <c r="P6" s="2"/>
      <c r="U6" s="11"/>
      <c r="V6" s="11"/>
      <c r="W6" s="11"/>
      <c r="X6" s="11"/>
      <c r="Y6" s="11"/>
    </row>
    <row r="7" spans="2:25" ht="18" x14ac:dyDescent="0.25">
      <c r="B7" s="12">
        <v>1</v>
      </c>
      <c r="C7" s="12">
        <v>58</v>
      </c>
      <c r="D7" s="12">
        <f>C7+D6</f>
        <v>78</v>
      </c>
      <c r="E7" s="12">
        <f t="shared" si="0"/>
        <v>58</v>
      </c>
      <c r="F7" s="12">
        <f t="shared" ref="F7:F11" si="1">ABS(B7-C$17)</f>
        <v>1.3900000000000001</v>
      </c>
      <c r="G7" s="12">
        <f t="shared" ref="G7:G11" si="2">ROUND(C7*F7,3)</f>
        <v>80.62</v>
      </c>
      <c r="H7" s="12">
        <f t="shared" ref="H7:H11" si="3">ROUND(F7^2,3)</f>
        <v>1.9319999999999999</v>
      </c>
      <c r="I7" s="12">
        <f t="shared" ref="I7:I11" si="4">H7*C7</f>
        <v>112.056</v>
      </c>
      <c r="J7" s="2"/>
      <c r="K7" s="2"/>
      <c r="L7" s="2"/>
      <c r="M7" s="2"/>
      <c r="N7" s="2"/>
      <c r="O7" s="2"/>
      <c r="P7" s="2"/>
      <c r="U7" s="10"/>
      <c r="V7" s="10"/>
      <c r="W7" s="10"/>
      <c r="X7" s="10"/>
      <c r="Y7" s="10"/>
    </row>
    <row r="8" spans="2:25" ht="18" x14ac:dyDescent="0.25">
      <c r="B8" s="12">
        <v>2</v>
      </c>
      <c r="C8" s="12">
        <v>45</v>
      </c>
      <c r="D8" s="12">
        <f t="shared" ref="D8:D11" si="5">C8+D7</f>
        <v>123</v>
      </c>
      <c r="E8" s="12">
        <f t="shared" si="0"/>
        <v>90</v>
      </c>
      <c r="F8" s="12">
        <f t="shared" si="1"/>
        <v>0.39000000000000012</v>
      </c>
      <c r="G8" s="12">
        <f t="shared" si="2"/>
        <v>17.55</v>
      </c>
      <c r="H8" s="12">
        <f>ROUND(F8^2,3)</f>
        <v>0.152</v>
      </c>
      <c r="I8" s="12">
        <f t="shared" si="4"/>
        <v>6.84</v>
      </c>
      <c r="J8" s="2"/>
      <c r="K8" s="2"/>
      <c r="L8" s="2"/>
      <c r="M8" s="2"/>
      <c r="N8" s="2"/>
      <c r="O8" s="2"/>
      <c r="P8" s="2"/>
      <c r="U8" s="11"/>
      <c r="V8" s="11"/>
      <c r="W8" s="11"/>
      <c r="X8" s="11"/>
      <c r="Y8" s="11"/>
    </row>
    <row r="9" spans="2:25" ht="18" x14ac:dyDescent="0.25">
      <c r="B9" s="12">
        <v>3</v>
      </c>
      <c r="C9" s="12">
        <v>75</v>
      </c>
      <c r="D9" s="12">
        <f t="shared" si="5"/>
        <v>198</v>
      </c>
      <c r="E9" s="12">
        <f t="shared" si="0"/>
        <v>225</v>
      </c>
      <c r="F9" s="12">
        <f t="shared" si="1"/>
        <v>0.60999999999999988</v>
      </c>
      <c r="G9" s="12">
        <f t="shared" si="2"/>
        <v>45.75</v>
      </c>
      <c r="H9" s="12">
        <f t="shared" si="3"/>
        <v>0.372</v>
      </c>
      <c r="I9" s="12">
        <f t="shared" si="4"/>
        <v>27.9</v>
      </c>
      <c r="J9" s="2"/>
      <c r="K9" s="2"/>
      <c r="L9" s="2"/>
      <c r="M9" s="2"/>
      <c r="N9" s="2"/>
      <c r="O9" s="2"/>
      <c r="P9" s="2"/>
      <c r="U9" s="11"/>
      <c r="V9" s="11"/>
      <c r="W9" s="11"/>
      <c r="X9" s="11"/>
      <c r="Y9" s="11"/>
    </row>
    <row r="10" spans="2:25" ht="18" x14ac:dyDescent="0.25">
      <c r="B10" s="12">
        <v>4</v>
      </c>
      <c r="C10" s="12">
        <v>30</v>
      </c>
      <c r="D10" s="12">
        <f t="shared" si="5"/>
        <v>228</v>
      </c>
      <c r="E10" s="12">
        <f t="shared" si="0"/>
        <v>120</v>
      </c>
      <c r="F10" s="12">
        <f t="shared" si="1"/>
        <v>1.6099999999999999</v>
      </c>
      <c r="G10" s="12">
        <f t="shared" si="2"/>
        <v>48.3</v>
      </c>
      <c r="H10" s="12">
        <f t="shared" si="3"/>
        <v>2.5920000000000001</v>
      </c>
      <c r="I10" s="12">
        <f t="shared" si="4"/>
        <v>77.760000000000005</v>
      </c>
      <c r="J10" s="2"/>
      <c r="K10" s="2"/>
      <c r="L10" s="2"/>
      <c r="M10" s="2"/>
      <c r="N10" s="2"/>
      <c r="O10" s="2"/>
      <c r="P10" s="2"/>
      <c r="U10" s="10"/>
      <c r="V10" s="10"/>
      <c r="W10" s="10"/>
      <c r="X10" s="10"/>
      <c r="Y10" s="10"/>
    </row>
    <row r="11" spans="2:25" ht="18" x14ac:dyDescent="0.25">
      <c r="B11" s="12">
        <v>5</v>
      </c>
      <c r="C11" s="12">
        <v>20</v>
      </c>
      <c r="D11" s="12">
        <f t="shared" si="5"/>
        <v>248</v>
      </c>
      <c r="E11" s="12">
        <f t="shared" si="0"/>
        <v>100</v>
      </c>
      <c r="F11" s="12">
        <f t="shared" si="1"/>
        <v>2.61</v>
      </c>
      <c r="G11" s="12">
        <f t="shared" si="2"/>
        <v>52.2</v>
      </c>
      <c r="H11" s="12">
        <f t="shared" si="3"/>
        <v>6.8120000000000003</v>
      </c>
      <c r="I11" s="12">
        <f t="shared" si="4"/>
        <v>136.24</v>
      </c>
      <c r="J11" s="2"/>
      <c r="K11" s="2"/>
      <c r="L11" s="2"/>
      <c r="M11" s="2"/>
      <c r="N11" s="2"/>
      <c r="O11" s="2"/>
      <c r="P11" s="2"/>
      <c r="U11" s="10"/>
      <c r="V11" s="10"/>
      <c r="W11" s="10"/>
      <c r="X11" s="10"/>
      <c r="Y11" s="10"/>
    </row>
    <row r="12" spans="2:25" ht="18" x14ac:dyDescent="0.25">
      <c r="B12" s="12"/>
      <c r="C12" s="12">
        <f>SUM(C6:C11)</f>
        <v>248</v>
      </c>
      <c r="D12" s="12"/>
      <c r="E12" s="12">
        <f>SUM(E6:E11)</f>
        <v>593</v>
      </c>
      <c r="F12" s="12"/>
      <c r="G12" s="12">
        <f>SUM(G6:G11)</f>
        <v>292.22000000000003</v>
      </c>
      <c r="H12" s="12"/>
      <c r="I12" s="12">
        <f>SUM(I6:I11)</f>
        <v>475.036</v>
      </c>
      <c r="J12" s="2"/>
      <c r="K12" s="2"/>
      <c r="L12" s="2"/>
      <c r="M12" s="2"/>
      <c r="N12" s="2"/>
      <c r="O12" s="2"/>
      <c r="P12" s="2"/>
      <c r="U12" s="11"/>
      <c r="V12" s="11"/>
      <c r="W12" s="11"/>
      <c r="X12" s="11"/>
      <c r="Y12" s="11"/>
    </row>
    <row r="13" spans="2:25" ht="1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U13" s="10"/>
      <c r="V13" s="10"/>
      <c r="W13" s="10"/>
      <c r="X13" s="10"/>
      <c r="Y13" s="10"/>
    </row>
    <row r="14" spans="2:25" ht="18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U14" s="10"/>
      <c r="V14" s="10"/>
      <c r="W14" s="10"/>
      <c r="X14" s="10"/>
      <c r="Y14" s="10"/>
    </row>
    <row r="15" spans="2:25" ht="18" x14ac:dyDescent="0.25">
      <c r="B15" s="2" t="s">
        <v>2</v>
      </c>
      <c r="C15" s="2"/>
      <c r="D15" s="2"/>
      <c r="E15" s="2"/>
      <c r="F15" s="2"/>
      <c r="G15" s="2" t="s">
        <v>6</v>
      </c>
      <c r="H15" s="2"/>
      <c r="I15" s="2"/>
      <c r="J15" s="2"/>
      <c r="K15" s="2"/>
      <c r="L15" s="10"/>
      <c r="M15" s="49" t="s">
        <v>151</v>
      </c>
      <c r="N15" s="50"/>
      <c r="O15" s="50"/>
      <c r="P15" s="50"/>
      <c r="Q15" s="51"/>
      <c r="S15" s="11"/>
      <c r="T15" s="11"/>
      <c r="U15" s="11"/>
      <c r="V15" s="11"/>
      <c r="W15" s="11"/>
    </row>
    <row r="16" spans="2:25" ht="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10"/>
      <c r="M16" s="2"/>
      <c r="N16" s="2"/>
      <c r="O16" s="2"/>
      <c r="P16" s="2"/>
      <c r="Q16" s="2"/>
      <c r="S16" s="10"/>
      <c r="T16" s="10"/>
      <c r="U16" s="10"/>
      <c r="V16" s="10"/>
      <c r="W16" s="10"/>
    </row>
    <row r="17" spans="2:23" ht="19.5" x14ac:dyDescent="0.3">
      <c r="B17" s="1" t="s">
        <v>8</v>
      </c>
      <c r="C17" s="2">
        <f>ROUND(E12/C12,2)</f>
        <v>2.39</v>
      </c>
      <c r="D17" s="2"/>
      <c r="E17" s="2"/>
      <c r="F17" s="2"/>
      <c r="G17" s="62" t="s">
        <v>94</v>
      </c>
      <c r="H17" s="63"/>
      <c r="I17" s="2"/>
      <c r="J17" s="2"/>
      <c r="K17" s="2"/>
      <c r="L17" s="10"/>
      <c r="M17" s="52" t="s">
        <v>129</v>
      </c>
      <c r="N17" s="53"/>
      <c r="O17" s="53"/>
      <c r="P17" s="53"/>
      <c r="Q17" s="54"/>
      <c r="S17" s="10"/>
      <c r="T17" s="10"/>
      <c r="U17" s="10"/>
      <c r="V17" s="10"/>
      <c r="W17" s="10"/>
    </row>
    <row r="18" spans="2:23" ht="18" x14ac:dyDescent="0.25">
      <c r="B18" s="2"/>
      <c r="C18" s="2"/>
      <c r="D18" s="2"/>
      <c r="E18" s="2"/>
      <c r="F18" s="2"/>
      <c r="G18" s="12" t="s">
        <v>92</v>
      </c>
      <c r="H18" s="12">
        <f>ROUND(1*(C12)/4,3)</f>
        <v>62</v>
      </c>
      <c r="I18" s="2"/>
      <c r="J18" s="2"/>
      <c r="K18" s="2"/>
      <c r="L18" s="10"/>
      <c r="M18" s="35" t="s">
        <v>144</v>
      </c>
      <c r="N18" s="36"/>
      <c r="O18" s="36"/>
      <c r="P18" s="36"/>
      <c r="Q18" s="37"/>
    </row>
    <row r="19" spans="2:23" ht="18" x14ac:dyDescent="0.25">
      <c r="B19" s="2" t="s">
        <v>3</v>
      </c>
      <c r="C19" s="2"/>
      <c r="D19" s="2"/>
      <c r="E19" s="2"/>
      <c r="F19" s="2"/>
      <c r="G19" s="12" t="s">
        <v>93</v>
      </c>
      <c r="H19" s="12">
        <f>ROUND(3*(C12)/4,3)</f>
        <v>186</v>
      </c>
      <c r="I19" s="2"/>
      <c r="J19" s="2"/>
      <c r="K19" s="2"/>
      <c r="L19" s="10"/>
      <c r="M19" s="24"/>
      <c r="N19" s="24"/>
      <c r="O19" s="24"/>
      <c r="P19" s="24"/>
      <c r="Q19" s="24"/>
    </row>
    <row r="20" spans="2:23" ht="18" x14ac:dyDescent="0.25">
      <c r="B20" s="2"/>
      <c r="C20" s="2"/>
      <c r="D20" s="2"/>
      <c r="E20" s="2"/>
      <c r="F20" s="2"/>
      <c r="G20" s="12" t="s">
        <v>53</v>
      </c>
      <c r="H20" s="12">
        <v>1</v>
      </c>
      <c r="I20" s="2"/>
      <c r="J20" s="2"/>
      <c r="K20" s="2"/>
      <c r="L20" s="10"/>
      <c r="M20" s="52" t="s">
        <v>32</v>
      </c>
      <c r="N20" s="53"/>
      <c r="O20" s="53"/>
      <c r="P20" s="53"/>
      <c r="Q20" s="54"/>
    </row>
    <row r="21" spans="2:23" ht="18" x14ac:dyDescent="0.25">
      <c r="B21" s="2" t="s">
        <v>9</v>
      </c>
      <c r="C21" s="2">
        <v>3</v>
      </c>
      <c r="D21" s="2"/>
      <c r="E21" s="2"/>
      <c r="F21" s="2"/>
      <c r="G21" s="12" t="s">
        <v>95</v>
      </c>
      <c r="H21" s="12">
        <v>3</v>
      </c>
      <c r="I21" s="2"/>
      <c r="J21" s="2"/>
      <c r="K21" s="2"/>
      <c r="M21" s="39" t="s">
        <v>142</v>
      </c>
      <c r="N21" s="39"/>
      <c r="O21" s="39"/>
      <c r="P21" s="35"/>
      <c r="Q21" s="37"/>
    </row>
    <row r="22" spans="2:23" ht="18" x14ac:dyDescent="0.25">
      <c r="B22" s="2"/>
      <c r="C22" s="2"/>
      <c r="D22" s="2"/>
      <c r="E22" s="2"/>
      <c r="F22" s="2"/>
      <c r="G22" s="12" t="s">
        <v>94</v>
      </c>
      <c r="H22" s="12">
        <f>H21-H20</f>
        <v>2</v>
      </c>
      <c r="I22" s="2"/>
      <c r="J22" s="2"/>
      <c r="K22" s="2"/>
      <c r="M22" s="24"/>
      <c r="N22" s="24"/>
      <c r="O22" s="24"/>
      <c r="P22" s="24"/>
      <c r="Q22" s="24"/>
    </row>
    <row r="23" spans="2:23" ht="18" x14ac:dyDescent="0.25">
      <c r="B23" s="2" t="s">
        <v>4</v>
      </c>
      <c r="C23" s="2"/>
      <c r="D23" s="2"/>
      <c r="E23" s="2"/>
      <c r="F23" s="2"/>
      <c r="I23" s="2"/>
      <c r="J23" s="2"/>
      <c r="K23" s="2"/>
      <c r="M23" s="52" t="s">
        <v>42</v>
      </c>
      <c r="N23" s="53"/>
      <c r="O23" s="53"/>
      <c r="P23" s="53"/>
      <c r="Q23" s="54"/>
    </row>
    <row r="24" spans="2:23" ht="18" x14ac:dyDescent="0.25">
      <c r="B24" s="2"/>
      <c r="C24" s="2"/>
      <c r="D24" s="2"/>
      <c r="E24" s="2"/>
      <c r="F24" s="2"/>
      <c r="G24" s="2" t="s">
        <v>7</v>
      </c>
      <c r="H24" s="2"/>
      <c r="I24" s="2"/>
      <c r="J24" s="2"/>
      <c r="K24" s="2"/>
      <c r="L24" s="2"/>
      <c r="M24" s="55" t="s">
        <v>132</v>
      </c>
      <c r="N24" s="56"/>
      <c r="O24" s="56"/>
      <c r="P24" s="56"/>
      <c r="Q24" s="57"/>
    </row>
    <row r="25" spans="2:23" ht="18" x14ac:dyDescent="0.25">
      <c r="B25" s="2" t="s">
        <v>10</v>
      </c>
      <c r="C25" s="2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23" ht="18" x14ac:dyDescent="0.25">
      <c r="B26" s="2"/>
      <c r="C26" s="2"/>
      <c r="D26" s="2"/>
      <c r="E26" s="2"/>
      <c r="F26" s="2"/>
      <c r="G26" s="2"/>
      <c r="H26" s="2">
        <f>ROUND(G12/C12,3)</f>
        <v>1.1779999999999999</v>
      </c>
      <c r="I26" s="2"/>
      <c r="J26" s="2"/>
      <c r="K26" s="2"/>
      <c r="L26" s="2"/>
      <c r="M26" s="52" t="s">
        <v>59</v>
      </c>
      <c r="N26" s="53"/>
      <c r="O26" s="53"/>
      <c r="P26" s="53"/>
      <c r="Q26" s="54"/>
    </row>
    <row r="27" spans="2:23" ht="18" x14ac:dyDescent="0.25">
      <c r="B27" s="2" t="s">
        <v>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55" t="s">
        <v>150</v>
      </c>
      <c r="N27" s="56"/>
      <c r="O27" s="56"/>
      <c r="P27" s="56"/>
      <c r="Q27" s="57"/>
    </row>
    <row r="28" spans="2:23" ht="18" x14ac:dyDescent="0.25">
      <c r="B28" s="2"/>
      <c r="C28" s="2"/>
      <c r="D28" s="2"/>
      <c r="E28" s="2"/>
      <c r="F28" s="2"/>
      <c r="G28" s="2" t="s">
        <v>22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23" ht="18" x14ac:dyDescent="0.25">
      <c r="B29" s="2" t="s">
        <v>11</v>
      </c>
      <c r="C29" s="2">
        <v>5</v>
      </c>
      <c r="D29" s="2"/>
      <c r="E29" s="2"/>
      <c r="F29" s="2"/>
      <c r="G29" s="2"/>
      <c r="H29" s="2"/>
      <c r="I29" s="2"/>
      <c r="J29" s="2"/>
      <c r="K29" s="2"/>
      <c r="L29" s="2"/>
      <c r="M29" s="52" t="s">
        <v>133</v>
      </c>
      <c r="N29" s="53"/>
      <c r="O29" s="53"/>
      <c r="P29" s="53"/>
      <c r="Q29" s="54"/>
    </row>
    <row r="30" spans="2:23" ht="18" x14ac:dyDescent="0.25">
      <c r="B30" s="2"/>
      <c r="C30" s="2"/>
      <c r="D30" s="2"/>
      <c r="E30" s="2"/>
      <c r="F30" s="2"/>
      <c r="G30" s="2"/>
      <c r="H30" s="2">
        <f>(I12/C12)</f>
        <v>1.915467741935484</v>
      </c>
      <c r="I30" s="2"/>
      <c r="J30" s="2"/>
      <c r="K30" s="2"/>
      <c r="L30" s="2"/>
      <c r="M30" s="55" t="s">
        <v>145</v>
      </c>
      <c r="N30" s="56"/>
      <c r="O30" s="56"/>
      <c r="P30" s="56"/>
      <c r="Q30" s="57"/>
    </row>
    <row r="31" spans="2:23" ht="18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23" ht="18" x14ac:dyDescent="0.25">
      <c r="B32" s="2"/>
      <c r="C32" s="2"/>
      <c r="D32" s="2"/>
      <c r="E32" s="2"/>
      <c r="F32" s="2"/>
      <c r="G32" s="64" t="s">
        <v>19</v>
      </c>
      <c r="H32" s="64"/>
      <c r="I32" s="64"/>
      <c r="J32" s="64"/>
      <c r="K32" s="64"/>
      <c r="L32" s="2"/>
      <c r="M32" s="2"/>
      <c r="N32" s="2"/>
    </row>
    <row r="33" spans="2:16" ht="18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6" ht="18" x14ac:dyDescent="0.25">
      <c r="B34" s="2"/>
      <c r="C34" s="2"/>
      <c r="D34" s="2"/>
      <c r="E34" s="2"/>
      <c r="F34" s="2"/>
      <c r="G34" s="2"/>
      <c r="H34" s="2">
        <f>SQRT(H30)</f>
        <v>1.3840042420222143</v>
      </c>
      <c r="I34" s="2"/>
      <c r="J34" s="2"/>
      <c r="K34" s="2"/>
      <c r="L34" s="2"/>
      <c r="M34" s="2"/>
      <c r="N34" s="2"/>
    </row>
    <row r="35" spans="2:16" ht="18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ht="18" x14ac:dyDescent="0.25">
      <c r="I36" s="2"/>
      <c r="J36" s="2"/>
    </row>
  </sheetData>
  <mergeCells count="11">
    <mergeCell ref="G32:K32"/>
    <mergeCell ref="M24:Q24"/>
    <mergeCell ref="M26:Q26"/>
    <mergeCell ref="M27:Q27"/>
    <mergeCell ref="M29:Q29"/>
    <mergeCell ref="M30:Q30"/>
    <mergeCell ref="G17:H17"/>
    <mergeCell ref="M15:Q15"/>
    <mergeCell ref="M17:Q17"/>
    <mergeCell ref="M20:Q20"/>
    <mergeCell ref="M23:Q2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18C5-4052-46C1-8F94-194C12AC3918}">
  <dimension ref="B2:V51"/>
  <sheetViews>
    <sheetView zoomScaleNormal="100" workbookViewId="0">
      <selection activeCell="T30" sqref="T30"/>
    </sheetView>
  </sheetViews>
  <sheetFormatPr baseColWidth="10" defaultRowHeight="15" x14ac:dyDescent="0.25"/>
  <cols>
    <col min="2" max="8" width="11.42578125" style="11"/>
    <col min="9" max="9" width="12.85546875" style="11" customWidth="1"/>
    <col min="10" max="16" width="11.42578125" style="11"/>
    <col min="17" max="17" width="25.7109375" style="11" customWidth="1"/>
    <col min="18" max="18" width="11.42578125" style="11"/>
    <col min="19" max="19" width="27.42578125" style="11" customWidth="1"/>
    <col min="20" max="20" width="11.42578125" style="11" customWidth="1"/>
  </cols>
  <sheetData>
    <row r="2" spans="2:22" ht="18" x14ac:dyDescent="0.25">
      <c r="B2" s="41" t="s">
        <v>99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O2" s="10"/>
      <c r="U2" s="11"/>
      <c r="V2" s="11"/>
    </row>
    <row r="3" spans="2:22" ht="18" x14ac:dyDescent="0.25">
      <c r="B3" s="60" t="s">
        <v>100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U3" s="11"/>
      <c r="V3" s="11"/>
    </row>
    <row r="4" spans="2:22" ht="18" x14ac:dyDescent="0.25">
      <c r="B4" s="41" t="s">
        <v>101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O4" s="10"/>
      <c r="U4" s="11"/>
      <c r="V4" s="11"/>
    </row>
    <row r="5" spans="2:22" ht="18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U5" s="11"/>
      <c r="V5" s="11"/>
    </row>
    <row r="6" spans="2:22" ht="18" x14ac:dyDescent="0.25">
      <c r="B6" s="21" t="s">
        <v>34</v>
      </c>
      <c r="C6" s="21" t="s">
        <v>102</v>
      </c>
      <c r="D6" s="21" t="s">
        <v>30</v>
      </c>
      <c r="E6" s="21" t="s">
        <v>16</v>
      </c>
      <c r="F6" s="21" t="s">
        <v>75</v>
      </c>
      <c r="G6" s="21" t="s">
        <v>109</v>
      </c>
      <c r="H6" s="17"/>
      <c r="I6" s="17"/>
      <c r="J6" s="17"/>
      <c r="K6" s="17"/>
      <c r="L6" s="2"/>
      <c r="M6" s="2"/>
      <c r="U6" s="11"/>
      <c r="V6" s="11"/>
    </row>
    <row r="7" spans="2:22" ht="18" x14ac:dyDescent="0.25">
      <c r="B7" s="16">
        <v>2</v>
      </c>
      <c r="C7" s="16">
        <f>B7+2</f>
        <v>4</v>
      </c>
      <c r="D7" s="16">
        <f t="shared" ref="D7:D12" si="0">(C7+B7)/2</f>
        <v>3</v>
      </c>
      <c r="E7" s="16">
        <v>4</v>
      </c>
      <c r="F7" s="16">
        <f>E7</f>
        <v>4</v>
      </c>
      <c r="G7" s="16">
        <f>E7*D7</f>
        <v>12</v>
      </c>
      <c r="H7" s="16">
        <f>ROUND(ABS(D7/C$18),2)</f>
        <v>0.4</v>
      </c>
      <c r="I7" s="16">
        <f>H7*E7</f>
        <v>1.6</v>
      </c>
      <c r="J7" s="16">
        <f>ROUND(H7^2,2)</f>
        <v>0.16</v>
      </c>
      <c r="K7" s="16">
        <f t="shared" ref="K7:K12" si="1">J7*E7</f>
        <v>0.64</v>
      </c>
      <c r="L7" s="2"/>
      <c r="M7" s="2"/>
      <c r="O7" s="10"/>
      <c r="P7" s="10"/>
      <c r="U7" s="11"/>
      <c r="V7" s="11"/>
    </row>
    <row r="8" spans="2:22" ht="18" x14ac:dyDescent="0.25">
      <c r="B8" s="26">
        <f>C7</f>
        <v>4</v>
      </c>
      <c r="C8" s="26">
        <f t="shared" ref="C8:C12" si="2">B8+2</f>
        <v>6</v>
      </c>
      <c r="D8" s="26">
        <f t="shared" si="0"/>
        <v>5</v>
      </c>
      <c r="E8" s="26">
        <v>8</v>
      </c>
      <c r="F8" s="27">
        <f>E8+F7</f>
        <v>12</v>
      </c>
      <c r="G8" s="26">
        <f t="shared" ref="G8:G12" si="3">E8*D8</f>
        <v>40</v>
      </c>
      <c r="H8" s="26">
        <f t="shared" ref="H8:H12" si="4">ROUND(ABS(D8/C$18),2)</f>
        <v>0.67</v>
      </c>
      <c r="I8" s="26">
        <f t="shared" ref="I8:I12" si="5">H8*E8</f>
        <v>5.36</v>
      </c>
      <c r="J8" s="26">
        <f t="shared" ref="J8:J12" si="6">ROUND(H8^2,2)</f>
        <v>0.45</v>
      </c>
      <c r="K8" s="26">
        <f t="shared" si="1"/>
        <v>3.6</v>
      </c>
      <c r="L8" s="2"/>
      <c r="M8" s="2"/>
      <c r="O8" s="10"/>
      <c r="P8" s="10"/>
      <c r="U8" s="11"/>
      <c r="V8" s="11"/>
    </row>
    <row r="9" spans="2:22" ht="18" x14ac:dyDescent="0.25">
      <c r="B9" s="19">
        <f t="shared" ref="B9:B12" si="7">C8</f>
        <v>6</v>
      </c>
      <c r="C9" s="19">
        <f t="shared" si="2"/>
        <v>8</v>
      </c>
      <c r="D9" s="19">
        <f t="shared" si="0"/>
        <v>7</v>
      </c>
      <c r="E9" s="19">
        <v>14</v>
      </c>
      <c r="F9" s="28">
        <f t="shared" ref="F9:F12" si="8">E9+F8</f>
        <v>26</v>
      </c>
      <c r="G9" s="19">
        <f t="shared" si="3"/>
        <v>98</v>
      </c>
      <c r="H9" s="19">
        <f t="shared" si="4"/>
        <v>0.94</v>
      </c>
      <c r="I9" s="19">
        <f t="shared" si="5"/>
        <v>13.16</v>
      </c>
      <c r="J9" s="19">
        <f t="shared" si="6"/>
        <v>0.88</v>
      </c>
      <c r="K9" s="19">
        <f t="shared" si="1"/>
        <v>12.32</v>
      </c>
      <c r="L9" s="2"/>
      <c r="M9" s="2"/>
      <c r="U9" s="11"/>
      <c r="V9" s="11"/>
    </row>
    <row r="10" spans="2:22" ht="18" x14ac:dyDescent="0.25">
      <c r="B10" s="26">
        <f t="shared" si="7"/>
        <v>8</v>
      </c>
      <c r="C10" s="26">
        <f t="shared" si="2"/>
        <v>10</v>
      </c>
      <c r="D10" s="26">
        <f t="shared" si="0"/>
        <v>9</v>
      </c>
      <c r="E10" s="26">
        <v>9</v>
      </c>
      <c r="F10" s="27">
        <f t="shared" si="8"/>
        <v>35</v>
      </c>
      <c r="G10" s="26">
        <f t="shared" si="3"/>
        <v>81</v>
      </c>
      <c r="H10" s="26">
        <f t="shared" si="4"/>
        <v>1.21</v>
      </c>
      <c r="I10" s="26">
        <f t="shared" si="5"/>
        <v>10.89</v>
      </c>
      <c r="J10" s="26">
        <f t="shared" si="6"/>
        <v>1.46</v>
      </c>
      <c r="K10" s="26">
        <f t="shared" si="1"/>
        <v>13.14</v>
      </c>
      <c r="L10" s="2"/>
      <c r="M10" s="2"/>
      <c r="O10" s="10"/>
      <c r="U10" s="11"/>
      <c r="V10" s="11"/>
    </row>
    <row r="11" spans="2:22" ht="18" x14ac:dyDescent="0.25">
      <c r="B11" s="16">
        <f t="shared" si="7"/>
        <v>10</v>
      </c>
      <c r="C11" s="16">
        <f t="shared" si="2"/>
        <v>12</v>
      </c>
      <c r="D11" s="16">
        <f t="shared" si="0"/>
        <v>11</v>
      </c>
      <c r="E11" s="16">
        <v>5</v>
      </c>
      <c r="F11" s="25">
        <f t="shared" si="8"/>
        <v>40</v>
      </c>
      <c r="G11" s="16">
        <f t="shared" si="3"/>
        <v>55</v>
      </c>
      <c r="H11" s="16">
        <f t="shared" si="4"/>
        <v>1.48</v>
      </c>
      <c r="I11" s="16">
        <f t="shared" si="5"/>
        <v>7.4</v>
      </c>
      <c r="J11" s="16">
        <f t="shared" si="6"/>
        <v>2.19</v>
      </c>
      <c r="K11" s="16">
        <f t="shared" si="1"/>
        <v>10.95</v>
      </c>
      <c r="L11" s="2"/>
      <c r="M11" s="2"/>
      <c r="O11" s="10"/>
      <c r="U11" s="11"/>
      <c r="V11" s="11"/>
    </row>
    <row r="12" spans="2:22" ht="18" x14ac:dyDescent="0.25">
      <c r="B12" s="16">
        <f t="shared" si="7"/>
        <v>12</v>
      </c>
      <c r="C12" s="16">
        <f t="shared" si="2"/>
        <v>14</v>
      </c>
      <c r="D12" s="16">
        <f t="shared" si="0"/>
        <v>13</v>
      </c>
      <c r="E12" s="16">
        <v>2</v>
      </c>
      <c r="F12" s="25">
        <f t="shared" si="8"/>
        <v>42</v>
      </c>
      <c r="G12" s="16">
        <f t="shared" si="3"/>
        <v>26</v>
      </c>
      <c r="H12" s="16">
        <f t="shared" si="4"/>
        <v>1.75</v>
      </c>
      <c r="I12" s="16">
        <f t="shared" si="5"/>
        <v>3.5</v>
      </c>
      <c r="J12" s="16">
        <f t="shared" si="6"/>
        <v>3.06</v>
      </c>
      <c r="K12" s="16">
        <f t="shared" si="1"/>
        <v>6.12</v>
      </c>
      <c r="L12" s="2"/>
      <c r="M12" s="2"/>
      <c r="U12" s="11"/>
      <c r="V12" s="11"/>
    </row>
    <row r="13" spans="2:22" ht="18" x14ac:dyDescent="0.25">
      <c r="B13" s="16"/>
      <c r="C13" s="16"/>
      <c r="D13" s="16"/>
      <c r="E13" s="16">
        <f>SUM(E7:E12)</f>
        <v>42</v>
      </c>
      <c r="F13" s="16"/>
      <c r="G13" s="16">
        <f>SUM(G7:G12)</f>
        <v>312</v>
      </c>
      <c r="H13" s="16"/>
      <c r="I13" s="16">
        <f>SUM(I7:I12)</f>
        <v>41.910000000000004</v>
      </c>
      <c r="J13" s="16"/>
      <c r="K13" s="16">
        <f>SUM(K7:K12)</f>
        <v>46.77</v>
      </c>
      <c r="L13" s="2"/>
      <c r="M13" s="2"/>
      <c r="O13" s="10"/>
      <c r="U13" s="11"/>
      <c r="V13" s="11"/>
    </row>
    <row r="14" spans="2:22" ht="18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10"/>
      <c r="U14" s="11"/>
      <c r="V14" s="11"/>
    </row>
    <row r="15" spans="2:22" ht="18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U15" s="11"/>
      <c r="V15" s="11"/>
    </row>
    <row r="16" spans="2:22" ht="18" x14ac:dyDescent="0.25">
      <c r="B16" s="2" t="s">
        <v>2</v>
      </c>
      <c r="C16" s="2"/>
      <c r="D16" s="2"/>
      <c r="E16" s="2"/>
      <c r="F16" s="2"/>
      <c r="G16" s="2" t="s">
        <v>6</v>
      </c>
      <c r="H16" s="2"/>
      <c r="I16" s="2"/>
      <c r="J16" s="2"/>
      <c r="K16" s="2"/>
      <c r="M16" s="10"/>
    </row>
    <row r="17" spans="2:20" ht="18" x14ac:dyDescent="0.25">
      <c r="B17" s="2"/>
      <c r="C17" s="2"/>
      <c r="D17" s="2"/>
      <c r="E17" s="2"/>
      <c r="F17" s="2"/>
      <c r="H17" s="2"/>
      <c r="I17" s="2"/>
      <c r="J17" s="2"/>
      <c r="K17" s="2"/>
      <c r="M17" s="10"/>
    </row>
    <row r="18" spans="2:20" ht="19.5" x14ac:dyDescent="0.3">
      <c r="B18" s="1" t="s">
        <v>8</v>
      </c>
      <c r="C18" s="2">
        <f>ROUND(G13/E13,3)</f>
        <v>7.4290000000000003</v>
      </c>
      <c r="D18" s="2"/>
      <c r="E18" s="2"/>
      <c r="F18" s="2"/>
      <c r="G18" s="62" t="s">
        <v>108</v>
      </c>
      <c r="H18" s="63"/>
      <c r="I18" s="2"/>
      <c r="J18" s="2"/>
      <c r="K18" s="2"/>
      <c r="M18" s="49" t="s">
        <v>151</v>
      </c>
      <c r="N18" s="50"/>
      <c r="O18" s="50"/>
      <c r="P18" s="50"/>
      <c r="Q18" s="51"/>
      <c r="S18"/>
      <c r="T18"/>
    </row>
    <row r="19" spans="2:20" ht="18" x14ac:dyDescent="0.25">
      <c r="B19" s="2"/>
      <c r="C19" s="2"/>
      <c r="D19" s="2"/>
      <c r="E19" s="2"/>
      <c r="F19" s="2"/>
      <c r="G19" s="16" t="s">
        <v>106</v>
      </c>
      <c r="H19" s="16">
        <f>ROUND(1*(E13)/4,3)</f>
        <v>10.5</v>
      </c>
      <c r="I19" s="2"/>
      <c r="J19" s="2"/>
      <c r="K19" s="2"/>
      <c r="M19" s="43"/>
      <c r="N19" s="2"/>
      <c r="O19" s="2"/>
      <c r="P19" s="2"/>
      <c r="Q19" s="2"/>
      <c r="R19" s="2"/>
      <c r="S19"/>
      <c r="T19"/>
    </row>
    <row r="20" spans="2:20" ht="18" x14ac:dyDescent="0.25">
      <c r="B20" s="2" t="s">
        <v>3</v>
      </c>
      <c r="C20" s="2"/>
      <c r="D20" s="2"/>
      <c r="E20" s="2"/>
      <c r="F20" s="2"/>
      <c r="G20" s="16" t="s">
        <v>35</v>
      </c>
      <c r="H20" s="16">
        <v>4</v>
      </c>
      <c r="I20" s="2"/>
      <c r="J20" s="2"/>
      <c r="K20" s="2"/>
      <c r="M20" s="52" t="s">
        <v>129</v>
      </c>
      <c r="N20" s="53"/>
      <c r="O20" s="53"/>
      <c r="P20" s="53"/>
      <c r="Q20" s="54"/>
      <c r="S20"/>
      <c r="T20"/>
    </row>
    <row r="21" spans="2:20" ht="18" x14ac:dyDescent="0.25">
      <c r="B21" s="2"/>
      <c r="C21" s="2"/>
      <c r="D21" s="2"/>
      <c r="E21" s="2"/>
      <c r="F21" s="2"/>
      <c r="G21" s="16" t="s">
        <v>15</v>
      </c>
      <c r="H21" s="16">
        <v>2</v>
      </c>
      <c r="I21" s="2"/>
      <c r="J21" s="2"/>
      <c r="K21" s="2"/>
      <c r="M21" s="35" t="s">
        <v>146</v>
      </c>
      <c r="N21" s="36"/>
      <c r="O21" s="36"/>
      <c r="P21" s="36"/>
      <c r="Q21" s="37"/>
      <c r="S21"/>
      <c r="T21"/>
    </row>
    <row r="22" spans="2:20" ht="18" x14ac:dyDescent="0.25">
      <c r="B22" s="62" t="s">
        <v>32</v>
      </c>
      <c r="C22" s="63"/>
      <c r="D22" s="2"/>
      <c r="E22" s="2"/>
      <c r="F22" s="2"/>
      <c r="G22" s="16" t="s">
        <v>103</v>
      </c>
      <c r="H22" s="16">
        <v>4</v>
      </c>
      <c r="I22" s="2"/>
      <c r="J22" s="2"/>
      <c r="K22" s="2"/>
      <c r="M22" s="24"/>
      <c r="N22" s="24"/>
      <c r="O22" s="24"/>
      <c r="P22" s="24"/>
      <c r="Q22" s="24"/>
      <c r="S22"/>
      <c r="T22"/>
    </row>
    <row r="23" spans="2:20" ht="18" x14ac:dyDescent="0.25">
      <c r="B23" s="16" t="s">
        <v>50</v>
      </c>
      <c r="C23" s="16">
        <f>(E13+1)/2</f>
        <v>21.5</v>
      </c>
      <c r="D23" s="2"/>
      <c r="E23" s="2"/>
      <c r="F23" s="2"/>
      <c r="G23" s="16" t="s">
        <v>53</v>
      </c>
      <c r="H23" s="16">
        <f>ROUND(H22+((H19-H20)/(F8-H20))*H21,2)</f>
        <v>5.63</v>
      </c>
      <c r="I23" s="2"/>
      <c r="J23" s="2"/>
      <c r="K23" s="2"/>
      <c r="M23" s="61" t="s">
        <v>32</v>
      </c>
      <c r="N23" s="61"/>
      <c r="O23" s="61"/>
      <c r="P23" s="61"/>
      <c r="Q23" s="61"/>
      <c r="S23"/>
      <c r="T23"/>
    </row>
    <row r="24" spans="2:20" ht="18" x14ac:dyDescent="0.25">
      <c r="B24" s="16" t="s">
        <v>103</v>
      </c>
      <c r="C24" s="16">
        <v>6</v>
      </c>
      <c r="D24" s="2"/>
      <c r="E24" s="2"/>
      <c r="F24" s="2"/>
      <c r="G24" s="16" t="s">
        <v>107</v>
      </c>
      <c r="H24" s="16">
        <f>ROUND(3*(E13)/4,3)</f>
        <v>31.5</v>
      </c>
      <c r="I24" s="2"/>
      <c r="J24" s="2"/>
      <c r="K24" s="2"/>
      <c r="M24" s="59" t="s">
        <v>147</v>
      </c>
      <c r="N24" s="59"/>
      <c r="O24" s="59"/>
      <c r="P24" s="59"/>
      <c r="Q24" s="59"/>
      <c r="S24"/>
      <c r="T24"/>
    </row>
    <row r="25" spans="2:20" ht="18" x14ac:dyDescent="0.25">
      <c r="B25" s="16" t="s">
        <v>105</v>
      </c>
      <c r="C25" s="16">
        <v>12</v>
      </c>
      <c r="D25" s="2"/>
      <c r="E25" s="2"/>
      <c r="F25" s="2"/>
      <c r="G25" s="16" t="s">
        <v>35</v>
      </c>
      <c r="H25" s="16">
        <v>26</v>
      </c>
      <c r="I25" s="2"/>
      <c r="J25" s="2"/>
      <c r="K25" s="2"/>
      <c r="M25" s="24"/>
      <c r="N25" s="24"/>
      <c r="O25" s="24"/>
      <c r="P25" s="24"/>
      <c r="Q25" s="24"/>
      <c r="S25"/>
      <c r="T25"/>
    </row>
    <row r="26" spans="2:20" ht="18" x14ac:dyDescent="0.25">
      <c r="B26" s="16" t="s">
        <v>16</v>
      </c>
      <c r="C26" s="16">
        <v>14</v>
      </c>
      <c r="D26" s="2"/>
      <c r="E26" s="2"/>
      <c r="F26" s="2"/>
      <c r="G26" s="16" t="s">
        <v>15</v>
      </c>
      <c r="H26" s="16">
        <v>2</v>
      </c>
      <c r="I26" s="2"/>
      <c r="J26" s="2"/>
      <c r="K26" s="2"/>
      <c r="M26" s="52" t="s">
        <v>42</v>
      </c>
      <c r="N26" s="53"/>
      <c r="O26" s="53"/>
      <c r="P26" s="53"/>
      <c r="Q26" s="54"/>
      <c r="S26"/>
      <c r="T26"/>
    </row>
    <row r="27" spans="2:20" ht="18" x14ac:dyDescent="0.25">
      <c r="B27" s="16" t="s">
        <v>15</v>
      </c>
      <c r="C27" s="16">
        <v>2</v>
      </c>
      <c r="D27" s="2"/>
      <c r="E27" s="2"/>
      <c r="F27" s="2"/>
      <c r="G27" s="16" t="s">
        <v>103</v>
      </c>
      <c r="H27" s="16">
        <v>8</v>
      </c>
      <c r="I27" s="2"/>
      <c r="J27" s="2"/>
      <c r="K27" s="2"/>
      <c r="M27" s="55" t="s">
        <v>148</v>
      </c>
      <c r="N27" s="56"/>
      <c r="O27" s="56"/>
      <c r="P27" s="56"/>
      <c r="Q27" s="57"/>
      <c r="S27"/>
      <c r="T27"/>
    </row>
    <row r="28" spans="2:20" ht="18" x14ac:dyDescent="0.25">
      <c r="B28" s="16" t="s">
        <v>104</v>
      </c>
      <c r="C28" s="16">
        <f>ROUND(C24+(((E13/2)-C25)/C26)*C27,3)</f>
        <v>7.2859999999999996</v>
      </c>
      <c r="D28" s="2"/>
      <c r="E28" s="2"/>
      <c r="F28" s="2"/>
      <c r="G28" s="16" t="s">
        <v>95</v>
      </c>
      <c r="H28" s="16">
        <f>ROUND(H27+((H24-H25)/(F10-H25))*H26,2)</f>
        <v>9.2200000000000006</v>
      </c>
      <c r="I28" s="2"/>
      <c r="J28" s="2"/>
      <c r="K28" s="2"/>
      <c r="M28" s="2"/>
      <c r="N28" s="2"/>
      <c r="O28" s="2"/>
      <c r="P28" s="2"/>
      <c r="Q28" s="2"/>
      <c r="S28"/>
      <c r="T28"/>
    </row>
    <row r="29" spans="2:20" ht="18" x14ac:dyDescent="0.25">
      <c r="B29" s="2"/>
      <c r="C29" s="2"/>
      <c r="D29" s="2"/>
      <c r="E29" s="2"/>
      <c r="F29" s="2"/>
      <c r="G29" s="16" t="s">
        <v>94</v>
      </c>
      <c r="H29" s="16">
        <f>H28-H23</f>
        <v>3.5900000000000007</v>
      </c>
      <c r="I29" s="2"/>
      <c r="J29" s="2"/>
      <c r="K29" s="2"/>
      <c r="M29" s="52" t="s">
        <v>59</v>
      </c>
      <c r="N29" s="53"/>
      <c r="O29" s="53"/>
      <c r="P29" s="53"/>
      <c r="Q29" s="54"/>
      <c r="S29"/>
      <c r="T29"/>
    </row>
    <row r="30" spans="2:20" ht="18" x14ac:dyDescent="0.25">
      <c r="B30" s="2" t="s">
        <v>4</v>
      </c>
      <c r="C30" s="2"/>
      <c r="D30" s="2"/>
      <c r="E30" s="2"/>
      <c r="F30" s="2"/>
      <c r="G30" s="2"/>
      <c r="H30" s="2"/>
      <c r="I30" s="2"/>
      <c r="J30" s="2"/>
      <c r="K30" s="2"/>
      <c r="M30" s="55" t="s">
        <v>149</v>
      </c>
      <c r="N30" s="56"/>
      <c r="O30" s="56"/>
      <c r="P30" s="56"/>
      <c r="Q30" s="57"/>
      <c r="S30"/>
      <c r="T30"/>
    </row>
    <row r="31" spans="2:20" ht="18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M31" s="2"/>
      <c r="N31" s="2"/>
      <c r="O31" s="2"/>
      <c r="P31" s="2"/>
      <c r="Q31" s="2"/>
      <c r="S31"/>
      <c r="T31"/>
    </row>
    <row r="32" spans="2:20" ht="18" x14ac:dyDescent="0.25">
      <c r="B32" s="62" t="s">
        <v>42</v>
      </c>
      <c r="C32" s="63"/>
      <c r="D32" s="2"/>
      <c r="E32" s="2"/>
      <c r="F32" s="2"/>
      <c r="G32" s="2" t="s">
        <v>7</v>
      </c>
      <c r="H32" s="2"/>
      <c r="I32" s="2"/>
      <c r="J32" s="2"/>
      <c r="K32" s="2"/>
      <c r="M32" s="52" t="s">
        <v>133</v>
      </c>
      <c r="N32" s="53"/>
      <c r="O32" s="53"/>
      <c r="P32" s="53"/>
      <c r="Q32" s="54"/>
      <c r="S32"/>
      <c r="T32"/>
    </row>
    <row r="33" spans="2:20" ht="18" x14ac:dyDescent="0.25">
      <c r="B33" s="16" t="s">
        <v>110</v>
      </c>
      <c r="C33" s="16">
        <v>14</v>
      </c>
      <c r="D33" s="2"/>
      <c r="E33" s="2"/>
      <c r="F33" s="2"/>
      <c r="G33" s="2"/>
      <c r="H33" s="2"/>
      <c r="I33" s="2"/>
      <c r="J33" s="2"/>
      <c r="K33" s="2"/>
      <c r="M33" s="55" t="s">
        <v>145</v>
      </c>
      <c r="N33" s="56"/>
      <c r="O33" s="56"/>
      <c r="P33" s="56"/>
      <c r="Q33" s="57"/>
      <c r="S33"/>
      <c r="T33"/>
    </row>
    <row r="34" spans="2:20" ht="18" x14ac:dyDescent="0.25">
      <c r="B34" s="16" t="s">
        <v>103</v>
      </c>
      <c r="C34" s="16">
        <v>6</v>
      </c>
      <c r="D34" s="2"/>
      <c r="E34" s="2"/>
      <c r="F34" s="2"/>
      <c r="G34" s="2"/>
      <c r="H34" s="2">
        <f>ROUND(I13/E13,3)</f>
        <v>0.998</v>
      </c>
      <c r="I34" s="2"/>
      <c r="J34" s="2"/>
      <c r="K34" s="2"/>
      <c r="S34"/>
      <c r="T34"/>
    </row>
    <row r="35" spans="2:20" ht="18" x14ac:dyDescent="0.25">
      <c r="B35" s="16" t="s">
        <v>16</v>
      </c>
      <c r="C35" s="16">
        <v>14</v>
      </c>
      <c r="D35" s="2"/>
      <c r="E35" s="2"/>
      <c r="F35" s="2"/>
      <c r="G35" s="2"/>
      <c r="H35" s="2"/>
      <c r="I35" s="2"/>
      <c r="J35" s="2"/>
      <c r="K35" s="2"/>
      <c r="S35"/>
      <c r="T35"/>
    </row>
    <row r="36" spans="2:20" ht="18" x14ac:dyDescent="0.25">
      <c r="B36" s="16" t="s">
        <v>43</v>
      </c>
      <c r="C36" s="16">
        <v>8</v>
      </c>
      <c r="D36" s="2"/>
      <c r="E36" s="2"/>
      <c r="F36" s="2"/>
      <c r="G36" s="2" t="s">
        <v>22</v>
      </c>
      <c r="H36" s="2"/>
      <c r="I36" s="2"/>
      <c r="J36" s="2"/>
      <c r="K36" s="2"/>
      <c r="S36"/>
      <c r="T36"/>
    </row>
    <row r="37" spans="2:20" ht="18" x14ac:dyDescent="0.25">
      <c r="B37" s="16" t="s">
        <v>44</v>
      </c>
      <c r="C37" s="16">
        <v>9</v>
      </c>
      <c r="D37" s="2"/>
      <c r="E37" s="2"/>
      <c r="F37" s="2"/>
      <c r="G37" s="2"/>
      <c r="H37" s="2"/>
      <c r="I37" s="2"/>
      <c r="J37" s="2"/>
      <c r="K37" s="2"/>
      <c r="S37"/>
      <c r="T37"/>
    </row>
    <row r="38" spans="2:20" ht="18" x14ac:dyDescent="0.25">
      <c r="B38" s="16" t="s">
        <v>110</v>
      </c>
      <c r="C38" s="16">
        <f>ROUND(C34+((C35-C36)/((C35-C36)+(C35-C37)))*C27,3)</f>
        <v>7.0910000000000002</v>
      </c>
      <c r="D38" s="2"/>
      <c r="G38" s="2"/>
      <c r="H38" s="2">
        <f>ROUND(K13/E13,2)</f>
        <v>1.1100000000000001</v>
      </c>
      <c r="I38" s="2"/>
      <c r="J38" s="2"/>
      <c r="S38"/>
      <c r="T38"/>
    </row>
    <row r="39" spans="2:20" ht="18" x14ac:dyDescent="0.25">
      <c r="B39" s="2"/>
      <c r="C39" s="2"/>
      <c r="D39" s="2"/>
      <c r="G39" s="2"/>
      <c r="H39" s="2"/>
      <c r="S39"/>
      <c r="T39"/>
    </row>
    <row r="40" spans="2:20" ht="18" x14ac:dyDescent="0.25">
      <c r="B40" s="2"/>
      <c r="C40" s="2"/>
      <c r="D40" s="2"/>
      <c r="G40" s="2" t="s">
        <v>19</v>
      </c>
      <c r="H40" s="2"/>
      <c r="S40"/>
      <c r="T40"/>
    </row>
    <row r="41" spans="2:20" ht="18" x14ac:dyDescent="0.25">
      <c r="B41" s="2" t="s">
        <v>5</v>
      </c>
      <c r="C41" s="2"/>
      <c r="D41" s="2"/>
      <c r="G41" s="2"/>
      <c r="H41" s="2"/>
      <c r="S41"/>
      <c r="T41"/>
    </row>
    <row r="42" spans="2:20" ht="18" x14ac:dyDescent="0.25">
      <c r="B42" s="2"/>
      <c r="C42" s="2"/>
      <c r="D42" s="2"/>
      <c r="G42" s="2"/>
      <c r="H42" s="2">
        <f>ROUND(SQRT(H38),2)</f>
        <v>1.05</v>
      </c>
      <c r="S42"/>
      <c r="T42"/>
    </row>
    <row r="43" spans="2:20" ht="18" x14ac:dyDescent="0.25">
      <c r="B43" s="2" t="s">
        <v>11</v>
      </c>
      <c r="C43" s="2">
        <v>12</v>
      </c>
      <c r="D43" s="2"/>
      <c r="G43" s="2"/>
      <c r="H43" s="2"/>
      <c r="S43"/>
      <c r="T43"/>
    </row>
    <row r="44" spans="2:20" ht="18" x14ac:dyDescent="0.25">
      <c r="B44" s="2"/>
      <c r="C44" s="2"/>
      <c r="I44" s="2"/>
      <c r="J44" s="2"/>
    </row>
    <row r="45" spans="2:20" ht="18" x14ac:dyDescent="0.25">
      <c r="B45" s="2"/>
      <c r="C45" s="2"/>
      <c r="I45" s="2"/>
      <c r="J45" s="2"/>
    </row>
    <row r="46" spans="2:20" ht="18" x14ac:dyDescent="0.25">
      <c r="B46" s="2"/>
      <c r="C46" s="2"/>
      <c r="I46" s="2"/>
      <c r="J46" s="2"/>
    </row>
    <row r="47" spans="2:20" ht="18" x14ac:dyDescent="0.25">
      <c r="B47" s="2"/>
      <c r="C47" s="2"/>
      <c r="I47" s="2"/>
      <c r="J47" s="2"/>
    </row>
    <row r="48" spans="2:20" ht="18" x14ac:dyDescent="0.25">
      <c r="B48" s="2"/>
      <c r="C48" s="2"/>
      <c r="I48" s="2"/>
      <c r="J48" s="2"/>
    </row>
    <row r="49" spans="2:10" ht="18" x14ac:dyDescent="0.25">
      <c r="B49" s="2"/>
      <c r="C49" s="2"/>
      <c r="I49" s="2"/>
      <c r="J49" s="2"/>
    </row>
    <row r="50" spans="2:10" ht="18" x14ac:dyDescent="0.25">
      <c r="B50" s="2"/>
      <c r="C50" s="2"/>
      <c r="I50" s="2"/>
      <c r="J50" s="2"/>
    </row>
    <row r="51" spans="2:10" ht="18" x14ac:dyDescent="0.25">
      <c r="B51" s="2"/>
      <c r="C51" s="2"/>
      <c r="I51" s="2"/>
      <c r="J51" s="2"/>
    </row>
  </sheetData>
  <mergeCells count="14">
    <mergeCell ref="M33:Q33"/>
    <mergeCell ref="M23:Q23"/>
    <mergeCell ref="M24:Q24"/>
    <mergeCell ref="B32:C32"/>
    <mergeCell ref="G18:H18"/>
    <mergeCell ref="B22:C22"/>
    <mergeCell ref="M18:Q18"/>
    <mergeCell ref="M20:Q20"/>
    <mergeCell ref="M26:Q26"/>
    <mergeCell ref="M27:Q27"/>
    <mergeCell ref="M29:Q29"/>
    <mergeCell ref="M30:Q30"/>
    <mergeCell ref="M32:Q32"/>
    <mergeCell ref="B3:O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0B66-D5A2-4EF6-8014-04474FFAEADB}">
  <dimension ref="B2:Z42"/>
  <sheetViews>
    <sheetView topLeftCell="A19" zoomScaleNormal="100" workbookViewId="0">
      <selection activeCell="W13" sqref="W13"/>
    </sheetView>
  </sheetViews>
  <sheetFormatPr baseColWidth="10" defaultRowHeight="15" x14ac:dyDescent="0.25"/>
  <cols>
    <col min="2" max="2" width="13.140625" customWidth="1"/>
    <col min="4" max="4" width="13.85546875" customWidth="1"/>
    <col min="5" max="5" width="15.28515625" customWidth="1"/>
    <col min="20" max="20" width="13" customWidth="1"/>
    <col min="21" max="21" width="13.5703125" customWidth="1"/>
  </cols>
  <sheetData>
    <row r="2" spans="2:26" ht="18" x14ac:dyDescent="0.25">
      <c r="B2" s="41" t="s">
        <v>23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2"/>
      <c r="Q2" s="2"/>
      <c r="R2" s="2"/>
      <c r="S2" s="2"/>
      <c r="T2" s="2"/>
    </row>
    <row r="3" spans="2:26" ht="1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6" ht="18" x14ac:dyDescent="0.25">
      <c r="B4" s="65" t="s">
        <v>26</v>
      </c>
      <c r="C4" s="65"/>
      <c r="D4" s="20" t="s">
        <v>24</v>
      </c>
      <c r="E4" s="20" t="s">
        <v>33</v>
      </c>
      <c r="F4" s="21" t="s">
        <v>30</v>
      </c>
      <c r="G4" s="21" t="s">
        <v>31</v>
      </c>
      <c r="H4" s="21"/>
      <c r="I4" s="21"/>
      <c r="J4" s="21"/>
      <c r="K4" s="21"/>
      <c r="L4" s="2"/>
      <c r="M4" s="2"/>
      <c r="N4" s="2"/>
      <c r="O4" s="2"/>
      <c r="P4" s="2"/>
      <c r="Q4" s="2"/>
      <c r="R4" s="2"/>
      <c r="S4" s="2"/>
      <c r="T4" s="2"/>
      <c r="U4" s="11"/>
      <c r="V4" s="10"/>
      <c r="W4" s="10"/>
      <c r="Y4" s="10"/>
      <c r="Z4" s="10"/>
    </row>
    <row r="5" spans="2:26" ht="18" x14ac:dyDescent="0.25">
      <c r="B5" s="12">
        <v>0.5</v>
      </c>
      <c r="C5" s="12">
        <v>0.75</v>
      </c>
      <c r="D5" s="12">
        <v>2</v>
      </c>
      <c r="E5" s="12">
        <v>2</v>
      </c>
      <c r="F5" s="12">
        <f t="shared" ref="F5:F12" si="0">(C5+B5)/2</f>
        <v>0.625</v>
      </c>
      <c r="G5" s="12">
        <f t="shared" ref="G5:G12" si="1">F5*D5</f>
        <v>1.25</v>
      </c>
      <c r="H5" s="12">
        <f>ABS(F5-C$18)</f>
        <v>0.79499999999999993</v>
      </c>
      <c r="I5" s="12">
        <f>H5*D5</f>
        <v>1.5899999999999999</v>
      </c>
      <c r="J5" s="12">
        <f>ROUND(H5^2,3)</f>
        <v>0.63200000000000001</v>
      </c>
      <c r="K5" s="12">
        <f>J5*D5</f>
        <v>1.264</v>
      </c>
      <c r="L5" s="2"/>
      <c r="M5" s="2"/>
      <c r="N5" s="2"/>
      <c r="O5" s="2"/>
      <c r="P5" s="2"/>
      <c r="Q5" s="2"/>
      <c r="R5" s="2"/>
      <c r="S5" s="2"/>
      <c r="T5" s="2"/>
      <c r="U5" s="11"/>
    </row>
    <row r="6" spans="2:26" ht="18" x14ac:dyDescent="0.25">
      <c r="B6" s="12">
        <v>0.75</v>
      </c>
      <c r="C6" s="12">
        <v>1</v>
      </c>
      <c r="D6" s="12">
        <v>7</v>
      </c>
      <c r="E6" s="12">
        <f>E5+D6</f>
        <v>9</v>
      </c>
      <c r="F6" s="12">
        <f t="shared" si="0"/>
        <v>0.875</v>
      </c>
      <c r="G6" s="12">
        <f t="shared" si="1"/>
        <v>6.125</v>
      </c>
      <c r="H6" s="12">
        <f t="shared" ref="H6:H12" si="2">ABS(F6-C$18)</f>
        <v>0.54499999999999993</v>
      </c>
      <c r="I6" s="12">
        <f t="shared" ref="I6:I12" si="3">H6*D6</f>
        <v>3.8149999999999995</v>
      </c>
      <c r="J6" s="12">
        <f t="shared" ref="J6:J12" si="4">ROUND(H6^2,3)</f>
        <v>0.29699999999999999</v>
      </c>
      <c r="K6" s="12">
        <f t="shared" ref="K6:K12" si="5">J6*D6</f>
        <v>2.0789999999999997</v>
      </c>
      <c r="L6" s="2"/>
      <c r="M6" s="2"/>
      <c r="N6" s="2"/>
      <c r="O6" s="2"/>
      <c r="P6" s="2"/>
      <c r="Q6" s="2"/>
      <c r="R6" s="2"/>
      <c r="S6" s="2"/>
      <c r="T6" s="2"/>
      <c r="U6" s="11"/>
    </row>
    <row r="7" spans="2:26" ht="18" x14ac:dyDescent="0.25">
      <c r="B7" s="22">
        <v>1</v>
      </c>
      <c r="C7" s="22">
        <v>1.25</v>
      </c>
      <c r="D7" s="22">
        <v>15</v>
      </c>
      <c r="E7" s="22">
        <f>E6+D7</f>
        <v>24</v>
      </c>
      <c r="F7" s="22">
        <f t="shared" si="0"/>
        <v>1.125</v>
      </c>
      <c r="G7" s="22">
        <f t="shared" si="1"/>
        <v>16.875</v>
      </c>
      <c r="H7" s="22">
        <f t="shared" si="2"/>
        <v>0.29499999999999993</v>
      </c>
      <c r="I7" s="22">
        <f t="shared" si="3"/>
        <v>4.4249999999999989</v>
      </c>
      <c r="J7" s="22">
        <f t="shared" si="4"/>
        <v>8.6999999999999994E-2</v>
      </c>
      <c r="K7" s="22">
        <f t="shared" si="5"/>
        <v>1.3049999999999999</v>
      </c>
      <c r="L7" s="2"/>
      <c r="M7" s="2"/>
      <c r="N7" s="2"/>
      <c r="O7" s="2"/>
      <c r="P7" s="2"/>
      <c r="Q7" s="2"/>
      <c r="R7" s="2"/>
      <c r="S7" s="2"/>
      <c r="T7" s="2"/>
      <c r="U7" s="11"/>
    </row>
    <row r="8" spans="2:26" ht="18" x14ac:dyDescent="0.25">
      <c r="B8" s="19">
        <v>1.25</v>
      </c>
      <c r="C8" s="19">
        <v>1.5</v>
      </c>
      <c r="D8" s="19">
        <v>28</v>
      </c>
      <c r="E8" s="19">
        <f>E7+D8</f>
        <v>52</v>
      </c>
      <c r="F8" s="19">
        <f t="shared" si="0"/>
        <v>1.375</v>
      </c>
      <c r="G8" s="19">
        <f t="shared" si="1"/>
        <v>38.5</v>
      </c>
      <c r="H8" s="19">
        <f t="shared" si="2"/>
        <v>4.4999999999999929E-2</v>
      </c>
      <c r="I8" s="19">
        <f t="shared" si="3"/>
        <v>1.259999999999998</v>
      </c>
      <c r="J8" s="19">
        <f t="shared" si="4"/>
        <v>2E-3</v>
      </c>
      <c r="K8" s="19">
        <f t="shared" si="5"/>
        <v>5.6000000000000001E-2</v>
      </c>
      <c r="L8" s="2"/>
      <c r="M8" s="2"/>
      <c r="N8" s="2"/>
      <c r="O8" s="2"/>
      <c r="P8" s="2"/>
      <c r="Q8" s="2"/>
      <c r="R8" s="2"/>
      <c r="S8" s="2"/>
      <c r="T8" s="2"/>
      <c r="U8" s="11"/>
    </row>
    <row r="9" spans="2:26" ht="18" x14ac:dyDescent="0.25">
      <c r="B9" s="22">
        <v>1.5</v>
      </c>
      <c r="C9" s="22">
        <v>1.75</v>
      </c>
      <c r="D9" s="22">
        <v>14</v>
      </c>
      <c r="E9" s="22">
        <f t="shared" ref="E9:E12" si="6">E8+D9</f>
        <v>66</v>
      </c>
      <c r="F9" s="22">
        <f t="shared" si="0"/>
        <v>1.625</v>
      </c>
      <c r="G9" s="22">
        <f t="shared" si="1"/>
        <v>22.75</v>
      </c>
      <c r="H9" s="22">
        <f t="shared" si="2"/>
        <v>0.20500000000000007</v>
      </c>
      <c r="I9" s="22">
        <f t="shared" si="3"/>
        <v>2.870000000000001</v>
      </c>
      <c r="J9" s="22">
        <f t="shared" si="4"/>
        <v>4.2000000000000003E-2</v>
      </c>
      <c r="K9" s="22">
        <f t="shared" si="5"/>
        <v>0.58800000000000008</v>
      </c>
      <c r="L9" s="2"/>
      <c r="M9" s="2"/>
      <c r="N9" s="2"/>
      <c r="O9" s="2"/>
      <c r="P9" s="2"/>
      <c r="Q9" s="2"/>
      <c r="R9" s="2"/>
      <c r="S9" s="2"/>
      <c r="T9" s="2"/>
      <c r="U9" s="11"/>
    </row>
    <row r="10" spans="2:26" ht="18" x14ac:dyDescent="0.25">
      <c r="B10" s="12">
        <v>1.75</v>
      </c>
      <c r="C10" s="12">
        <v>2</v>
      </c>
      <c r="D10" s="12">
        <v>9</v>
      </c>
      <c r="E10" s="12">
        <f t="shared" si="6"/>
        <v>75</v>
      </c>
      <c r="F10" s="12">
        <f t="shared" si="0"/>
        <v>1.875</v>
      </c>
      <c r="G10" s="12">
        <f t="shared" si="1"/>
        <v>16.875</v>
      </c>
      <c r="H10" s="12">
        <f t="shared" si="2"/>
        <v>0.45500000000000007</v>
      </c>
      <c r="I10" s="12">
        <f t="shared" si="3"/>
        <v>4.0950000000000006</v>
      </c>
      <c r="J10" s="12">
        <f t="shared" si="4"/>
        <v>0.20699999999999999</v>
      </c>
      <c r="K10" s="12">
        <f t="shared" si="5"/>
        <v>1.863</v>
      </c>
      <c r="L10" s="2"/>
      <c r="M10" s="2"/>
      <c r="N10" s="2"/>
      <c r="O10" s="2"/>
      <c r="P10" s="2"/>
      <c r="Q10" s="2"/>
      <c r="R10" s="2"/>
      <c r="S10" s="2"/>
      <c r="T10" s="2"/>
      <c r="U10" s="11"/>
    </row>
    <row r="11" spans="2:26" ht="18" x14ac:dyDescent="0.25">
      <c r="B11" s="12">
        <v>2</v>
      </c>
      <c r="C11" s="12">
        <v>2.25</v>
      </c>
      <c r="D11" s="12">
        <v>3</v>
      </c>
      <c r="E11" s="12">
        <f t="shared" si="6"/>
        <v>78</v>
      </c>
      <c r="F11" s="12">
        <f t="shared" si="0"/>
        <v>2.125</v>
      </c>
      <c r="G11" s="12">
        <f t="shared" si="1"/>
        <v>6.375</v>
      </c>
      <c r="H11" s="12">
        <f t="shared" si="2"/>
        <v>0.70500000000000007</v>
      </c>
      <c r="I11" s="12">
        <f t="shared" si="3"/>
        <v>2.1150000000000002</v>
      </c>
      <c r="J11" s="12">
        <f t="shared" si="4"/>
        <v>0.497</v>
      </c>
      <c r="K11" s="12">
        <f t="shared" si="5"/>
        <v>1.4910000000000001</v>
      </c>
      <c r="L11" s="2"/>
      <c r="M11" s="2"/>
      <c r="N11" s="2"/>
      <c r="O11" s="2"/>
      <c r="P11" s="2"/>
      <c r="Q11" s="2"/>
      <c r="R11" s="2"/>
      <c r="S11" s="2"/>
      <c r="T11" s="2"/>
      <c r="U11" s="11"/>
    </row>
    <row r="12" spans="2:26" ht="18" x14ac:dyDescent="0.25">
      <c r="B12" s="12">
        <v>2.25</v>
      </c>
      <c r="C12" s="12">
        <v>2.5</v>
      </c>
      <c r="D12" s="12">
        <v>2</v>
      </c>
      <c r="E12" s="12">
        <f t="shared" si="6"/>
        <v>80</v>
      </c>
      <c r="F12" s="12">
        <f t="shared" si="0"/>
        <v>2.375</v>
      </c>
      <c r="G12" s="12">
        <f t="shared" si="1"/>
        <v>4.75</v>
      </c>
      <c r="H12" s="12">
        <f t="shared" si="2"/>
        <v>0.95500000000000007</v>
      </c>
      <c r="I12" s="12">
        <f t="shared" si="3"/>
        <v>1.9100000000000001</v>
      </c>
      <c r="J12" s="12">
        <f t="shared" si="4"/>
        <v>0.91200000000000003</v>
      </c>
      <c r="K12" s="12">
        <f t="shared" si="5"/>
        <v>1.8240000000000001</v>
      </c>
      <c r="L12" s="2"/>
      <c r="M12" s="2"/>
      <c r="N12" s="2"/>
      <c r="O12" s="2"/>
      <c r="P12" s="2"/>
      <c r="Q12" s="2"/>
      <c r="R12" s="2"/>
      <c r="S12" s="2"/>
      <c r="T12" s="2"/>
      <c r="U12" s="11"/>
    </row>
    <row r="13" spans="2:26" ht="18" x14ac:dyDescent="0.25">
      <c r="B13" s="12"/>
      <c r="C13" s="12" t="s">
        <v>25</v>
      </c>
      <c r="D13" s="12">
        <v>80</v>
      </c>
      <c r="E13" s="12"/>
      <c r="F13" s="13"/>
      <c r="G13" s="12">
        <f>SUM(G5:G12)</f>
        <v>113.5</v>
      </c>
      <c r="H13" s="12"/>
      <c r="I13" s="12">
        <f>SUM(I5:I12)</f>
        <v>22.080000000000002</v>
      </c>
      <c r="J13" s="12"/>
      <c r="K13" s="12">
        <f>SUM(K5:K12)</f>
        <v>10.469999999999999</v>
      </c>
      <c r="L13" s="2"/>
      <c r="M13" s="2"/>
      <c r="N13" s="2"/>
      <c r="O13" s="2"/>
      <c r="P13" s="2"/>
      <c r="Q13" s="2"/>
      <c r="R13" s="2"/>
      <c r="S13" s="2"/>
      <c r="T13" s="2"/>
      <c r="U13" s="11"/>
    </row>
    <row r="14" spans="2:26" ht="18" x14ac:dyDescent="0.25">
      <c r="P14" s="2"/>
      <c r="Q14" s="2"/>
      <c r="R14" s="2"/>
      <c r="S14" s="2"/>
      <c r="T14" s="2"/>
      <c r="U14" s="11"/>
    </row>
    <row r="15" spans="2:26" ht="18" x14ac:dyDescent="0.25">
      <c r="P15" s="2"/>
      <c r="Q15" s="2"/>
      <c r="R15" s="2"/>
      <c r="S15" s="2"/>
      <c r="T15" s="2"/>
      <c r="U15" s="11"/>
    </row>
    <row r="16" spans="2:26" ht="18" x14ac:dyDescent="0.25">
      <c r="B16" s="71" t="s">
        <v>2</v>
      </c>
      <c r="C16" s="71"/>
      <c r="D16" s="71"/>
      <c r="E16" s="71"/>
      <c r="I16" s="2" t="s">
        <v>7</v>
      </c>
      <c r="J16" s="2"/>
      <c r="K16" s="2"/>
      <c r="P16" s="62" t="s">
        <v>32</v>
      </c>
      <c r="Q16" s="63"/>
      <c r="R16" s="2"/>
      <c r="S16" s="62" t="s">
        <v>42</v>
      </c>
      <c r="T16" s="63"/>
    </row>
    <row r="17" spans="2:21" ht="18" x14ac:dyDescent="0.25">
      <c r="I17" s="2"/>
      <c r="J17" s="2"/>
      <c r="K17" s="2"/>
      <c r="P17" s="12" t="s">
        <v>36</v>
      </c>
      <c r="Q17" s="12">
        <f>(D13+1)/2</f>
        <v>40.5</v>
      </c>
      <c r="R17" s="2"/>
      <c r="S17" s="12" t="s">
        <v>37</v>
      </c>
      <c r="T17" s="12">
        <v>1.25</v>
      </c>
    </row>
    <row r="18" spans="2:21" ht="19.5" x14ac:dyDescent="0.3">
      <c r="B18" s="4" t="s">
        <v>8</v>
      </c>
      <c r="C18" s="23">
        <f>ROUND(G13/D13,2)</f>
        <v>1.42</v>
      </c>
      <c r="I18" s="2"/>
      <c r="J18" s="2">
        <f>I13/D13</f>
        <v>0.27600000000000002</v>
      </c>
      <c r="K18" s="2"/>
      <c r="P18" s="12" t="s">
        <v>37</v>
      </c>
      <c r="Q18" s="12">
        <v>1.25</v>
      </c>
      <c r="R18" s="2"/>
      <c r="S18" s="12" t="s">
        <v>40</v>
      </c>
      <c r="T18" s="12">
        <v>28</v>
      </c>
    </row>
    <row r="19" spans="2:21" ht="18" x14ac:dyDescent="0.25">
      <c r="P19" s="12" t="s">
        <v>38</v>
      </c>
      <c r="Q19" s="12">
        <v>40</v>
      </c>
      <c r="R19" s="2"/>
      <c r="S19" s="12" t="s">
        <v>45</v>
      </c>
      <c r="T19" s="12">
        <v>15</v>
      </c>
    </row>
    <row r="20" spans="2:21" ht="18" x14ac:dyDescent="0.25">
      <c r="B20" s="2" t="s">
        <v>3</v>
      </c>
      <c r="C20" s="2"/>
      <c r="D20" s="2"/>
      <c r="E20" s="2"/>
      <c r="F20" s="2"/>
      <c r="G20" s="2"/>
      <c r="H20" s="2"/>
      <c r="I20" s="2" t="s">
        <v>22</v>
      </c>
      <c r="J20" s="2"/>
      <c r="K20" s="2"/>
      <c r="L20" s="2"/>
      <c r="P20" s="12" t="s">
        <v>39</v>
      </c>
      <c r="Q20" s="12">
        <v>24</v>
      </c>
      <c r="R20" s="2"/>
      <c r="S20" s="12" t="s">
        <v>46</v>
      </c>
      <c r="T20" s="12">
        <v>14</v>
      </c>
    </row>
    <row r="21" spans="2:21" ht="18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P21" s="12" t="s">
        <v>40</v>
      </c>
      <c r="Q21" s="12">
        <v>28</v>
      </c>
      <c r="R21" s="2"/>
      <c r="S21" s="12" t="s">
        <v>47</v>
      </c>
      <c r="T21" s="12">
        <v>0.25</v>
      </c>
    </row>
    <row r="22" spans="2:21" ht="18" x14ac:dyDescent="0.25">
      <c r="B22" s="2" t="s">
        <v>9</v>
      </c>
      <c r="C22" s="2">
        <f>ROUND(Q18+((Q19-Q20)/Q21)*Q22,2)</f>
        <v>1.39</v>
      </c>
      <c r="D22" s="2"/>
      <c r="E22" s="2"/>
      <c r="F22" s="2"/>
      <c r="G22" s="2"/>
      <c r="H22" s="2"/>
      <c r="I22" s="2"/>
      <c r="J22" s="2">
        <f>(K13/(D13-1))</f>
        <v>0.13253164556962024</v>
      </c>
      <c r="K22" s="2"/>
      <c r="L22" s="2"/>
      <c r="P22" s="12" t="s">
        <v>41</v>
      </c>
      <c r="Q22" s="12">
        <v>0.25</v>
      </c>
      <c r="R22" s="2"/>
      <c r="S22" s="2"/>
      <c r="T22" s="2"/>
    </row>
    <row r="23" spans="2:21" ht="18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P23" s="2"/>
      <c r="Q23" s="2"/>
      <c r="R23" s="2"/>
      <c r="S23" s="2"/>
      <c r="T23" s="2"/>
    </row>
    <row r="24" spans="2:21" ht="18" x14ac:dyDescent="0.25">
      <c r="B24" s="2" t="s">
        <v>4</v>
      </c>
      <c r="C24" s="2"/>
      <c r="D24" s="2"/>
      <c r="E24" s="2"/>
      <c r="F24" s="2"/>
      <c r="G24" s="2"/>
      <c r="H24" s="2"/>
      <c r="I24" s="2" t="s">
        <v>19</v>
      </c>
      <c r="J24" s="2"/>
      <c r="K24" s="2"/>
      <c r="L24" s="2"/>
      <c r="P24" s="49" t="s">
        <v>151</v>
      </c>
      <c r="Q24" s="50"/>
      <c r="R24" s="50"/>
      <c r="S24" s="50"/>
      <c r="T24" s="51"/>
    </row>
    <row r="25" spans="2:21" ht="18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P25" s="2"/>
      <c r="Q25" s="2"/>
      <c r="R25" s="2"/>
      <c r="S25" s="2"/>
      <c r="T25" s="2"/>
    </row>
    <row r="26" spans="2:21" ht="18" x14ac:dyDescent="0.25">
      <c r="B26" s="2" t="s">
        <v>10</v>
      </c>
      <c r="C26" s="2">
        <f>ROUND(T17+((T18-T19)/((T18-T19)+(T18-T20)))*T21,2)</f>
        <v>1.37</v>
      </c>
      <c r="D26" s="2"/>
      <c r="E26" s="2"/>
      <c r="F26" s="2"/>
      <c r="G26" s="2"/>
      <c r="H26" s="2"/>
      <c r="I26" s="2"/>
      <c r="J26" s="2">
        <f>(SQRT(J22))</f>
        <v>0.36404896040178475</v>
      </c>
      <c r="K26" s="2"/>
      <c r="L26" s="2"/>
      <c r="P26" s="52" t="s">
        <v>129</v>
      </c>
      <c r="Q26" s="53"/>
      <c r="R26" s="53"/>
      <c r="S26" s="53"/>
      <c r="T26" s="53"/>
      <c r="U26" s="54"/>
    </row>
    <row r="27" spans="2:21" ht="18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P27" s="55" t="s">
        <v>152</v>
      </c>
      <c r="Q27" s="56"/>
      <c r="R27" s="56"/>
      <c r="S27" s="56"/>
      <c r="T27" s="56"/>
      <c r="U27" s="57"/>
    </row>
    <row r="28" spans="2:21" ht="18" x14ac:dyDescent="0.25">
      <c r="B28" s="2" t="s">
        <v>5</v>
      </c>
      <c r="C28" s="2"/>
      <c r="D28" s="2"/>
      <c r="E28" s="2"/>
      <c r="F28" s="2"/>
      <c r="G28" s="2"/>
      <c r="H28" s="2"/>
      <c r="I28" s="2"/>
      <c r="J28" s="2"/>
      <c r="K28" s="2"/>
      <c r="L28" s="2"/>
      <c r="P28" s="24"/>
      <c r="Q28" s="24"/>
      <c r="R28" s="24"/>
      <c r="S28" s="24"/>
      <c r="T28" s="24"/>
    </row>
    <row r="29" spans="2:21" ht="18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P29" s="61" t="s">
        <v>32</v>
      </c>
      <c r="Q29" s="61"/>
      <c r="R29" s="61"/>
      <c r="S29" s="61"/>
      <c r="T29" s="61"/>
      <c r="U29" s="61"/>
    </row>
    <row r="30" spans="2:21" ht="18" x14ac:dyDescent="0.25">
      <c r="B30" s="2" t="s">
        <v>48</v>
      </c>
      <c r="C30" s="2">
        <f>((C12+B12)/2)-((B5+C5)/2)</f>
        <v>1.75</v>
      </c>
      <c r="D30" s="2"/>
      <c r="E30" s="2" t="s">
        <v>49</v>
      </c>
      <c r="F30" s="2">
        <f>C12-B5</f>
        <v>2</v>
      </c>
      <c r="G30" s="2"/>
      <c r="H30" s="2"/>
      <c r="I30" s="2"/>
      <c r="J30" s="2"/>
      <c r="K30" s="2"/>
      <c r="L30" s="2"/>
      <c r="P30" s="59" t="s">
        <v>153</v>
      </c>
      <c r="Q30" s="59"/>
      <c r="R30" s="59"/>
      <c r="S30" s="59"/>
      <c r="T30" s="59"/>
      <c r="U30" s="59"/>
    </row>
    <row r="31" spans="2:21" ht="18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P31" s="24"/>
      <c r="Q31" s="24"/>
      <c r="R31" s="24"/>
      <c r="S31" s="24"/>
      <c r="T31" s="24"/>
    </row>
    <row r="32" spans="2:21" ht="18" x14ac:dyDescent="0.25">
      <c r="B32" s="2" t="s">
        <v>6</v>
      </c>
      <c r="C32" s="2"/>
      <c r="D32" s="2"/>
      <c r="E32" s="2"/>
      <c r="F32" s="2"/>
      <c r="G32" s="2"/>
      <c r="H32" s="2"/>
      <c r="I32" s="2"/>
      <c r="J32" s="2"/>
      <c r="K32" s="2"/>
      <c r="L32" s="2"/>
      <c r="P32" s="52" t="s">
        <v>42</v>
      </c>
      <c r="Q32" s="53"/>
      <c r="R32" s="53"/>
      <c r="S32" s="53"/>
      <c r="T32" s="54"/>
    </row>
    <row r="33" spans="2:20" ht="18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P33" s="55" t="s">
        <v>154</v>
      </c>
      <c r="Q33" s="56"/>
      <c r="R33" s="56"/>
      <c r="S33" s="56"/>
      <c r="T33" s="57"/>
    </row>
    <row r="34" spans="2:20" ht="18" x14ac:dyDescent="0.25">
      <c r="B34" s="4" t="s">
        <v>51</v>
      </c>
      <c r="C34" s="2">
        <f>(1*D13)/4</f>
        <v>20</v>
      </c>
      <c r="D34" s="2"/>
      <c r="E34" s="2"/>
      <c r="F34" s="62" t="s">
        <v>53</v>
      </c>
      <c r="G34" s="63"/>
      <c r="H34" s="2"/>
      <c r="I34" s="2"/>
      <c r="J34" s="62" t="s">
        <v>95</v>
      </c>
      <c r="K34" s="63"/>
      <c r="L34" s="2"/>
      <c r="P34" s="2"/>
      <c r="Q34" s="2"/>
      <c r="R34" s="2"/>
      <c r="S34" s="2"/>
      <c r="T34" s="2"/>
    </row>
    <row r="35" spans="2:20" ht="18" x14ac:dyDescent="0.25">
      <c r="B35" s="4" t="s">
        <v>52</v>
      </c>
      <c r="C35" s="2">
        <f>(3*D13)/4</f>
        <v>60</v>
      </c>
      <c r="D35" s="2"/>
      <c r="E35" s="2"/>
      <c r="F35" s="12" t="s">
        <v>37</v>
      </c>
      <c r="G35" s="12">
        <v>1</v>
      </c>
      <c r="H35" s="2"/>
      <c r="I35" s="2"/>
      <c r="J35" s="12" t="s">
        <v>37</v>
      </c>
      <c r="K35" s="12">
        <v>1.5</v>
      </c>
      <c r="L35" s="2"/>
      <c r="P35" s="52" t="s">
        <v>59</v>
      </c>
      <c r="Q35" s="53"/>
      <c r="R35" s="53"/>
      <c r="S35" s="53"/>
      <c r="T35" s="54"/>
    </row>
    <row r="36" spans="2:20" ht="18" x14ac:dyDescent="0.25">
      <c r="B36" s="2"/>
      <c r="C36" s="2"/>
      <c r="D36" s="2"/>
      <c r="E36" s="2"/>
      <c r="F36" s="12" t="s">
        <v>54</v>
      </c>
      <c r="G36" s="12">
        <v>20</v>
      </c>
      <c r="H36" s="2"/>
      <c r="I36" s="2"/>
      <c r="J36" s="12" t="s">
        <v>54</v>
      </c>
      <c r="K36" s="12">
        <v>60</v>
      </c>
      <c r="L36" s="2"/>
      <c r="P36" s="55" t="s">
        <v>156</v>
      </c>
      <c r="Q36" s="56"/>
      <c r="R36" s="56"/>
      <c r="S36" s="56"/>
      <c r="T36" s="57"/>
    </row>
    <row r="37" spans="2:20" ht="18" x14ac:dyDescent="0.25">
      <c r="B37" s="2" t="s">
        <v>14</v>
      </c>
      <c r="C37" s="2">
        <f>K40-G40</f>
        <v>0.45999999999999996</v>
      </c>
      <c r="D37" s="2"/>
      <c r="E37" s="2"/>
      <c r="F37" s="12" t="s">
        <v>55</v>
      </c>
      <c r="G37" s="12">
        <v>9</v>
      </c>
      <c r="H37" s="2"/>
      <c r="I37" s="2"/>
      <c r="J37" s="12" t="s">
        <v>55</v>
      </c>
      <c r="K37" s="12">
        <v>52</v>
      </c>
      <c r="L37" s="2"/>
      <c r="P37" s="55" t="s">
        <v>155</v>
      </c>
      <c r="Q37" s="56"/>
      <c r="R37" s="56"/>
      <c r="S37" s="56"/>
      <c r="T37" s="57"/>
    </row>
    <row r="38" spans="2:20" ht="18" x14ac:dyDescent="0.25">
      <c r="B38" s="2"/>
      <c r="C38" s="2"/>
      <c r="D38" s="2"/>
      <c r="E38" s="2"/>
      <c r="F38" s="12" t="s">
        <v>56</v>
      </c>
      <c r="G38" s="12">
        <v>24</v>
      </c>
      <c r="H38" s="2"/>
      <c r="I38" s="2"/>
      <c r="J38" s="12" t="s">
        <v>56</v>
      </c>
      <c r="K38" s="12">
        <v>66</v>
      </c>
      <c r="L38" s="2"/>
      <c r="P38" s="2"/>
      <c r="Q38" s="2"/>
      <c r="R38" s="2"/>
      <c r="S38" s="2"/>
      <c r="T38" s="2"/>
    </row>
    <row r="39" spans="2:20" ht="18" x14ac:dyDescent="0.25">
      <c r="B39" s="2"/>
      <c r="C39" s="2"/>
      <c r="D39" s="2"/>
      <c r="E39" s="2"/>
      <c r="F39" s="12" t="s">
        <v>57</v>
      </c>
      <c r="G39" s="12">
        <v>0.25</v>
      </c>
      <c r="H39" s="2"/>
      <c r="I39" s="2"/>
      <c r="J39" s="12" t="s">
        <v>57</v>
      </c>
      <c r="K39" s="12">
        <v>0.25</v>
      </c>
      <c r="L39" s="2"/>
      <c r="P39" s="52" t="s">
        <v>133</v>
      </c>
      <c r="Q39" s="53"/>
      <c r="R39" s="53"/>
      <c r="S39" s="53"/>
      <c r="T39" s="54"/>
    </row>
    <row r="40" spans="2:20" ht="18" x14ac:dyDescent="0.25">
      <c r="B40" s="2"/>
      <c r="C40" s="2"/>
      <c r="D40" s="2"/>
      <c r="E40" s="2"/>
      <c r="F40" s="12" t="s">
        <v>12</v>
      </c>
      <c r="G40" s="12">
        <f>ROUND(G35+(G36-G37)/(G38-G37)*G39,2)</f>
        <v>1.18</v>
      </c>
      <c r="H40" s="2"/>
      <c r="I40" s="2"/>
      <c r="J40" s="12" t="s">
        <v>13</v>
      </c>
      <c r="K40" s="12">
        <f>ROUND(K35+(K36-K37)/(K38-K37)*K39,2)</f>
        <v>1.64</v>
      </c>
      <c r="L40" s="2"/>
      <c r="P40" s="55" t="s">
        <v>157</v>
      </c>
      <c r="Q40" s="56"/>
      <c r="R40" s="56"/>
      <c r="S40" s="56"/>
      <c r="T40" s="57"/>
    </row>
    <row r="41" spans="2:20" ht="18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2:20" ht="18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</sheetData>
  <mergeCells count="18">
    <mergeCell ref="F34:G34"/>
    <mergeCell ref="J34:K34"/>
    <mergeCell ref="P30:U30"/>
    <mergeCell ref="P32:T32"/>
    <mergeCell ref="P33:T33"/>
    <mergeCell ref="P35:T35"/>
    <mergeCell ref="B16:E16"/>
    <mergeCell ref="P24:T24"/>
    <mergeCell ref="P29:U29"/>
    <mergeCell ref="B4:C4"/>
    <mergeCell ref="P16:Q16"/>
    <mergeCell ref="S16:T16"/>
    <mergeCell ref="P37:T37"/>
    <mergeCell ref="P39:T39"/>
    <mergeCell ref="P40:T40"/>
    <mergeCell ref="P26:U26"/>
    <mergeCell ref="P27:U27"/>
    <mergeCell ref="P36:T3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0B7D-5861-4EC3-89CB-C86DB035826B}">
  <dimension ref="B3:AC42"/>
  <sheetViews>
    <sheetView topLeftCell="A7" zoomScaleNormal="100" workbookViewId="0">
      <selection activeCell="I37" sqref="I37"/>
    </sheetView>
  </sheetViews>
  <sheetFormatPr baseColWidth="10" defaultRowHeight="15" x14ac:dyDescent="0.25"/>
  <cols>
    <col min="1" max="1" width="11.42578125" customWidth="1"/>
    <col min="2" max="2" width="17.7109375" customWidth="1"/>
    <col min="3" max="3" width="10.140625" customWidth="1"/>
    <col min="4" max="11" width="9.5703125" customWidth="1"/>
    <col min="12" max="14" width="8.42578125" customWidth="1"/>
    <col min="15" max="15" width="14.85546875" customWidth="1"/>
    <col min="16" max="16" width="10" customWidth="1"/>
    <col min="17" max="17" width="8.42578125" customWidth="1"/>
    <col min="18" max="18" width="14.85546875" customWidth="1"/>
    <col min="19" max="21" width="8.42578125" customWidth="1"/>
    <col min="22" max="22" width="14.85546875" customWidth="1"/>
    <col min="23" max="24" width="8.42578125" customWidth="1"/>
    <col min="25" max="25" width="15.5703125" customWidth="1"/>
    <col min="26" max="26" width="8.42578125" customWidth="1"/>
  </cols>
  <sheetData>
    <row r="3" spans="2:29" ht="18.75" x14ac:dyDescent="0.3">
      <c r="B3" s="42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  <c r="M3" s="6"/>
    </row>
    <row r="4" spans="2:29" ht="18.75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6"/>
    </row>
    <row r="5" spans="2:29" ht="18.75" x14ac:dyDescent="0.3">
      <c r="B5" s="12">
        <v>3</v>
      </c>
      <c r="C5" s="12">
        <v>4</v>
      </c>
      <c r="D5" s="12">
        <v>3</v>
      </c>
      <c r="E5" s="12">
        <v>5</v>
      </c>
      <c r="F5" s="12">
        <v>8</v>
      </c>
      <c r="G5" s="12">
        <v>3</v>
      </c>
      <c r="H5" s="12">
        <v>8</v>
      </c>
      <c r="I5" s="12">
        <v>8</v>
      </c>
      <c r="J5" s="12">
        <v>7</v>
      </c>
      <c r="K5" s="12">
        <v>8</v>
      </c>
      <c r="L5" s="2"/>
      <c r="M5" s="6"/>
      <c r="O5" s="62" t="s">
        <v>59</v>
      </c>
      <c r="P5" s="63"/>
      <c r="R5" s="62" t="s">
        <v>76</v>
      </c>
      <c r="S5" s="63"/>
      <c r="T5" s="14"/>
      <c r="U5" s="62" t="s">
        <v>77</v>
      </c>
      <c r="V5" s="63"/>
      <c r="Y5" s="17" t="s">
        <v>51</v>
      </c>
      <c r="Z5" s="13">
        <f>(1*D19)/4</f>
        <v>12.5</v>
      </c>
      <c r="AA5" s="11"/>
      <c r="AB5" s="11"/>
      <c r="AC5" s="11"/>
    </row>
    <row r="6" spans="2:29" ht="19.5" x14ac:dyDescent="0.3">
      <c r="B6" s="12">
        <v>3</v>
      </c>
      <c r="C6" s="12">
        <v>5</v>
      </c>
      <c r="D6" s="12">
        <v>5</v>
      </c>
      <c r="E6" s="12">
        <v>6</v>
      </c>
      <c r="F6" s="12">
        <v>7</v>
      </c>
      <c r="G6" s="12">
        <v>8</v>
      </c>
      <c r="H6" s="12">
        <v>8</v>
      </c>
      <c r="I6" s="12">
        <v>8</v>
      </c>
      <c r="J6" s="12">
        <v>8</v>
      </c>
      <c r="K6" s="12">
        <v>8</v>
      </c>
      <c r="L6" s="2"/>
      <c r="M6" s="6"/>
      <c r="O6" s="12" t="s">
        <v>60</v>
      </c>
      <c r="P6" s="13">
        <f>MAX(B5:K9)</f>
        <v>9</v>
      </c>
      <c r="R6" s="15" t="s">
        <v>20</v>
      </c>
      <c r="S6" s="13">
        <f>ROUND(G19/D19,2)</f>
        <v>6</v>
      </c>
      <c r="T6" s="14"/>
      <c r="U6" s="7"/>
      <c r="V6" s="13">
        <f>ROUND(K19/(D19-1),2)</f>
        <v>3.59</v>
      </c>
      <c r="Y6" s="17" t="s">
        <v>52</v>
      </c>
      <c r="Z6" s="13">
        <f>(3*D19)/4</f>
        <v>37.5</v>
      </c>
      <c r="AA6" s="11"/>
      <c r="AB6" s="11"/>
      <c r="AC6" s="11"/>
    </row>
    <row r="7" spans="2:29" ht="18.75" x14ac:dyDescent="0.3">
      <c r="B7" s="12">
        <v>9</v>
      </c>
      <c r="C7" s="12">
        <v>4</v>
      </c>
      <c r="D7" s="12">
        <v>5</v>
      </c>
      <c r="E7" s="12">
        <v>7</v>
      </c>
      <c r="F7" s="12">
        <v>6</v>
      </c>
      <c r="G7" s="12">
        <v>6</v>
      </c>
      <c r="H7" s="12">
        <v>6</v>
      </c>
      <c r="I7" s="12">
        <v>3</v>
      </c>
      <c r="J7" s="12">
        <v>4</v>
      </c>
      <c r="K7" s="12">
        <v>8</v>
      </c>
      <c r="L7" s="2"/>
      <c r="M7" s="6"/>
      <c r="O7" s="12" t="s">
        <v>61</v>
      </c>
      <c r="P7" s="13">
        <f>MIN(B5:K9)</f>
        <v>3</v>
      </c>
      <c r="R7" s="14"/>
      <c r="S7" s="14"/>
      <c r="T7" s="14"/>
      <c r="U7" s="8"/>
      <c r="Y7" s="11"/>
      <c r="Z7" s="11"/>
      <c r="AA7" s="11"/>
      <c r="AB7" s="11"/>
      <c r="AC7" s="11"/>
    </row>
    <row r="8" spans="2:29" ht="18.75" x14ac:dyDescent="0.3">
      <c r="B8" s="12">
        <v>8</v>
      </c>
      <c r="C8" s="12">
        <v>7</v>
      </c>
      <c r="D8" s="12">
        <v>5</v>
      </c>
      <c r="E8" s="12">
        <v>4</v>
      </c>
      <c r="F8" s="12">
        <v>6</v>
      </c>
      <c r="G8" s="12">
        <v>7</v>
      </c>
      <c r="H8" s="12">
        <v>8</v>
      </c>
      <c r="I8" s="12">
        <v>8</v>
      </c>
      <c r="J8" s="12">
        <v>9</v>
      </c>
      <c r="K8" s="12">
        <v>3</v>
      </c>
      <c r="L8" s="2"/>
      <c r="M8" s="6"/>
      <c r="O8" s="12" t="s">
        <v>62</v>
      </c>
      <c r="P8" s="13">
        <f>P6-P7</f>
        <v>6</v>
      </c>
      <c r="R8" s="62" t="s">
        <v>32</v>
      </c>
      <c r="S8" s="63"/>
      <c r="T8" s="14"/>
      <c r="U8" s="62" t="s">
        <v>78</v>
      </c>
      <c r="V8" s="63"/>
      <c r="Y8" s="62" t="s">
        <v>53</v>
      </c>
      <c r="Z8" s="63"/>
      <c r="AA8" s="2"/>
      <c r="AB8" s="62" t="s">
        <v>95</v>
      </c>
      <c r="AC8" s="63"/>
    </row>
    <row r="9" spans="2:29" ht="18.75" x14ac:dyDescent="0.3">
      <c r="B9" s="12">
        <v>4</v>
      </c>
      <c r="C9" s="12">
        <v>5</v>
      </c>
      <c r="D9" s="12">
        <v>5</v>
      </c>
      <c r="E9" s="12">
        <v>6</v>
      </c>
      <c r="F9" s="12">
        <v>3</v>
      </c>
      <c r="G9" s="12">
        <v>4</v>
      </c>
      <c r="H9" s="12">
        <v>5</v>
      </c>
      <c r="I9" s="12">
        <v>7</v>
      </c>
      <c r="J9" s="12">
        <v>7</v>
      </c>
      <c r="K9" s="12">
        <v>8</v>
      </c>
      <c r="L9" s="2"/>
      <c r="M9" s="6"/>
      <c r="O9" s="14"/>
      <c r="P9" s="14"/>
      <c r="R9" s="12" t="s">
        <v>79</v>
      </c>
      <c r="S9" s="13">
        <f>(D19+1)/2</f>
        <v>25.5</v>
      </c>
      <c r="T9" s="14"/>
      <c r="U9" s="12" t="s">
        <v>17</v>
      </c>
      <c r="V9" s="13">
        <f>ROUND(SQRT(V6),2)</f>
        <v>1.89</v>
      </c>
      <c r="Y9" s="16" t="s">
        <v>37</v>
      </c>
      <c r="Z9" s="16">
        <v>3.5</v>
      </c>
      <c r="AA9" s="2"/>
      <c r="AB9" s="16" t="s">
        <v>37</v>
      </c>
      <c r="AC9" s="16">
        <v>6.5</v>
      </c>
    </row>
    <row r="10" spans="2:29" ht="18.7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  <c r="O10" s="62" t="s">
        <v>63</v>
      </c>
      <c r="P10" s="63"/>
      <c r="R10" s="12" t="s">
        <v>37</v>
      </c>
      <c r="S10" s="13">
        <v>5.5</v>
      </c>
      <c r="T10" s="14"/>
      <c r="U10" s="8"/>
      <c r="Y10" s="16" t="s">
        <v>54</v>
      </c>
      <c r="Z10" s="16">
        <v>12.5</v>
      </c>
      <c r="AA10" s="2"/>
      <c r="AB10" s="16" t="s">
        <v>54</v>
      </c>
      <c r="AC10" s="16">
        <v>37.5</v>
      </c>
    </row>
    <row r="11" spans="2:29" ht="18.75" x14ac:dyDescent="0.3">
      <c r="B11" s="17" t="s">
        <v>34</v>
      </c>
      <c r="C11" s="17" t="s">
        <v>102</v>
      </c>
      <c r="D11" s="17" t="s">
        <v>73</v>
      </c>
      <c r="E11" s="17" t="s">
        <v>75</v>
      </c>
      <c r="F11" s="17" t="s">
        <v>30</v>
      </c>
      <c r="G11" s="17" t="s">
        <v>74</v>
      </c>
      <c r="H11" s="18"/>
      <c r="I11" s="18"/>
      <c r="J11" s="18"/>
      <c r="K11" s="18"/>
      <c r="L11" s="2"/>
      <c r="M11" s="6"/>
      <c r="O11" s="12" t="s">
        <v>64</v>
      </c>
      <c r="P11" s="13">
        <f>ROUND(1+(3.322*LOG(P28)),2)</f>
        <v>6.64</v>
      </c>
      <c r="R11" s="12" t="s">
        <v>38</v>
      </c>
      <c r="S11" s="13">
        <v>25</v>
      </c>
      <c r="T11" s="14"/>
      <c r="U11" s="62" t="s">
        <v>80</v>
      </c>
      <c r="V11" s="67"/>
      <c r="W11" s="63"/>
      <c r="Y11" s="16" t="s">
        <v>55</v>
      </c>
      <c r="Z11" s="16">
        <v>7</v>
      </c>
      <c r="AA11" s="2"/>
      <c r="AB11" s="16" t="s">
        <v>55</v>
      </c>
      <c r="AC11" s="16">
        <v>27</v>
      </c>
    </row>
    <row r="12" spans="2:29" ht="18.75" x14ac:dyDescent="0.3">
      <c r="B12" s="12">
        <v>2.5</v>
      </c>
      <c r="C12" s="12">
        <f>B12+P$16</f>
        <v>3.5</v>
      </c>
      <c r="D12" s="12">
        <f>COUNTIFS(B$5:K$9,"&gt;=2,5",B$5:K$9,"&lt;3,5")</f>
        <v>7</v>
      </c>
      <c r="E12" s="12">
        <v>7</v>
      </c>
      <c r="F12" s="12">
        <f>(C12+B12)/2</f>
        <v>3</v>
      </c>
      <c r="G12" s="12">
        <f>F12*D12</f>
        <v>21</v>
      </c>
      <c r="H12" s="12">
        <f>ABS(F12-S$6)</f>
        <v>3</v>
      </c>
      <c r="I12" s="12">
        <f>H12*D12</f>
        <v>21</v>
      </c>
      <c r="J12" s="12">
        <f>H12^2</f>
        <v>9</v>
      </c>
      <c r="K12" s="12">
        <f>J12*D12</f>
        <v>63</v>
      </c>
      <c r="L12" s="2"/>
      <c r="M12" s="6"/>
      <c r="O12" s="12" t="s">
        <v>64</v>
      </c>
      <c r="P12" s="13">
        <v>7</v>
      </c>
      <c r="R12" s="12" t="s">
        <v>39</v>
      </c>
      <c r="S12" s="13">
        <v>21</v>
      </c>
      <c r="T12" s="14"/>
      <c r="U12" s="12" t="s">
        <v>81</v>
      </c>
      <c r="V12" s="13">
        <f>ROUND((V9/S6)*100,2)</f>
        <v>31.5</v>
      </c>
      <c r="W12" s="13" t="s">
        <v>82</v>
      </c>
      <c r="Y12" s="16" t="s">
        <v>56</v>
      </c>
      <c r="Z12" s="16">
        <v>13</v>
      </c>
      <c r="AA12" s="2"/>
      <c r="AB12" s="16" t="s">
        <v>56</v>
      </c>
      <c r="AC12" s="16">
        <v>34</v>
      </c>
    </row>
    <row r="13" spans="2:29" ht="18.75" x14ac:dyDescent="0.3">
      <c r="B13" s="31">
        <v>3.5</v>
      </c>
      <c r="C13" s="31">
        <f t="shared" ref="C13:C18" si="0">B13+P$16</f>
        <v>4.5</v>
      </c>
      <c r="D13" s="31">
        <f>COUNTIFS(B$5:K$9,"&gt;=3,5",B$5:K$9,"&lt;4,5")</f>
        <v>6</v>
      </c>
      <c r="E13" s="31">
        <f>E12+D13</f>
        <v>13</v>
      </c>
      <c r="F13" s="31">
        <f t="shared" ref="F13:F18" si="1">(C13+B13)/2</f>
        <v>4</v>
      </c>
      <c r="G13" s="31">
        <f t="shared" ref="G13:G18" si="2">F13*D13</f>
        <v>24</v>
      </c>
      <c r="H13" s="31">
        <f>ABS(F13-S$6)</f>
        <v>2</v>
      </c>
      <c r="I13" s="31">
        <f t="shared" ref="I13:I18" si="3">H13*D13</f>
        <v>12</v>
      </c>
      <c r="J13" s="31">
        <f t="shared" ref="J13:J18" si="4">H13^2</f>
        <v>4</v>
      </c>
      <c r="K13" s="31">
        <f t="shared" ref="K13:K18" si="5">J13*D13</f>
        <v>24</v>
      </c>
      <c r="L13" s="2"/>
      <c r="M13" s="6"/>
      <c r="O13" s="14"/>
      <c r="P13" s="14"/>
      <c r="R13" s="12" t="s">
        <v>83</v>
      </c>
      <c r="S13" s="13">
        <v>1</v>
      </c>
      <c r="T13" s="14"/>
      <c r="U13" s="8"/>
      <c r="Y13" s="16" t="s">
        <v>57</v>
      </c>
      <c r="Z13" s="16">
        <v>1</v>
      </c>
      <c r="AA13" s="2"/>
      <c r="AB13" s="16" t="s">
        <v>57</v>
      </c>
      <c r="AC13" s="16">
        <v>1</v>
      </c>
    </row>
    <row r="14" spans="2:29" ht="18.75" x14ac:dyDescent="0.3">
      <c r="B14" s="12">
        <v>4.5</v>
      </c>
      <c r="C14" s="12">
        <f t="shared" si="0"/>
        <v>5.5</v>
      </c>
      <c r="D14" s="12">
        <f>COUNTIFS(B$5:K$9,"&gt;=4,5",B$5:K$9,"&lt;5,5")</f>
        <v>8</v>
      </c>
      <c r="E14" s="12">
        <f>E13+D14</f>
        <v>21</v>
      </c>
      <c r="F14" s="12">
        <f t="shared" si="1"/>
        <v>5</v>
      </c>
      <c r="G14" s="12">
        <f t="shared" si="2"/>
        <v>40</v>
      </c>
      <c r="H14" s="12">
        <f>ABS(F14-S$6)</f>
        <v>1</v>
      </c>
      <c r="I14" s="12">
        <f t="shared" si="3"/>
        <v>8</v>
      </c>
      <c r="J14" s="12">
        <f>H14^2</f>
        <v>1</v>
      </c>
      <c r="K14" s="12">
        <f t="shared" si="5"/>
        <v>8</v>
      </c>
      <c r="L14" s="2"/>
      <c r="M14" s="6"/>
      <c r="O14" s="62" t="s">
        <v>65</v>
      </c>
      <c r="P14" s="63"/>
      <c r="R14" s="12" t="s">
        <v>84</v>
      </c>
      <c r="S14" s="13">
        <v>6</v>
      </c>
      <c r="T14" s="14"/>
      <c r="U14" s="62" t="s">
        <v>85</v>
      </c>
      <c r="V14" s="67"/>
      <c r="W14" s="63"/>
      <c r="Y14" s="16" t="s">
        <v>12</v>
      </c>
      <c r="Z14" s="16">
        <f>ROUND(Z9+(Z10-Z11)/(Z12-Z11)*Z13,2)</f>
        <v>4.42</v>
      </c>
      <c r="AA14" s="2"/>
      <c r="AB14" s="16" t="s">
        <v>13</v>
      </c>
      <c r="AC14" s="16">
        <f>ROUND(AC9+(AC10-AC11)/(AC12-AC11)*AC13,2)</f>
        <v>8</v>
      </c>
    </row>
    <row r="15" spans="2:29" ht="18.75" x14ac:dyDescent="0.3">
      <c r="B15" s="19">
        <v>5.5</v>
      </c>
      <c r="C15" s="19">
        <f t="shared" si="0"/>
        <v>6.5</v>
      </c>
      <c r="D15" s="19">
        <f>COUNTIFS(B$5:K$9,"&gt;=5,5",B$5:K$9,"&lt;6,5")</f>
        <v>6</v>
      </c>
      <c r="E15" s="19">
        <f>E14+D15</f>
        <v>27</v>
      </c>
      <c r="F15" s="19">
        <f t="shared" si="1"/>
        <v>6</v>
      </c>
      <c r="G15" s="19">
        <f t="shared" si="2"/>
        <v>36</v>
      </c>
      <c r="H15" s="19">
        <f>ABS(F15-S$6)</f>
        <v>0</v>
      </c>
      <c r="I15" s="19">
        <f t="shared" si="3"/>
        <v>0</v>
      </c>
      <c r="J15" s="19">
        <f t="shared" si="4"/>
        <v>0</v>
      </c>
      <c r="K15" s="19">
        <f t="shared" si="5"/>
        <v>0</v>
      </c>
      <c r="L15" s="2"/>
      <c r="M15" s="6"/>
      <c r="O15" s="12" t="s">
        <v>57</v>
      </c>
      <c r="P15" s="13">
        <f>P8/P12</f>
        <v>0.8571428571428571</v>
      </c>
      <c r="R15" s="12" t="s">
        <v>9</v>
      </c>
      <c r="S15" s="13">
        <f>ROUND(S10+((S11-S12)/S14)*S13,2)</f>
        <v>6.17</v>
      </c>
      <c r="T15" s="14"/>
      <c r="U15" s="12" t="s">
        <v>86</v>
      </c>
      <c r="V15" s="13">
        <f>ROUND((T26/S6)*100,2)</f>
        <v>27.33</v>
      </c>
      <c r="W15" s="13" t="s">
        <v>82</v>
      </c>
      <c r="Y15" s="11"/>
      <c r="Z15" s="11"/>
      <c r="AA15" s="11"/>
      <c r="AB15" s="11"/>
      <c r="AC15" s="11"/>
    </row>
    <row r="16" spans="2:29" ht="18.75" x14ac:dyDescent="0.3">
      <c r="B16" s="31">
        <v>6.5</v>
      </c>
      <c r="C16" s="31">
        <f t="shared" si="0"/>
        <v>7.5</v>
      </c>
      <c r="D16" s="31">
        <f>COUNTIFS(B$5:K$9,"&gt;=6,5",B$5:K$9,"&lt;7,5")</f>
        <v>7</v>
      </c>
      <c r="E16" s="31">
        <f t="shared" ref="E16:E18" si="6">E15+D16</f>
        <v>34</v>
      </c>
      <c r="F16" s="31">
        <f t="shared" si="1"/>
        <v>7</v>
      </c>
      <c r="G16" s="31">
        <f t="shared" si="2"/>
        <v>49</v>
      </c>
      <c r="H16" s="31">
        <f t="shared" ref="H16:H18" si="7">ABS(F16-S$6)</f>
        <v>1</v>
      </c>
      <c r="I16" s="31">
        <f t="shared" si="3"/>
        <v>7</v>
      </c>
      <c r="J16" s="31">
        <f t="shared" si="4"/>
        <v>1</v>
      </c>
      <c r="K16" s="31">
        <f t="shared" si="5"/>
        <v>7</v>
      </c>
      <c r="L16" s="2"/>
      <c r="M16" s="6"/>
      <c r="O16" s="12" t="s">
        <v>57</v>
      </c>
      <c r="P16" s="13">
        <v>1</v>
      </c>
      <c r="R16" s="14"/>
      <c r="S16" s="14"/>
      <c r="T16" s="14"/>
      <c r="U16" s="8"/>
      <c r="Y16" s="16" t="s">
        <v>14</v>
      </c>
      <c r="Z16" s="13">
        <f>AC14-Z14</f>
        <v>3.58</v>
      </c>
      <c r="AA16" s="11"/>
      <c r="AB16" s="11"/>
      <c r="AC16" s="11"/>
    </row>
    <row r="17" spans="2:21" ht="18.75" x14ac:dyDescent="0.3">
      <c r="B17" s="26">
        <v>7.5</v>
      </c>
      <c r="C17" s="26">
        <f t="shared" si="0"/>
        <v>8.5</v>
      </c>
      <c r="D17" s="26">
        <f>COUNTIFS(B$5:K$9,"&gt;=7,5",B$5:K$9,"&lt;8,5")</f>
        <v>14</v>
      </c>
      <c r="E17" s="26">
        <f t="shared" si="6"/>
        <v>48</v>
      </c>
      <c r="F17" s="26">
        <f>(C17+B17)/2</f>
        <v>8</v>
      </c>
      <c r="G17" s="26">
        <f>F17*D17</f>
        <v>112</v>
      </c>
      <c r="H17" s="26">
        <f t="shared" si="7"/>
        <v>2</v>
      </c>
      <c r="I17" s="26">
        <f t="shared" si="3"/>
        <v>28</v>
      </c>
      <c r="J17" s="26">
        <f t="shared" si="4"/>
        <v>4</v>
      </c>
      <c r="K17" s="26">
        <f t="shared" si="5"/>
        <v>56</v>
      </c>
      <c r="L17" s="2"/>
      <c r="M17" s="6"/>
      <c r="O17" s="14"/>
      <c r="P17" s="14"/>
      <c r="R17" s="62" t="s">
        <v>42</v>
      </c>
      <c r="S17" s="63"/>
      <c r="T17" s="14"/>
      <c r="U17" s="8"/>
    </row>
    <row r="18" spans="2:21" ht="18.75" x14ac:dyDescent="0.3">
      <c r="B18" s="12">
        <v>8.5</v>
      </c>
      <c r="C18" s="12">
        <f t="shared" si="0"/>
        <v>9.5</v>
      </c>
      <c r="D18" s="12">
        <f>COUNTIFS(B$5:K$9,"&gt;=8,5",B$5:K$9,"&lt;9,5")</f>
        <v>2</v>
      </c>
      <c r="E18" s="12">
        <f t="shared" si="6"/>
        <v>50</v>
      </c>
      <c r="F18" s="12">
        <f t="shared" si="1"/>
        <v>9</v>
      </c>
      <c r="G18" s="12">
        <f t="shared" si="2"/>
        <v>18</v>
      </c>
      <c r="H18" s="12">
        <f t="shared" si="7"/>
        <v>3</v>
      </c>
      <c r="I18" s="12">
        <f t="shared" si="3"/>
        <v>6</v>
      </c>
      <c r="J18" s="12">
        <f t="shared" si="4"/>
        <v>9</v>
      </c>
      <c r="K18" s="12">
        <f t="shared" si="5"/>
        <v>18</v>
      </c>
      <c r="L18" s="2"/>
      <c r="M18" s="6"/>
      <c r="O18" s="62" t="s">
        <v>66</v>
      </c>
      <c r="P18" s="63"/>
      <c r="R18" s="12" t="s">
        <v>37</v>
      </c>
      <c r="S18" s="13">
        <v>7.5</v>
      </c>
      <c r="T18" s="14"/>
      <c r="U18" s="8"/>
    </row>
    <row r="19" spans="2:21" ht="18.75" x14ac:dyDescent="0.3">
      <c r="B19" s="12"/>
      <c r="C19" s="12"/>
      <c r="D19" s="12">
        <f>SUM(D12:D18)</f>
        <v>50</v>
      </c>
      <c r="E19" s="12"/>
      <c r="F19" s="12"/>
      <c r="G19" s="12">
        <f>SUM(G12:G18)</f>
        <v>300</v>
      </c>
      <c r="H19" s="12"/>
      <c r="I19" s="12">
        <f>SUM(I12:I18)</f>
        <v>82</v>
      </c>
      <c r="J19" s="12"/>
      <c r="K19" s="12">
        <f>SUM(K12:K18)</f>
        <v>176</v>
      </c>
      <c r="L19" s="2"/>
      <c r="M19" s="6"/>
      <c r="O19" s="12" t="s">
        <v>67</v>
      </c>
      <c r="P19" s="13">
        <f>P16*P12</f>
        <v>7</v>
      </c>
      <c r="R19" s="12" t="s">
        <v>40</v>
      </c>
      <c r="S19" s="13">
        <v>14</v>
      </c>
      <c r="T19" s="14"/>
      <c r="U19" s="8"/>
    </row>
    <row r="20" spans="2:21" ht="18.75" x14ac:dyDescent="0.3">
      <c r="O20" s="2"/>
      <c r="P20" s="2"/>
      <c r="R20" s="12" t="s">
        <v>45</v>
      </c>
      <c r="S20" s="13">
        <v>7</v>
      </c>
      <c r="T20" s="14"/>
      <c r="U20" s="8"/>
    </row>
    <row r="21" spans="2:21" ht="18.75" x14ac:dyDescent="0.3">
      <c r="B21" s="32" t="s">
        <v>112</v>
      </c>
      <c r="C21" s="32" t="s">
        <v>113</v>
      </c>
      <c r="O21" s="62" t="s">
        <v>68</v>
      </c>
      <c r="P21" s="63"/>
      <c r="R21" s="12" t="s">
        <v>46</v>
      </c>
      <c r="S21" s="13">
        <v>2</v>
      </c>
      <c r="T21" s="14"/>
      <c r="U21" s="8"/>
    </row>
    <row r="22" spans="2:21" ht="18.75" x14ac:dyDescent="0.3">
      <c r="B22" s="33" t="s">
        <v>114</v>
      </c>
      <c r="C22" s="33">
        <f>COUNTIFS(B$5:K$9,"&gt;=2,5",B$5:K$9,"&lt;3,5")</f>
        <v>7</v>
      </c>
      <c r="O22" s="12" t="s">
        <v>69</v>
      </c>
      <c r="P22" s="13">
        <f>(P19-P8)/2</f>
        <v>0.5</v>
      </c>
      <c r="R22" s="12" t="s">
        <v>47</v>
      </c>
      <c r="S22" s="13">
        <v>1</v>
      </c>
      <c r="T22" s="14"/>
      <c r="U22" s="8"/>
    </row>
    <row r="23" spans="2:21" ht="18.75" x14ac:dyDescent="0.3">
      <c r="B23" s="33" t="s">
        <v>115</v>
      </c>
      <c r="C23" s="33">
        <f>COUNTIFS(B$5:K$9,"&gt;=3,5",B$5:K$9,"&lt;4,5")</f>
        <v>6</v>
      </c>
      <c r="O23" s="14"/>
      <c r="P23" s="14"/>
      <c r="R23" s="12" t="s">
        <v>87</v>
      </c>
      <c r="S23" s="13">
        <f>ROUND(S18+((S19-S20)/((S19-S20)+(S19-S21)))*S22,2)</f>
        <v>7.87</v>
      </c>
      <c r="T23" s="14"/>
      <c r="U23" s="8"/>
    </row>
    <row r="24" spans="2:21" ht="18.75" x14ac:dyDescent="0.3">
      <c r="B24" s="33" t="s">
        <v>116</v>
      </c>
      <c r="C24" s="33">
        <f>COUNTIFS(A$5:J$9,"&gt;=4,5",A$5:J$9,"&lt;5,5")</f>
        <v>8</v>
      </c>
      <c r="O24" s="62" t="s">
        <v>70</v>
      </c>
      <c r="P24" s="63"/>
      <c r="R24" s="8"/>
      <c r="S24" s="8"/>
      <c r="T24" s="14"/>
      <c r="U24" s="8"/>
    </row>
    <row r="25" spans="2:21" ht="18" x14ac:dyDescent="0.25">
      <c r="B25" s="33" t="s">
        <v>117</v>
      </c>
      <c r="C25" s="33">
        <f>COUNTIFS(A$5:J$9,"&gt;=5,5",A$5:J$9,"&lt;6,5")</f>
        <v>6</v>
      </c>
      <c r="O25" s="12" t="s">
        <v>37</v>
      </c>
      <c r="P25" s="13">
        <f>P7-P22</f>
        <v>2.5</v>
      </c>
      <c r="R25" s="68" t="s">
        <v>88</v>
      </c>
      <c r="S25" s="68"/>
      <c r="T25" s="68"/>
      <c r="U25" s="68"/>
    </row>
    <row r="26" spans="2:21" ht="18.75" x14ac:dyDescent="0.3">
      <c r="B26" s="33" t="s">
        <v>118</v>
      </c>
      <c r="C26" s="33">
        <f>COUNTIFS(A$5:J$9,"&gt;=6,5",A$5:J$9,"&lt;7,5")</f>
        <v>7</v>
      </c>
      <c r="O26" s="14"/>
      <c r="P26" s="14"/>
      <c r="R26" s="69"/>
      <c r="S26" s="69"/>
      <c r="T26" s="66">
        <f>ROUND(I19/D19,2)</f>
        <v>1.64</v>
      </c>
      <c r="U26" s="66"/>
    </row>
    <row r="27" spans="2:21" ht="18" x14ac:dyDescent="0.25">
      <c r="B27" s="33" t="s">
        <v>119</v>
      </c>
      <c r="C27" s="33">
        <v>14</v>
      </c>
      <c r="O27" s="62" t="s">
        <v>71</v>
      </c>
      <c r="P27" s="63"/>
    </row>
    <row r="28" spans="2:21" ht="18" x14ac:dyDescent="0.25">
      <c r="B28" s="33" t="s">
        <v>120</v>
      </c>
      <c r="C28" s="33">
        <f>COUNTIFS(A$5:J$9,"&gt;=8,5",A$5:J$9,"&lt;9,5")</f>
        <v>2</v>
      </c>
      <c r="O28" s="12" t="s">
        <v>72</v>
      </c>
      <c r="P28" s="13">
        <f>COUNT(B5:K9)</f>
        <v>50</v>
      </c>
    </row>
    <row r="31" spans="2:21" x14ac:dyDescent="0.25">
      <c r="O31" s="11"/>
      <c r="P31" s="11"/>
      <c r="Q31" s="11"/>
      <c r="R31" s="11"/>
      <c r="S31" s="11"/>
    </row>
    <row r="32" spans="2:21" x14ac:dyDescent="0.25">
      <c r="O32" s="11"/>
      <c r="P32" s="11"/>
      <c r="Q32" s="11"/>
      <c r="R32" s="11"/>
      <c r="S32" s="11"/>
    </row>
    <row r="33" spans="15:19" x14ac:dyDescent="0.25">
      <c r="O33" s="11"/>
      <c r="P33" s="11"/>
      <c r="Q33" s="11"/>
      <c r="R33" s="11"/>
      <c r="S33" s="11"/>
    </row>
    <row r="34" spans="15:19" x14ac:dyDescent="0.25">
      <c r="O34" s="10"/>
      <c r="P34" s="10"/>
      <c r="Q34" s="11"/>
      <c r="R34" s="10"/>
      <c r="S34" s="10"/>
    </row>
    <row r="35" spans="15:19" x14ac:dyDescent="0.25">
      <c r="O35" s="11"/>
      <c r="P35" s="11"/>
      <c r="Q35" s="11"/>
      <c r="R35" s="11"/>
      <c r="S35" s="11"/>
    </row>
    <row r="36" spans="15:19" x14ac:dyDescent="0.25">
      <c r="O36" s="11"/>
      <c r="P36" s="11"/>
      <c r="Q36" s="11"/>
      <c r="R36" s="11"/>
      <c r="S36" s="11"/>
    </row>
    <row r="37" spans="15:19" x14ac:dyDescent="0.25">
      <c r="O37" s="11"/>
      <c r="P37" s="11"/>
      <c r="Q37" s="11"/>
      <c r="R37" s="11"/>
      <c r="S37" s="11"/>
    </row>
    <row r="38" spans="15:19" x14ac:dyDescent="0.25">
      <c r="O38" s="11"/>
      <c r="P38" s="11"/>
      <c r="Q38" s="11"/>
      <c r="R38" s="11"/>
      <c r="S38" s="11"/>
    </row>
    <row r="39" spans="15:19" x14ac:dyDescent="0.25">
      <c r="O39" s="11"/>
      <c r="P39" s="11"/>
      <c r="Q39" s="11"/>
      <c r="R39" s="11"/>
      <c r="S39" s="11"/>
    </row>
    <row r="40" spans="15:19" x14ac:dyDescent="0.25">
      <c r="O40" s="11"/>
      <c r="P40" s="11"/>
      <c r="Q40" s="11"/>
      <c r="R40" s="11"/>
      <c r="S40" s="11"/>
    </row>
    <row r="41" spans="15:19" x14ac:dyDescent="0.25">
      <c r="O41" s="11"/>
      <c r="P41" s="11"/>
      <c r="Q41" s="11"/>
      <c r="R41" s="11"/>
      <c r="S41" s="11"/>
    </row>
    <row r="42" spans="15:19" x14ac:dyDescent="0.25">
      <c r="O42" s="11"/>
      <c r="P42" s="11"/>
      <c r="Q42" s="11"/>
      <c r="R42" s="11"/>
      <c r="S42" s="11"/>
    </row>
  </sheetData>
  <mergeCells count="19">
    <mergeCell ref="Y8:Z8"/>
    <mergeCell ref="AB8:AC8"/>
    <mergeCell ref="O18:P18"/>
    <mergeCell ref="O21:P21"/>
    <mergeCell ref="O24:P24"/>
    <mergeCell ref="T26:U26"/>
    <mergeCell ref="O27:P27"/>
    <mergeCell ref="R5:S5"/>
    <mergeCell ref="U5:V5"/>
    <mergeCell ref="R8:S8"/>
    <mergeCell ref="U8:V8"/>
    <mergeCell ref="U11:W11"/>
    <mergeCell ref="U14:W14"/>
    <mergeCell ref="R17:S17"/>
    <mergeCell ref="R25:U25"/>
    <mergeCell ref="R26:S26"/>
    <mergeCell ref="O5:P5"/>
    <mergeCell ref="O10:P10"/>
    <mergeCell ref="O14:P14"/>
  </mergeCells>
  <phoneticPr fontId="1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37CB-DD7C-429D-AE1D-8DC701C83438}">
  <dimension ref="B2:AB40"/>
  <sheetViews>
    <sheetView tabSelected="1" zoomScale="55" zoomScaleNormal="55" workbookViewId="0">
      <selection activeCell="AB37" sqref="AB37"/>
    </sheetView>
  </sheetViews>
  <sheetFormatPr baseColWidth="10" defaultRowHeight="15" x14ac:dyDescent="0.25"/>
  <cols>
    <col min="13" max="13" width="14.5703125" customWidth="1"/>
    <col min="14" max="14" width="14.42578125" customWidth="1"/>
    <col min="24" max="24" width="15.85546875" customWidth="1"/>
  </cols>
  <sheetData>
    <row r="2" spans="2:28" ht="18" x14ac:dyDescent="0.25">
      <c r="B2" s="41" t="s">
        <v>111</v>
      </c>
      <c r="C2" s="24"/>
      <c r="D2" s="24"/>
      <c r="E2" s="24"/>
      <c r="F2" s="24"/>
      <c r="G2" s="24"/>
      <c r="H2" s="24"/>
      <c r="I2" s="24"/>
      <c r="J2" s="24"/>
    </row>
    <row r="4" spans="2:28" ht="18" x14ac:dyDescent="0.25">
      <c r="B4" s="12">
        <v>24</v>
      </c>
      <c r="C4" s="12">
        <v>15</v>
      </c>
      <c r="D4" s="12">
        <v>30</v>
      </c>
      <c r="E4" s="12">
        <v>28</v>
      </c>
      <c r="F4" s="12">
        <v>50</v>
      </c>
      <c r="G4" s="12">
        <v>30</v>
      </c>
      <c r="H4" s="12">
        <v>45</v>
      </c>
      <c r="I4" s="12">
        <v>37</v>
      </c>
      <c r="J4" s="12">
        <v>54</v>
      </c>
      <c r="K4" s="12">
        <v>13</v>
      </c>
      <c r="N4" s="62" t="s">
        <v>59</v>
      </c>
      <c r="O4" s="63"/>
      <c r="Q4" s="62" t="s">
        <v>76</v>
      </c>
      <c r="R4" s="63"/>
      <c r="S4" s="14"/>
      <c r="T4" s="62" t="s">
        <v>77</v>
      </c>
      <c r="U4" s="63"/>
      <c r="X4" s="17" t="s">
        <v>51</v>
      </c>
      <c r="Y4" s="13">
        <f>(1*E21)/4</f>
        <v>17.5</v>
      </c>
      <c r="Z4" s="11"/>
      <c r="AA4" s="11"/>
      <c r="AB4" s="11"/>
    </row>
    <row r="5" spans="2:28" ht="19.5" x14ac:dyDescent="0.3">
      <c r="B5" s="12">
        <v>18</v>
      </c>
      <c r="C5" s="12">
        <v>25</v>
      </c>
      <c r="D5" s="12">
        <v>17</v>
      </c>
      <c r="E5" s="12">
        <v>54</v>
      </c>
      <c r="F5" s="12">
        <v>32</v>
      </c>
      <c r="G5" s="12">
        <v>43</v>
      </c>
      <c r="H5" s="12">
        <v>44</v>
      </c>
      <c r="I5" s="12">
        <v>56</v>
      </c>
      <c r="J5" s="12">
        <v>43</v>
      </c>
      <c r="K5" s="12">
        <v>38</v>
      </c>
      <c r="N5" s="12" t="s">
        <v>60</v>
      </c>
      <c r="O5" s="13">
        <f>MAX(B4:K10)</f>
        <v>56</v>
      </c>
      <c r="Q5" s="15" t="s">
        <v>20</v>
      </c>
      <c r="R5" s="29">
        <f>G21/E21</f>
        <v>30.5</v>
      </c>
      <c r="S5" s="14"/>
      <c r="T5" s="7"/>
      <c r="U5" s="13">
        <f>ROUND(K21/(E21-1),2)</f>
        <v>1.2</v>
      </c>
      <c r="X5" s="17" t="s">
        <v>52</v>
      </c>
      <c r="Y5" s="13">
        <f>(3*E21)/4</f>
        <v>52.5</v>
      </c>
      <c r="Z5" s="11"/>
      <c r="AA5" s="11"/>
      <c r="AB5" s="11"/>
    </row>
    <row r="6" spans="2:28" ht="18.75" x14ac:dyDescent="0.3">
      <c r="B6" s="12">
        <v>46</v>
      </c>
      <c r="C6" s="12">
        <v>48</v>
      </c>
      <c r="D6" s="12">
        <v>45</v>
      </c>
      <c r="E6" s="12">
        <v>23</v>
      </c>
      <c r="F6" s="12">
        <v>54</v>
      </c>
      <c r="G6" s="12">
        <v>32</v>
      </c>
      <c r="H6" s="12">
        <v>55</v>
      </c>
      <c r="I6" s="12">
        <v>33</v>
      </c>
      <c r="J6" s="12">
        <v>25</v>
      </c>
      <c r="K6" s="12">
        <v>42</v>
      </c>
      <c r="N6" s="12" t="s">
        <v>61</v>
      </c>
      <c r="O6" s="13">
        <f>MIN(B4:K10)</f>
        <v>13</v>
      </c>
      <c r="Q6" s="14"/>
      <c r="R6" s="14"/>
      <c r="S6" s="14"/>
      <c r="T6" s="8"/>
      <c r="X6" s="11"/>
      <c r="Y6" s="11"/>
      <c r="Z6" s="11"/>
      <c r="AA6" s="11"/>
      <c r="AB6" s="11"/>
    </row>
    <row r="7" spans="2:28" ht="18" x14ac:dyDescent="0.25">
      <c r="B7" s="12">
        <v>51</v>
      </c>
      <c r="C7" s="12">
        <v>28</v>
      </c>
      <c r="D7" s="12">
        <v>45</v>
      </c>
      <c r="E7" s="12">
        <v>54</v>
      </c>
      <c r="F7" s="12">
        <v>34</v>
      </c>
      <c r="G7" s="12">
        <v>23</v>
      </c>
      <c r="H7" s="12">
        <v>34</v>
      </c>
      <c r="I7" s="12">
        <v>52</v>
      </c>
      <c r="J7" s="12">
        <v>50</v>
      </c>
      <c r="K7" s="12">
        <v>24</v>
      </c>
      <c r="N7" s="12" t="s">
        <v>62</v>
      </c>
      <c r="O7" s="13">
        <f>O5-O6</f>
        <v>43</v>
      </c>
      <c r="Q7" s="62" t="s">
        <v>32</v>
      </c>
      <c r="R7" s="63"/>
      <c r="S7" s="14"/>
      <c r="T7" s="62" t="s">
        <v>78</v>
      </c>
      <c r="U7" s="63"/>
      <c r="X7" s="62" t="s">
        <v>53</v>
      </c>
      <c r="Y7" s="63"/>
      <c r="Z7" s="2"/>
      <c r="AA7" s="62" t="s">
        <v>58</v>
      </c>
      <c r="AB7" s="63"/>
    </row>
    <row r="8" spans="2:28" ht="18" x14ac:dyDescent="0.25">
      <c r="B8" s="12">
        <v>18</v>
      </c>
      <c r="C8" s="12">
        <v>20</v>
      </c>
      <c r="D8" s="12">
        <v>21</v>
      </c>
      <c r="E8" s="12">
        <v>18</v>
      </c>
      <c r="F8" s="12">
        <v>17</v>
      </c>
      <c r="G8" s="12">
        <v>17</v>
      </c>
      <c r="H8" s="12">
        <v>20</v>
      </c>
      <c r="I8" s="12">
        <v>18</v>
      </c>
      <c r="J8" s="12">
        <v>15</v>
      </c>
      <c r="K8" s="12">
        <v>20</v>
      </c>
      <c r="N8" s="14"/>
      <c r="O8" s="14"/>
      <c r="Q8" s="12" t="s">
        <v>79</v>
      </c>
      <c r="R8" s="13">
        <f>(E21+1)/2</f>
        <v>35.5</v>
      </c>
      <c r="S8" s="14"/>
      <c r="T8" s="12" t="s">
        <v>17</v>
      </c>
      <c r="U8" s="13">
        <f>ROUND(SQRT(U5),2)</f>
        <v>1.1000000000000001</v>
      </c>
      <c r="X8" s="16" t="s">
        <v>37</v>
      </c>
      <c r="Y8" s="16">
        <v>17</v>
      </c>
      <c r="Z8" s="2"/>
      <c r="AA8" s="16" t="s">
        <v>37</v>
      </c>
      <c r="AB8" s="16">
        <v>38</v>
      </c>
    </row>
    <row r="9" spans="2:28" ht="18.75" x14ac:dyDescent="0.3">
      <c r="B9" s="12">
        <v>23</v>
      </c>
      <c r="C9" s="12">
        <v>19</v>
      </c>
      <c r="D9" s="12">
        <v>20</v>
      </c>
      <c r="E9" s="12">
        <v>18</v>
      </c>
      <c r="F9" s="12">
        <v>17</v>
      </c>
      <c r="G9" s="12">
        <v>18</v>
      </c>
      <c r="H9" s="12">
        <v>18</v>
      </c>
      <c r="I9" s="12">
        <v>20</v>
      </c>
      <c r="J9" s="12">
        <v>17</v>
      </c>
      <c r="K9" s="12">
        <v>16</v>
      </c>
      <c r="N9" s="62" t="s">
        <v>63</v>
      </c>
      <c r="O9" s="63"/>
      <c r="Q9" s="12" t="s">
        <v>37</v>
      </c>
      <c r="R9" s="13">
        <v>24</v>
      </c>
      <c r="S9" s="14"/>
      <c r="T9" s="8"/>
      <c r="X9" s="16" t="s">
        <v>54</v>
      </c>
      <c r="Y9" s="16">
        <v>17.5</v>
      </c>
      <c r="Z9" s="2"/>
      <c r="AA9" s="16" t="s">
        <v>54</v>
      </c>
      <c r="AB9" s="16">
        <v>52.5</v>
      </c>
    </row>
    <row r="10" spans="2:28" ht="18" x14ac:dyDescent="0.25">
      <c r="B10" s="12">
        <v>15</v>
      </c>
      <c r="C10" s="12">
        <v>18</v>
      </c>
      <c r="D10" s="12">
        <v>20</v>
      </c>
      <c r="E10" s="12">
        <v>23</v>
      </c>
      <c r="F10" s="12">
        <v>24</v>
      </c>
      <c r="G10" s="12">
        <v>20</v>
      </c>
      <c r="H10" s="12">
        <v>25</v>
      </c>
      <c r="I10" s="12">
        <v>23</v>
      </c>
      <c r="J10" s="12">
        <v>20</v>
      </c>
      <c r="K10" s="12">
        <v>25</v>
      </c>
      <c r="N10" s="12" t="s">
        <v>64</v>
      </c>
      <c r="O10" s="13">
        <f>ROUND(1+(3.322*LOG(70)),2)</f>
        <v>7.13</v>
      </c>
      <c r="Q10" s="12" t="s">
        <v>38</v>
      </c>
      <c r="R10" s="13">
        <v>35</v>
      </c>
      <c r="S10" s="14"/>
      <c r="T10" s="62" t="s">
        <v>80</v>
      </c>
      <c r="U10" s="67"/>
      <c r="V10" s="63"/>
      <c r="X10" s="16" t="s">
        <v>55</v>
      </c>
      <c r="Y10" s="16">
        <v>5</v>
      </c>
      <c r="Z10" s="2"/>
      <c r="AA10" s="16" t="s">
        <v>55</v>
      </c>
      <c r="AB10" s="16">
        <v>50</v>
      </c>
    </row>
    <row r="11" spans="2:28" ht="18" x14ac:dyDescent="0.25">
      <c r="N11" s="12" t="s">
        <v>64</v>
      </c>
      <c r="O11" s="13">
        <v>7</v>
      </c>
      <c r="Q11" s="12" t="s">
        <v>39</v>
      </c>
      <c r="R11" s="13">
        <v>33</v>
      </c>
      <c r="S11" s="14"/>
      <c r="T11" s="12" t="s">
        <v>81</v>
      </c>
      <c r="U11" s="13">
        <f>ROUND((U8/R5)*100,2)</f>
        <v>3.61</v>
      </c>
      <c r="V11" s="13" t="s">
        <v>82</v>
      </c>
      <c r="X11" s="16" t="s">
        <v>56</v>
      </c>
      <c r="Y11" s="16">
        <v>33</v>
      </c>
      <c r="Z11" s="2"/>
      <c r="AA11" s="16" t="s">
        <v>56</v>
      </c>
      <c r="AB11" s="16">
        <v>55</v>
      </c>
    </row>
    <row r="12" spans="2:28" ht="18.75" x14ac:dyDescent="0.3">
      <c r="N12" s="14"/>
      <c r="O12" s="14"/>
      <c r="Q12" s="12" t="s">
        <v>83</v>
      </c>
      <c r="R12" s="13">
        <v>7</v>
      </c>
      <c r="S12" s="14"/>
      <c r="T12" s="8"/>
      <c r="X12" s="16" t="s">
        <v>57</v>
      </c>
      <c r="Y12" s="16">
        <v>7</v>
      </c>
      <c r="Z12" s="2"/>
      <c r="AA12" s="16" t="s">
        <v>57</v>
      </c>
      <c r="AB12" s="16">
        <v>7</v>
      </c>
    </row>
    <row r="13" spans="2:28" ht="18" x14ac:dyDescent="0.25">
      <c r="B13" s="21" t="s">
        <v>34</v>
      </c>
      <c r="C13" s="21" t="s">
        <v>102</v>
      </c>
      <c r="D13" s="21" t="s">
        <v>30</v>
      </c>
      <c r="E13" s="21" t="s">
        <v>16</v>
      </c>
      <c r="F13" s="21" t="s">
        <v>91</v>
      </c>
      <c r="G13" s="21" t="s">
        <v>109</v>
      </c>
      <c r="H13" s="17"/>
      <c r="I13" s="17"/>
      <c r="J13" s="17"/>
      <c r="K13" s="17"/>
      <c r="L13" s="4"/>
      <c r="N13" s="62" t="s">
        <v>65</v>
      </c>
      <c r="O13" s="63"/>
      <c r="Q13" s="12" t="s">
        <v>84</v>
      </c>
      <c r="R13" s="13">
        <v>11</v>
      </c>
      <c r="S13" s="14"/>
      <c r="T13" s="62" t="s">
        <v>85</v>
      </c>
      <c r="U13" s="67"/>
      <c r="V13" s="63"/>
      <c r="X13" s="16" t="s">
        <v>12</v>
      </c>
      <c r="Y13" s="16">
        <f>ROUND(Y8+(Y9-Y10)/(Y11-Y10)*Y12,2)</f>
        <v>20.13</v>
      </c>
      <c r="Z13" s="2"/>
      <c r="AA13" s="16" t="s">
        <v>12</v>
      </c>
      <c r="AB13" s="16">
        <f>ROUND(AB8+(AB9-AB10)/(AB11-AB10)*AB12,2)</f>
        <v>41.5</v>
      </c>
    </row>
    <row r="14" spans="2:28" ht="18" x14ac:dyDescent="0.25">
      <c r="B14" s="12">
        <v>10</v>
      </c>
      <c r="C14" s="12">
        <f>B14+O$15</f>
        <v>17</v>
      </c>
      <c r="D14" s="12">
        <f>(C14+B14)/2</f>
        <v>13.5</v>
      </c>
      <c r="E14" s="12">
        <f>COUNTIFS(B4:K10,"&gt;=10",B$4:K$10,"&lt;17")</f>
        <v>5</v>
      </c>
      <c r="F14" s="12">
        <f>E14</f>
        <v>5</v>
      </c>
      <c r="G14" s="12">
        <f>E14*D14</f>
        <v>67.5</v>
      </c>
      <c r="H14" s="12">
        <f>ROUND(ABS(D14/R$5),3)</f>
        <v>0.443</v>
      </c>
      <c r="I14" s="12">
        <f>H14*E14</f>
        <v>2.2149999999999999</v>
      </c>
      <c r="J14" s="12">
        <f>ROUND(H14^2,3)</f>
        <v>0.19600000000000001</v>
      </c>
      <c r="K14" s="12">
        <f>J14*E14</f>
        <v>0.98</v>
      </c>
      <c r="L14" s="4"/>
      <c r="N14" s="12" t="s">
        <v>57</v>
      </c>
      <c r="O14" s="13">
        <f>ROUND(O7/O11,2)</f>
        <v>6.14</v>
      </c>
      <c r="Q14" s="12" t="s">
        <v>9</v>
      </c>
      <c r="R14" s="13">
        <f>ROUND(R9+((R10-R11)/R13)*R12,2)</f>
        <v>25.27</v>
      </c>
      <c r="S14" s="14"/>
      <c r="T14" s="12" t="s">
        <v>86</v>
      </c>
      <c r="U14" s="13">
        <f>ROUND((S25/R5)*100,2)</f>
        <v>3.28</v>
      </c>
      <c r="V14" s="13" t="s">
        <v>82</v>
      </c>
      <c r="X14" s="11"/>
      <c r="Y14" s="11"/>
      <c r="Z14" s="11"/>
      <c r="AA14" s="11"/>
      <c r="AB14" s="11"/>
    </row>
    <row r="15" spans="2:28" ht="18.75" x14ac:dyDescent="0.3">
      <c r="B15" s="22">
        <f>C14</f>
        <v>17</v>
      </c>
      <c r="C15" s="22">
        <f t="shared" ref="C15:C20" si="0">B15+O$15</f>
        <v>24</v>
      </c>
      <c r="D15" s="22">
        <f>(C15+B15)/2</f>
        <v>20.5</v>
      </c>
      <c r="E15" s="22">
        <f>COUNTIFS(B$4:K$10,"&gt;=17",B$4:K$10,"&lt;24")</f>
        <v>28</v>
      </c>
      <c r="F15" s="30">
        <f>E15+F14</f>
        <v>33</v>
      </c>
      <c r="G15" s="22">
        <f t="shared" ref="G15:G20" si="1">E15*D15</f>
        <v>574</v>
      </c>
      <c r="H15" s="22">
        <f t="shared" ref="H15:H20" si="2">ROUND(ABS(D15/R$5),3)</f>
        <v>0.67200000000000004</v>
      </c>
      <c r="I15" s="22">
        <f t="shared" ref="I15:I20" si="3">H15*E15</f>
        <v>18.816000000000003</v>
      </c>
      <c r="J15" s="22">
        <f t="shared" ref="J15:J20" si="4">ROUND(H15^2,3)</f>
        <v>0.45200000000000001</v>
      </c>
      <c r="K15" s="22">
        <f t="shared" ref="K15:K20" si="5">J15*E15</f>
        <v>12.656000000000001</v>
      </c>
      <c r="L15" s="4"/>
      <c r="N15" s="12" t="s">
        <v>57</v>
      </c>
      <c r="O15" s="13">
        <v>7</v>
      </c>
      <c r="Q15" s="14"/>
      <c r="R15" s="14"/>
      <c r="S15" s="14"/>
      <c r="T15" s="8"/>
      <c r="X15" s="16" t="s">
        <v>14</v>
      </c>
      <c r="Y15" s="13">
        <f>AB13-Y13</f>
        <v>21.37</v>
      </c>
      <c r="Z15" s="11"/>
      <c r="AA15" s="11"/>
      <c r="AB15" s="11"/>
    </row>
    <row r="16" spans="2:28" ht="18" x14ac:dyDescent="0.25">
      <c r="B16" s="19">
        <f t="shared" ref="B16:B20" si="6">C15</f>
        <v>24</v>
      </c>
      <c r="C16" s="19">
        <f t="shared" si="0"/>
        <v>31</v>
      </c>
      <c r="D16" s="19">
        <f t="shared" ref="D16:D20" si="7">(C16+B16)/2</f>
        <v>27.5</v>
      </c>
      <c r="E16" s="19">
        <f>COUNTIFS(B$4:K$10,"&gt;=24",B$4:K$10,"&lt;31")</f>
        <v>11</v>
      </c>
      <c r="F16" s="28">
        <f t="shared" ref="F16:F20" si="8">E16+F15</f>
        <v>44</v>
      </c>
      <c r="G16" s="19">
        <f t="shared" si="1"/>
        <v>302.5</v>
      </c>
      <c r="H16" s="19">
        <f t="shared" si="2"/>
        <v>0.90200000000000002</v>
      </c>
      <c r="I16" s="19">
        <f t="shared" si="3"/>
        <v>9.9220000000000006</v>
      </c>
      <c r="J16" s="19">
        <f t="shared" si="4"/>
        <v>0.81399999999999995</v>
      </c>
      <c r="K16" s="19">
        <f t="shared" si="5"/>
        <v>8.9539999999999988</v>
      </c>
      <c r="L16" s="4"/>
      <c r="N16" s="14"/>
      <c r="O16" s="14"/>
      <c r="Q16" s="62" t="s">
        <v>42</v>
      </c>
      <c r="R16" s="63"/>
      <c r="S16" s="14"/>
      <c r="T16" s="70"/>
      <c r="U16" s="70"/>
      <c r="X16" s="70"/>
      <c r="Y16" s="70"/>
    </row>
    <row r="17" spans="2:20" ht="18" x14ac:dyDescent="0.25">
      <c r="B17" s="12">
        <f t="shared" si="6"/>
        <v>31</v>
      </c>
      <c r="C17" s="12">
        <f t="shared" si="0"/>
        <v>38</v>
      </c>
      <c r="D17" s="12">
        <f t="shared" si="7"/>
        <v>34.5</v>
      </c>
      <c r="E17" s="12">
        <f>COUNTIFS(B$4:K$10,"&gt;=31",B$4:K$10,"&lt;38")</f>
        <v>6</v>
      </c>
      <c r="F17" s="25">
        <f t="shared" si="8"/>
        <v>50</v>
      </c>
      <c r="G17" s="12">
        <f t="shared" si="1"/>
        <v>207</v>
      </c>
      <c r="H17" s="12">
        <f t="shared" si="2"/>
        <v>1.131</v>
      </c>
      <c r="I17" s="12">
        <f t="shared" si="3"/>
        <v>6.7859999999999996</v>
      </c>
      <c r="J17" s="12">
        <f t="shared" si="4"/>
        <v>1.2789999999999999</v>
      </c>
      <c r="K17" s="12">
        <f t="shared" si="5"/>
        <v>7.6739999999999995</v>
      </c>
      <c r="L17" s="4"/>
      <c r="N17" s="62" t="s">
        <v>66</v>
      </c>
      <c r="O17" s="63"/>
      <c r="Q17" s="12" t="s">
        <v>37</v>
      </c>
      <c r="R17" s="13">
        <v>17</v>
      </c>
      <c r="S17" s="14"/>
    </row>
    <row r="18" spans="2:20" ht="18" x14ac:dyDescent="0.25">
      <c r="B18" s="12">
        <f t="shared" si="6"/>
        <v>38</v>
      </c>
      <c r="C18" s="12">
        <f t="shared" si="0"/>
        <v>45</v>
      </c>
      <c r="D18" s="12">
        <f t="shared" si="7"/>
        <v>41.5</v>
      </c>
      <c r="E18" s="12">
        <f>COUNTIFS(B$4:K$10,"&gt;=38",B$4:K$10,"&lt;45")</f>
        <v>5</v>
      </c>
      <c r="F18" s="25">
        <f t="shared" si="8"/>
        <v>55</v>
      </c>
      <c r="G18" s="12">
        <f t="shared" si="1"/>
        <v>207.5</v>
      </c>
      <c r="H18" s="12">
        <f t="shared" si="2"/>
        <v>1.361</v>
      </c>
      <c r="I18" s="12">
        <f t="shared" si="3"/>
        <v>6.8049999999999997</v>
      </c>
      <c r="J18" s="12">
        <f t="shared" si="4"/>
        <v>1.8520000000000001</v>
      </c>
      <c r="K18" s="12">
        <f t="shared" si="5"/>
        <v>9.26</v>
      </c>
      <c r="L18" s="4"/>
      <c r="N18" s="12" t="s">
        <v>67</v>
      </c>
      <c r="O18" s="13">
        <f>O15*O11</f>
        <v>49</v>
      </c>
      <c r="Q18" s="12" t="s">
        <v>40</v>
      </c>
      <c r="R18" s="13">
        <v>28</v>
      </c>
      <c r="S18" s="14"/>
    </row>
    <row r="19" spans="2:20" ht="18" x14ac:dyDescent="0.25">
      <c r="B19" s="12">
        <f t="shared" si="6"/>
        <v>45</v>
      </c>
      <c r="C19" s="12">
        <f t="shared" si="0"/>
        <v>52</v>
      </c>
      <c r="D19" s="12">
        <f t="shared" si="7"/>
        <v>48.5</v>
      </c>
      <c r="E19" s="12">
        <f>COUNTIFS(B$4:K$10,"&gt;=45",B$4:K$10,"&lt;52")</f>
        <v>8</v>
      </c>
      <c r="F19" s="25">
        <f t="shared" si="8"/>
        <v>63</v>
      </c>
      <c r="G19" s="12">
        <f t="shared" si="1"/>
        <v>388</v>
      </c>
      <c r="H19" s="12">
        <f t="shared" si="2"/>
        <v>1.59</v>
      </c>
      <c r="I19" s="12">
        <f t="shared" si="3"/>
        <v>12.72</v>
      </c>
      <c r="J19" s="12">
        <f t="shared" si="4"/>
        <v>2.528</v>
      </c>
      <c r="K19" s="12">
        <f t="shared" si="5"/>
        <v>20.224</v>
      </c>
      <c r="L19" s="4"/>
      <c r="N19" s="2"/>
      <c r="O19" s="2"/>
      <c r="Q19" s="12" t="s">
        <v>45</v>
      </c>
      <c r="R19" s="13">
        <v>5</v>
      </c>
      <c r="S19" s="14"/>
    </row>
    <row r="20" spans="2:20" ht="18" x14ac:dyDescent="0.25">
      <c r="B20" s="12">
        <f t="shared" si="6"/>
        <v>52</v>
      </c>
      <c r="C20" s="12">
        <f t="shared" si="0"/>
        <v>59</v>
      </c>
      <c r="D20" s="12">
        <f t="shared" si="7"/>
        <v>55.5</v>
      </c>
      <c r="E20" s="12">
        <f>COUNTIFS(B$4:K$10,"&gt;=52",B$4:K$10,"&lt;59")</f>
        <v>7</v>
      </c>
      <c r="F20" s="25">
        <f t="shared" si="8"/>
        <v>70</v>
      </c>
      <c r="G20" s="12">
        <f t="shared" si="1"/>
        <v>388.5</v>
      </c>
      <c r="H20" s="12">
        <f t="shared" si="2"/>
        <v>1.82</v>
      </c>
      <c r="I20" s="12">
        <f t="shared" si="3"/>
        <v>12.74</v>
      </c>
      <c r="J20" s="12">
        <f t="shared" si="4"/>
        <v>3.3119999999999998</v>
      </c>
      <c r="K20" s="12">
        <f t="shared" si="5"/>
        <v>23.183999999999997</v>
      </c>
      <c r="L20" s="4"/>
      <c r="N20" s="62" t="s">
        <v>68</v>
      </c>
      <c r="O20" s="63"/>
      <c r="Q20" s="12" t="s">
        <v>46</v>
      </c>
      <c r="R20" s="13">
        <v>11</v>
      </c>
      <c r="S20" s="14"/>
    </row>
    <row r="21" spans="2:20" ht="18" x14ac:dyDescent="0.25">
      <c r="B21" s="12"/>
      <c r="C21" s="12"/>
      <c r="D21" s="12"/>
      <c r="E21" s="12">
        <f>SUM(E14:E20)</f>
        <v>70</v>
      </c>
      <c r="F21" s="12"/>
      <c r="G21" s="12">
        <f>SUM(G14:G20)</f>
        <v>2135</v>
      </c>
      <c r="H21" s="12"/>
      <c r="I21" s="12">
        <f>SUM(I14:I20)</f>
        <v>70.004000000000005</v>
      </c>
      <c r="J21" s="12"/>
      <c r="K21" s="12">
        <f>SUM(K14:K20)</f>
        <v>82.932000000000002</v>
      </c>
      <c r="L21" s="4"/>
      <c r="N21" s="12" t="s">
        <v>69</v>
      </c>
      <c r="O21" s="13">
        <f>(O18-O7)/2</f>
        <v>3</v>
      </c>
      <c r="Q21" s="12" t="s">
        <v>47</v>
      </c>
      <c r="R21" s="13">
        <v>7</v>
      </c>
      <c r="S21" s="14"/>
    </row>
    <row r="22" spans="2:20" ht="18" x14ac:dyDescent="0.25">
      <c r="N22" s="14"/>
      <c r="O22" s="14"/>
      <c r="Q22" s="12" t="s">
        <v>87</v>
      </c>
      <c r="R22" s="13">
        <f>ROUND(R17+((R18-R19)/((R18-R19)+(R18-R20)))*R21,2)</f>
        <v>21.03</v>
      </c>
      <c r="S22" s="14"/>
    </row>
    <row r="23" spans="2:20" ht="18.75" x14ac:dyDescent="0.3">
      <c r="N23" s="62" t="s">
        <v>70</v>
      </c>
      <c r="O23" s="63"/>
      <c r="Q23" s="8"/>
      <c r="R23" s="8"/>
      <c r="S23" s="14"/>
      <c r="T23" s="8"/>
    </row>
    <row r="24" spans="2:20" ht="18" x14ac:dyDescent="0.25">
      <c r="B24" s="17" t="s">
        <v>121</v>
      </c>
      <c r="C24" s="17" t="s">
        <v>91</v>
      </c>
      <c r="N24" s="12" t="s">
        <v>37</v>
      </c>
      <c r="O24" s="13">
        <f>O6-O21</f>
        <v>10</v>
      </c>
      <c r="Q24" s="68" t="s">
        <v>88</v>
      </c>
      <c r="R24" s="68"/>
      <c r="S24" s="68"/>
      <c r="T24" s="68"/>
    </row>
    <row r="25" spans="2:20" ht="18.75" x14ac:dyDescent="0.3">
      <c r="B25" s="34" t="s">
        <v>128</v>
      </c>
      <c r="C25" s="12">
        <v>5</v>
      </c>
      <c r="N25" s="14"/>
      <c r="O25" s="14"/>
      <c r="Q25" s="69"/>
      <c r="R25" s="69"/>
      <c r="S25" s="66">
        <f>ROUND(I21/E21,2)</f>
        <v>1</v>
      </c>
      <c r="T25" s="66"/>
    </row>
    <row r="26" spans="2:20" ht="18" x14ac:dyDescent="0.25">
      <c r="B26" s="12" t="s">
        <v>127</v>
      </c>
      <c r="C26" s="12">
        <v>33</v>
      </c>
      <c r="N26" s="62" t="s">
        <v>71</v>
      </c>
      <c r="O26" s="63"/>
    </row>
    <row r="27" spans="2:20" ht="18" x14ac:dyDescent="0.25">
      <c r="B27" s="12" t="s">
        <v>126</v>
      </c>
      <c r="C27" s="12">
        <v>44</v>
      </c>
      <c r="N27" s="12" t="s">
        <v>72</v>
      </c>
      <c r="O27" s="13">
        <f>COUNT(B4:K10)</f>
        <v>70</v>
      </c>
    </row>
    <row r="28" spans="2:20" ht="18" x14ac:dyDescent="0.25">
      <c r="B28" s="12" t="s">
        <v>125</v>
      </c>
      <c r="C28" s="12">
        <v>50</v>
      </c>
    </row>
    <row r="29" spans="2:20" ht="18" x14ac:dyDescent="0.25">
      <c r="B29" s="12" t="s">
        <v>124</v>
      </c>
      <c r="C29" s="12">
        <v>55</v>
      </c>
      <c r="N29" s="11"/>
      <c r="O29" s="11"/>
      <c r="P29" s="11"/>
      <c r="Q29" s="11"/>
      <c r="R29" s="11"/>
      <c r="S29" s="11"/>
    </row>
    <row r="30" spans="2:20" ht="18" x14ac:dyDescent="0.25">
      <c r="B30" s="12" t="s">
        <v>123</v>
      </c>
      <c r="C30" s="12">
        <v>63</v>
      </c>
      <c r="N30" s="11"/>
      <c r="O30" s="11"/>
      <c r="P30" s="11"/>
      <c r="Q30" s="11"/>
      <c r="R30" s="11"/>
      <c r="S30" s="11"/>
    </row>
    <row r="31" spans="2:20" ht="18" x14ac:dyDescent="0.25">
      <c r="B31" s="12" t="s">
        <v>122</v>
      </c>
      <c r="C31" s="12">
        <v>70</v>
      </c>
      <c r="N31" s="11"/>
      <c r="O31" s="11"/>
      <c r="P31" s="11"/>
      <c r="Q31" s="11"/>
      <c r="R31" s="11"/>
      <c r="S31" s="11"/>
    </row>
    <row r="32" spans="2:20" x14ac:dyDescent="0.25">
      <c r="N32" s="10"/>
      <c r="O32" s="10"/>
      <c r="P32" s="11"/>
      <c r="Q32" s="11"/>
      <c r="R32" s="10"/>
      <c r="S32" s="10"/>
    </row>
    <row r="33" spans="14:19" x14ac:dyDescent="0.25">
      <c r="N33" s="11"/>
      <c r="O33" s="11"/>
      <c r="P33" s="11"/>
      <c r="Q33" s="11"/>
      <c r="R33" s="11"/>
      <c r="S33" s="11"/>
    </row>
    <row r="34" spans="14:19" x14ac:dyDescent="0.25">
      <c r="N34" s="11"/>
      <c r="O34" s="11"/>
      <c r="P34" s="11"/>
      <c r="Q34" s="11"/>
      <c r="R34" s="11"/>
      <c r="S34" s="11"/>
    </row>
    <row r="35" spans="14:19" x14ac:dyDescent="0.25">
      <c r="N35" s="11"/>
      <c r="O35" s="11"/>
      <c r="P35" s="11"/>
      <c r="Q35" s="11"/>
      <c r="R35" s="11"/>
      <c r="S35" s="11"/>
    </row>
    <row r="36" spans="14:19" x14ac:dyDescent="0.25">
      <c r="N36" s="11"/>
      <c r="O36" s="11"/>
      <c r="P36" s="11"/>
      <c r="Q36" s="11"/>
      <c r="R36" s="11"/>
      <c r="S36" s="11"/>
    </row>
    <row r="37" spans="14:19" x14ac:dyDescent="0.25">
      <c r="N37" s="11"/>
      <c r="O37" s="11"/>
      <c r="P37" s="11"/>
      <c r="Q37" s="11"/>
      <c r="R37" s="11"/>
      <c r="S37" s="11"/>
    </row>
    <row r="38" spans="14:19" x14ac:dyDescent="0.25">
      <c r="N38" s="11"/>
      <c r="O38" s="11"/>
      <c r="P38" s="11"/>
      <c r="Q38" s="11"/>
      <c r="R38" s="11"/>
      <c r="S38" s="11"/>
    </row>
    <row r="39" spans="14:19" x14ac:dyDescent="0.25">
      <c r="N39" s="11"/>
      <c r="O39" s="11"/>
      <c r="P39" s="11"/>
      <c r="Q39" s="11"/>
      <c r="R39" s="11"/>
      <c r="S39" s="11"/>
    </row>
    <row r="40" spans="14:19" x14ac:dyDescent="0.25">
      <c r="N40" s="11"/>
      <c r="O40" s="11"/>
      <c r="P40" s="11"/>
      <c r="Q40" s="11"/>
      <c r="R40" s="11"/>
      <c r="S40" s="11"/>
    </row>
  </sheetData>
  <mergeCells count="21">
    <mergeCell ref="X7:Y7"/>
    <mergeCell ref="AA7:AB7"/>
    <mergeCell ref="N4:O4"/>
    <mergeCell ref="Q4:R4"/>
    <mergeCell ref="T4:U4"/>
    <mergeCell ref="Q7:R7"/>
    <mergeCell ref="T7:U7"/>
    <mergeCell ref="N9:O9"/>
    <mergeCell ref="T10:V10"/>
    <mergeCell ref="N13:O13"/>
    <mergeCell ref="T13:V13"/>
    <mergeCell ref="Q16:R16"/>
    <mergeCell ref="T16:U16"/>
    <mergeCell ref="X16:Y16"/>
    <mergeCell ref="N20:O20"/>
    <mergeCell ref="N23:O23"/>
    <mergeCell ref="Q24:T24"/>
    <mergeCell ref="Q25:R25"/>
    <mergeCell ref="S25:T25"/>
    <mergeCell ref="N26:O26"/>
    <mergeCell ref="N17:O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Actividad 1</vt:lpstr>
      <vt:lpstr>Actividad 2</vt:lpstr>
      <vt:lpstr>Actividad 3</vt:lpstr>
      <vt:lpstr>Actividad 4</vt:lpstr>
      <vt:lpstr>Actividad 5</vt:lpstr>
      <vt:lpstr>Actividad 6</vt:lpstr>
      <vt:lpstr>Actividad_2</vt:lpstr>
      <vt:lpstr>Actividad 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UsuarioF</dc:creator>
  <cp:lastModifiedBy>Alexis Siavichay Guzhñay</cp:lastModifiedBy>
  <cp:lastPrinted>2022-07-07T02:51:04Z</cp:lastPrinted>
  <dcterms:created xsi:type="dcterms:W3CDTF">2022-07-06T00:41:50Z</dcterms:created>
  <dcterms:modified xsi:type="dcterms:W3CDTF">2022-07-07T03:35:56Z</dcterms:modified>
</cp:coreProperties>
</file>