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Characteristics!$A$1:$O$3163</definedName>
    <definedName name="_xlnm._FilterDatabase" localSheetId="1" hidden="1">Performance!$A$1:$I$3163</definedName>
  </definedNames>
  <calcPr calcId="124519" fullCalcOnLoad="1"/>
</workbook>
</file>

<file path=xl/sharedStrings.xml><?xml version="1.0" encoding="utf-8"?>
<sst xmlns="http://schemas.openxmlformats.org/spreadsheetml/2006/main" count="15175" uniqueCount="3198">
  <si>
    <t>Name</t>
  </si>
  <si>
    <t>Sector</t>
  </si>
  <si>
    <t>Price</t>
  </si>
  <si>
    <t>Dividend Yield</t>
  </si>
  <si>
    <t>1-Year Dividend Growth</t>
  </si>
  <si>
    <t>5-Year Dividend Growth (Annualized)</t>
  </si>
  <si>
    <t>Dividends Per Share (TTM)</t>
  </si>
  <si>
    <t>Market Cap ($M)</t>
  </si>
  <si>
    <t>Trailing P/E Ratio</t>
  </si>
  <si>
    <t>Payout Ratio</t>
  </si>
  <si>
    <t>Beta</t>
  </si>
  <si>
    <t>52-Week High</t>
  </si>
  <si>
    <t>52-Week Low</t>
  </si>
  <si>
    <t>Ticker</t>
  </si>
  <si>
    <t>A</t>
  </si>
  <si>
    <t>AA</t>
  </si>
  <si>
    <t>AAC</t>
  </si>
  <si>
    <t>AAL</t>
  </si>
  <si>
    <t>AAME</t>
  </si>
  <si>
    <t>AAN</t>
  </si>
  <si>
    <t>AAOI</t>
  </si>
  <si>
    <t>AAON</t>
  </si>
  <si>
    <t>AAP</t>
  </si>
  <si>
    <t>AAPL</t>
  </si>
  <si>
    <t>AAT</t>
  </si>
  <si>
    <t>AAWW</t>
  </si>
  <si>
    <t>ABBV</t>
  </si>
  <si>
    <t>ABCB</t>
  </si>
  <si>
    <t>ABEO</t>
  </si>
  <si>
    <t>ABG</t>
  </si>
  <si>
    <t>ABIO</t>
  </si>
  <si>
    <t>ABM</t>
  </si>
  <si>
    <t>ABMD</t>
  </si>
  <si>
    <t>ABR</t>
  </si>
  <si>
    <t>ABT</t>
  </si>
  <si>
    <t>ABTX</t>
  </si>
  <si>
    <t>AC</t>
  </si>
  <si>
    <t>ACA</t>
  </si>
  <si>
    <t>ACAD</t>
  </si>
  <si>
    <t>ACBI</t>
  </si>
  <si>
    <t>ACC</t>
  </si>
  <si>
    <t>ACCO</t>
  </si>
  <si>
    <t>ACER</t>
  </si>
  <si>
    <t>ACGL</t>
  </si>
  <si>
    <t>ACHC</t>
  </si>
  <si>
    <t>ACHN</t>
  </si>
  <si>
    <t>ACHV</t>
  </si>
  <si>
    <t>ACIA</t>
  </si>
  <si>
    <t>ACIW</t>
  </si>
  <si>
    <t>ACLS</t>
  </si>
  <si>
    <t>ACM</t>
  </si>
  <si>
    <t>ACMR</t>
  </si>
  <si>
    <t>ACN</t>
  </si>
  <si>
    <t>ACNB</t>
  </si>
  <si>
    <t>ACOR</t>
  </si>
  <si>
    <t>ACRE</t>
  </si>
  <si>
    <t>ACRS</t>
  </si>
  <si>
    <t>ACTG</t>
  </si>
  <si>
    <t>ACU</t>
  </si>
  <si>
    <t>ADBE</t>
  </si>
  <si>
    <t>ADC</t>
  </si>
  <si>
    <t>ADES</t>
  </si>
  <si>
    <t>ADI</t>
  </si>
  <si>
    <t>ADM</t>
  </si>
  <si>
    <t>ADMA</t>
  </si>
  <si>
    <t>ADMP</t>
  </si>
  <si>
    <t>ADMS</t>
  </si>
  <si>
    <t>ADNT</t>
  </si>
  <si>
    <t>ADP</t>
  </si>
  <si>
    <t>ADSK</t>
  </si>
  <si>
    <t>ADT</t>
  </si>
  <si>
    <t>ADTN</t>
  </si>
  <si>
    <t>ADUS</t>
  </si>
  <si>
    <t>ADVM</t>
  </si>
  <si>
    <t>ADXS</t>
  </si>
  <si>
    <t>AE</t>
  </si>
  <si>
    <t>AEE</t>
  </si>
  <si>
    <t>AEGN</t>
  </si>
  <si>
    <t>AEHR</t>
  </si>
  <si>
    <t>AEIS</t>
  </si>
  <si>
    <t>AEL</t>
  </si>
  <si>
    <t>AEMD</t>
  </si>
  <si>
    <t>AEO</t>
  </si>
  <si>
    <t>AEP</t>
  </si>
  <si>
    <t>AERI</t>
  </si>
  <si>
    <t>AES</t>
  </si>
  <si>
    <t>AEY</t>
  </si>
  <si>
    <t>AFG</t>
  </si>
  <si>
    <t>AFI</t>
  </si>
  <si>
    <t>AFL</t>
  </si>
  <si>
    <t>AGCO</t>
  </si>
  <si>
    <t>AGE</t>
  </si>
  <si>
    <t>AGEN</t>
  </si>
  <si>
    <t>AGFS</t>
  </si>
  <si>
    <t>AGIO</t>
  </si>
  <si>
    <t>AGM</t>
  </si>
  <si>
    <t>AGNC</t>
  </si>
  <si>
    <t>AGO</t>
  </si>
  <si>
    <t>AGR</t>
  </si>
  <si>
    <t>AGRX</t>
  </si>
  <si>
    <t>AGS</t>
  </si>
  <si>
    <t>AGTC</t>
  </si>
  <si>
    <t>AGX</t>
  </si>
  <si>
    <t>AGYS</t>
  </si>
  <si>
    <t>AHC</t>
  </si>
  <si>
    <t>AHH</t>
  </si>
  <si>
    <t>AHT</t>
  </si>
  <si>
    <t>AIG</t>
  </si>
  <si>
    <t>AIMC</t>
  </si>
  <si>
    <t>AIMT</t>
  </si>
  <si>
    <t>AIN</t>
  </si>
  <si>
    <t>AINC</t>
  </si>
  <si>
    <t>AIR</t>
  </si>
  <si>
    <t>AIRG</t>
  </si>
  <si>
    <t>AIRI</t>
  </si>
  <si>
    <t>AIRT</t>
  </si>
  <si>
    <t>AIT</t>
  </si>
  <si>
    <t>AIV</t>
  </si>
  <si>
    <t>AIZ</t>
  </si>
  <si>
    <t>AJG</t>
  </si>
  <si>
    <t>AJRD</t>
  </si>
  <si>
    <t>AJX</t>
  </si>
  <si>
    <t>AKAM</t>
  </si>
  <si>
    <t>AKBA</t>
  </si>
  <si>
    <t>AKCA</t>
  </si>
  <si>
    <t>AKR</t>
  </si>
  <si>
    <t>AKTS</t>
  </si>
  <si>
    <t>AL</t>
  </si>
  <si>
    <t>ALB</t>
  </si>
  <si>
    <t>ALBO</t>
  </si>
  <si>
    <t>ALCO</t>
  </si>
  <si>
    <t>ALDX</t>
  </si>
  <si>
    <t>ALE</t>
  </si>
  <si>
    <t>ALEC</t>
  </si>
  <si>
    <t>ALEX</t>
  </si>
  <si>
    <t>ALG</t>
  </si>
  <si>
    <t>ALGN</t>
  </si>
  <si>
    <t>ALGT</t>
  </si>
  <si>
    <t>ALIM</t>
  </si>
  <si>
    <t>ALJJ</t>
  </si>
  <si>
    <t>ALK</t>
  </si>
  <si>
    <t>ALKS</t>
  </si>
  <si>
    <t>ALL</t>
  </si>
  <si>
    <t>ALLE</t>
  </si>
  <si>
    <t>ALLK</t>
  </si>
  <si>
    <t>ALLO</t>
  </si>
  <si>
    <t>ALLY</t>
  </si>
  <si>
    <t>ALNA</t>
  </si>
  <si>
    <t>ALNY</t>
  </si>
  <si>
    <t>ALOT</t>
  </si>
  <si>
    <t>ALPN</t>
  </si>
  <si>
    <t>ALRM</t>
  </si>
  <si>
    <t>ALSK</t>
  </si>
  <si>
    <t>ALSN</t>
  </si>
  <si>
    <t>ALT</t>
  </si>
  <si>
    <t>ALTM</t>
  </si>
  <si>
    <t>ALTR</t>
  </si>
  <si>
    <t>ALV</t>
  </si>
  <si>
    <t>ALX</t>
  </si>
  <si>
    <t>ALXN</t>
  </si>
  <si>
    <t>AM</t>
  </si>
  <si>
    <t>AMAL</t>
  </si>
  <si>
    <t>AMAT</t>
  </si>
  <si>
    <t>AMBC</t>
  </si>
  <si>
    <t>AMC</t>
  </si>
  <si>
    <t>AMCR</t>
  </si>
  <si>
    <t>AMCX</t>
  </si>
  <si>
    <t>AMD</t>
  </si>
  <si>
    <t>AME</t>
  </si>
  <si>
    <t>AMED</t>
  </si>
  <si>
    <t>AMEH</t>
  </si>
  <si>
    <t>AMG</t>
  </si>
  <si>
    <t>AMGN</t>
  </si>
  <si>
    <t>AMH</t>
  </si>
  <si>
    <t>AMKR</t>
  </si>
  <si>
    <t>AMN</t>
  </si>
  <si>
    <t>AMNB</t>
  </si>
  <si>
    <t>AMP</t>
  </si>
  <si>
    <t>AMPE</t>
  </si>
  <si>
    <t>AMPH</t>
  </si>
  <si>
    <t>AMR</t>
  </si>
  <si>
    <t>AMRB</t>
  </si>
  <si>
    <t>AMRC</t>
  </si>
  <si>
    <t>AMRK</t>
  </si>
  <si>
    <t>AMRS</t>
  </si>
  <si>
    <t>AMRX</t>
  </si>
  <si>
    <t>AMS</t>
  </si>
  <si>
    <t>AMSC</t>
  </si>
  <si>
    <t>AMSF</t>
  </si>
  <si>
    <t>AMSWA</t>
  </si>
  <si>
    <t>AMT</t>
  </si>
  <si>
    <t>AMTD</t>
  </si>
  <si>
    <t>AMTX</t>
  </si>
  <si>
    <t>AMWD</t>
  </si>
  <si>
    <t>AMZN</t>
  </si>
  <si>
    <t>AN</t>
  </si>
  <si>
    <t>ANAB</t>
  </si>
  <si>
    <t>ANAT</t>
  </si>
  <si>
    <t>ANDE</t>
  </si>
  <si>
    <t>ANET</t>
  </si>
  <si>
    <t>ANF</t>
  </si>
  <si>
    <t>ANGI</t>
  </si>
  <si>
    <t>ANGO</t>
  </si>
  <si>
    <t>ANH</t>
  </si>
  <si>
    <t>ANIK</t>
  </si>
  <si>
    <t>ANIP</t>
  </si>
  <si>
    <t>ANIX</t>
  </si>
  <si>
    <t>ANSS</t>
  </si>
  <si>
    <t>AON</t>
  </si>
  <si>
    <t>AOS</t>
  </si>
  <si>
    <t>AOSL</t>
  </si>
  <si>
    <t>AP</t>
  </si>
  <si>
    <t>APA</t>
  </si>
  <si>
    <t>APAM</t>
  </si>
  <si>
    <t>APD</t>
  </si>
  <si>
    <t>APDN</t>
  </si>
  <si>
    <t>APEI</t>
  </si>
  <si>
    <t>APEN</t>
  </si>
  <si>
    <t>APEX</t>
  </si>
  <si>
    <t>APH</t>
  </si>
  <si>
    <t>APLE</t>
  </si>
  <si>
    <t>APLS</t>
  </si>
  <si>
    <t>APOG</t>
  </si>
  <si>
    <t>APPF</t>
  </si>
  <si>
    <t>APPN</t>
  </si>
  <si>
    <t>APPS</t>
  </si>
  <si>
    <t>APRN</t>
  </si>
  <si>
    <t>APT</t>
  </si>
  <si>
    <t>APTS</t>
  </si>
  <si>
    <t>APTV</t>
  </si>
  <si>
    <t>APVO</t>
  </si>
  <si>
    <t>APYX</t>
  </si>
  <si>
    <t>AQB</t>
  </si>
  <si>
    <t>AQMS</t>
  </si>
  <si>
    <t>AQUA</t>
  </si>
  <si>
    <t>AR</t>
  </si>
  <si>
    <t>ARA</t>
  </si>
  <si>
    <t>ARAV</t>
  </si>
  <si>
    <t>ARAY</t>
  </si>
  <si>
    <t>ARC</t>
  </si>
  <si>
    <t>ARCB</t>
  </si>
  <si>
    <t>ARCH</t>
  </si>
  <si>
    <t>ARDX</t>
  </si>
  <si>
    <t>ARE</t>
  </si>
  <si>
    <t>ARES</t>
  </si>
  <si>
    <t>ARGO</t>
  </si>
  <si>
    <t>ARI</t>
  </si>
  <si>
    <t>ARKR</t>
  </si>
  <si>
    <t>ARL</t>
  </si>
  <si>
    <t>ARLO</t>
  </si>
  <si>
    <t>ARMK</t>
  </si>
  <si>
    <t>ARMP</t>
  </si>
  <si>
    <t>ARNA</t>
  </si>
  <si>
    <t>ARNC</t>
  </si>
  <si>
    <t>AROC</t>
  </si>
  <si>
    <t>AROW</t>
  </si>
  <si>
    <t>ARPO</t>
  </si>
  <si>
    <t>ARR</t>
  </si>
  <si>
    <t>ARTNA</t>
  </si>
  <si>
    <t>ARTW</t>
  </si>
  <si>
    <t>ARVN</t>
  </si>
  <si>
    <t>ARW</t>
  </si>
  <si>
    <t>ARWR</t>
  </si>
  <si>
    <t>ASB</t>
  </si>
  <si>
    <t>ASGN</t>
  </si>
  <si>
    <t>ASH</t>
  </si>
  <si>
    <t>ASIX</t>
  </si>
  <si>
    <t>ASMB</t>
  </si>
  <si>
    <t>ASPN</t>
  </si>
  <si>
    <t>ASPS</t>
  </si>
  <si>
    <t>ASPU</t>
  </si>
  <si>
    <t>ASRT</t>
  </si>
  <si>
    <t>ASRV</t>
  </si>
  <si>
    <t>ASTC</t>
  </si>
  <si>
    <t>ASTE</t>
  </si>
  <si>
    <t>ASUR</t>
  </si>
  <si>
    <t>ASYS</t>
  </si>
  <si>
    <t>ATEC</t>
  </si>
  <si>
    <t>ATEN</t>
  </si>
  <si>
    <t>ATEX</t>
  </si>
  <si>
    <t>ATGE</t>
  </si>
  <si>
    <t>ATH</t>
  </si>
  <si>
    <t>ATHX</t>
  </si>
  <si>
    <t>ATI</t>
  </si>
  <si>
    <t>ATKR</t>
  </si>
  <si>
    <t>ATLC</t>
  </si>
  <si>
    <t>ATLO</t>
  </si>
  <si>
    <t>ATNI</t>
  </si>
  <si>
    <t>ATNM</t>
  </si>
  <si>
    <t>ATNX</t>
  </si>
  <si>
    <t>ATO</t>
  </si>
  <si>
    <t>ATOS</t>
  </si>
  <si>
    <t>ATR</t>
  </si>
  <si>
    <t>ATRA</t>
  </si>
  <si>
    <t>ATRC</t>
  </si>
  <si>
    <t>ATRI</t>
  </si>
  <si>
    <t>ATRO</t>
  </si>
  <si>
    <t>ATRS</t>
  </si>
  <si>
    <t>ATSG</t>
  </si>
  <si>
    <t>ATUS</t>
  </si>
  <si>
    <t>ATVI</t>
  </si>
  <si>
    <t>AUB</t>
  </si>
  <si>
    <t>AUBN</t>
  </si>
  <si>
    <t>AUMN</t>
  </si>
  <si>
    <t>AUTO</t>
  </si>
  <si>
    <t>AVA</t>
  </si>
  <si>
    <t>AVAV</t>
  </si>
  <si>
    <t>AVB</t>
  </si>
  <si>
    <t>AVD</t>
  </si>
  <si>
    <t>AVEO</t>
  </si>
  <si>
    <t>AVGO</t>
  </si>
  <si>
    <t>AVGR</t>
  </si>
  <si>
    <t>AVID</t>
  </si>
  <si>
    <t>AVLR</t>
  </si>
  <si>
    <t>AVNS</t>
  </si>
  <si>
    <t>AVNW</t>
  </si>
  <si>
    <t>AVRO</t>
  </si>
  <si>
    <t>AVT</t>
  </si>
  <si>
    <t>AVTR</t>
  </si>
  <si>
    <t>AVXL</t>
  </si>
  <si>
    <t>AVY</t>
  </si>
  <si>
    <t>AVYA</t>
  </si>
  <si>
    <t>AWI</t>
  </si>
  <si>
    <t>AWK</t>
  </si>
  <si>
    <t>AWR</t>
  </si>
  <si>
    <t>AWRE</t>
  </si>
  <si>
    <t>AX</t>
  </si>
  <si>
    <t>AXAS</t>
  </si>
  <si>
    <t>AXDX</t>
  </si>
  <si>
    <t>AXGN</t>
  </si>
  <si>
    <t>AXL</t>
  </si>
  <si>
    <t>AXNX</t>
  </si>
  <si>
    <t>AXP</t>
  </si>
  <si>
    <t>AXR</t>
  </si>
  <si>
    <t>AXS</t>
  </si>
  <si>
    <t>AXSM</t>
  </si>
  <si>
    <t>AXTA</t>
  </si>
  <si>
    <t>AXTI</t>
  </si>
  <si>
    <t>AYI</t>
  </si>
  <si>
    <t>AYX</t>
  </si>
  <si>
    <t>AZO</t>
  </si>
  <si>
    <t>AZPN</t>
  </si>
  <si>
    <t>AZZ</t>
  </si>
  <si>
    <t>B</t>
  </si>
  <si>
    <t>BA</t>
  </si>
  <si>
    <t>BAC</t>
  </si>
  <si>
    <t>BAH</t>
  </si>
  <si>
    <t>BANC</t>
  </si>
  <si>
    <t>BAND</t>
  </si>
  <si>
    <t>BANF</t>
  </si>
  <si>
    <t>BANR</t>
  </si>
  <si>
    <t>BATRA</t>
  </si>
  <si>
    <t>BATRK</t>
  </si>
  <si>
    <t>BAX</t>
  </si>
  <si>
    <t>BBBY</t>
  </si>
  <si>
    <t>BBCP</t>
  </si>
  <si>
    <t>BBGI</t>
  </si>
  <si>
    <t>BBSI</t>
  </si>
  <si>
    <t>BBW</t>
  </si>
  <si>
    <t>BBY</t>
  </si>
  <si>
    <t>BC</t>
  </si>
  <si>
    <t>BCBP</t>
  </si>
  <si>
    <t>BCC</t>
  </si>
  <si>
    <t>BCLI</t>
  </si>
  <si>
    <t>BCO</t>
  </si>
  <si>
    <t>BCOR</t>
  </si>
  <si>
    <t>BCOV</t>
  </si>
  <si>
    <t>BCPC</t>
  </si>
  <si>
    <t>BCRX</t>
  </si>
  <si>
    <t>BDC</t>
  </si>
  <si>
    <t>BDGE</t>
  </si>
  <si>
    <t>BDL</t>
  </si>
  <si>
    <t>BDN</t>
  </si>
  <si>
    <t>BDSI</t>
  </si>
  <si>
    <t>BDX</t>
  </si>
  <si>
    <t>BE</t>
  </si>
  <si>
    <t>BEAT</t>
  </si>
  <si>
    <t>BECN</t>
  </si>
  <si>
    <t>BELFA</t>
  </si>
  <si>
    <t>BELFB</t>
  </si>
  <si>
    <t>BEN</t>
  </si>
  <si>
    <t>BERY</t>
  </si>
  <si>
    <t>BFAM</t>
  </si>
  <si>
    <t>BFIN</t>
  </si>
  <si>
    <t>BFS</t>
  </si>
  <si>
    <t>BFST</t>
  </si>
  <si>
    <t>BG</t>
  </si>
  <si>
    <t>BGCP</t>
  </si>
  <si>
    <t>BGFV</t>
  </si>
  <si>
    <t>BGS</t>
  </si>
  <si>
    <t>BGSF</t>
  </si>
  <si>
    <t>BH</t>
  </si>
  <si>
    <t>BHB</t>
  </si>
  <si>
    <t>BHE</t>
  </si>
  <si>
    <t>BHF</t>
  </si>
  <si>
    <t>BHLB</t>
  </si>
  <si>
    <t>BHR</t>
  </si>
  <si>
    <t>BHVN</t>
  </si>
  <si>
    <t>BIG</t>
  </si>
  <si>
    <t>BIIB</t>
  </si>
  <si>
    <t>BIO</t>
  </si>
  <si>
    <t>BIOC</t>
  </si>
  <si>
    <t>BIOL</t>
  </si>
  <si>
    <t>BIOS</t>
  </si>
  <si>
    <t>BJ</t>
  </si>
  <si>
    <t>BJRI</t>
  </si>
  <si>
    <t>BK</t>
  </si>
  <si>
    <t>BKD</t>
  </si>
  <si>
    <t>BKE</t>
  </si>
  <si>
    <t>BKH</t>
  </si>
  <si>
    <t>BKI</t>
  </si>
  <si>
    <t>BKNG</t>
  </si>
  <si>
    <t>BKSC</t>
  </si>
  <si>
    <t>BKTI</t>
  </si>
  <si>
    <t>BKU</t>
  </si>
  <si>
    <t>BL</t>
  </si>
  <si>
    <t>BLBD</t>
  </si>
  <si>
    <t>BLCM</t>
  </si>
  <si>
    <t>BLD</t>
  </si>
  <si>
    <t>BLDR</t>
  </si>
  <si>
    <t>BLFS</t>
  </si>
  <si>
    <t>BLK</t>
  </si>
  <si>
    <t>BLKB</t>
  </si>
  <si>
    <t>BLL</t>
  </si>
  <si>
    <t>BLMN</t>
  </si>
  <si>
    <t>BLUE</t>
  </si>
  <si>
    <t>BMCH</t>
  </si>
  <si>
    <t>BMI</t>
  </si>
  <si>
    <t>BMRC</t>
  </si>
  <si>
    <t>BMRN</t>
  </si>
  <si>
    <t>BMTC</t>
  </si>
  <si>
    <t>BMY</t>
  </si>
  <si>
    <t>BNED</t>
  </si>
  <si>
    <t>BNFT</t>
  </si>
  <si>
    <t>BOCH</t>
  </si>
  <si>
    <t>BOH</t>
  </si>
  <si>
    <t>BOKF</t>
  </si>
  <si>
    <t>BOLD</t>
  </si>
  <si>
    <t>BOMN</t>
  </si>
  <si>
    <t>BOOM</t>
  </si>
  <si>
    <t>BOOT</t>
  </si>
  <si>
    <t>BOTJ</t>
  </si>
  <si>
    <t>BOX</t>
  </si>
  <si>
    <t>BPFH</t>
  </si>
  <si>
    <t>BPMC</t>
  </si>
  <si>
    <t>BPOP</t>
  </si>
  <si>
    <t>BPRN</t>
  </si>
  <si>
    <t>BPTH</t>
  </si>
  <si>
    <t>BR</t>
  </si>
  <si>
    <t>BRC</t>
  </si>
  <si>
    <t>BRG</t>
  </si>
  <si>
    <t>BRID</t>
  </si>
  <si>
    <t>BRKL</t>
  </si>
  <si>
    <t>BRKR</t>
  </si>
  <si>
    <t>BRN</t>
  </si>
  <si>
    <t>BRO</t>
  </si>
  <si>
    <t>BRT</t>
  </si>
  <si>
    <t>BRX</t>
  </si>
  <si>
    <t>BRY</t>
  </si>
  <si>
    <t>BSET</t>
  </si>
  <si>
    <t>BSGM</t>
  </si>
  <si>
    <t>BSQR</t>
  </si>
  <si>
    <t>BSRR</t>
  </si>
  <si>
    <t>BSTC</t>
  </si>
  <si>
    <t>BSX</t>
  </si>
  <si>
    <t>BTU</t>
  </si>
  <si>
    <t>BURL</t>
  </si>
  <si>
    <t>BUSE</t>
  </si>
  <si>
    <t>BV</t>
  </si>
  <si>
    <t>BW</t>
  </si>
  <si>
    <t>BWA</t>
  </si>
  <si>
    <t>BWB</t>
  </si>
  <si>
    <t>BWEN</t>
  </si>
  <si>
    <t>BWFG</t>
  </si>
  <si>
    <t>BWXT</t>
  </si>
  <si>
    <t>BXC</t>
  </si>
  <si>
    <t>BXMT</t>
  </si>
  <si>
    <t>BXP</t>
  </si>
  <si>
    <t>BY</t>
  </si>
  <si>
    <t>BYD</t>
  </si>
  <si>
    <t>BYFC</t>
  </si>
  <si>
    <t>BYND</t>
  </si>
  <si>
    <t>BZH</t>
  </si>
  <si>
    <t>C</t>
  </si>
  <si>
    <t>CABO</t>
  </si>
  <si>
    <t>CAC</t>
  </si>
  <si>
    <t>CACC</t>
  </si>
  <si>
    <t>CACI</t>
  </si>
  <si>
    <t>CADE</t>
  </si>
  <si>
    <t>CAG</t>
  </si>
  <si>
    <t>CAH</t>
  </si>
  <si>
    <t>CAI</t>
  </si>
  <si>
    <t>CAKE</t>
  </si>
  <si>
    <t>CAL</t>
  </si>
  <si>
    <t>CALA</t>
  </si>
  <si>
    <t>CALM</t>
  </si>
  <si>
    <t>CALX</t>
  </si>
  <si>
    <t>CAMP</t>
  </si>
  <si>
    <t>CAPR</t>
  </si>
  <si>
    <t>CAR</t>
  </si>
  <si>
    <t>CARA</t>
  </si>
  <si>
    <t>CARE</t>
  </si>
  <si>
    <t>CARG</t>
  </si>
  <si>
    <t>CARS</t>
  </si>
  <si>
    <t>CART</t>
  </si>
  <si>
    <t>CASA</t>
  </si>
  <si>
    <t>CASH</t>
  </si>
  <si>
    <t>CASI</t>
  </si>
  <si>
    <t>CASS</t>
  </si>
  <si>
    <t>CASY</t>
  </si>
  <si>
    <t>CAT</t>
  </si>
  <si>
    <t>CATC</t>
  </si>
  <si>
    <t>CATM</t>
  </si>
  <si>
    <t>CATO</t>
  </si>
  <si>
    <t>CATY</t>
  </si>
  <si>
    <t>CB</t>
  </si>
  <si>
    <t>CBAN</t>
  </si>
  <si>
    <t>CBAY</t>
  </si>
  <si>
    <t>CBB</t>
  </si>
  <si>
    <t>CBFV</t>
  </si>
  <si>
    <t>CBL</t>
  </si>
  <si>
    <t>CBMG</t>
  </si>
  <si>
    <t>CBOE</t>
  </si>
  <si>
    <t>CBRE</t>
  </si>
  <si>
    <t>CBRL</t>
  </si>
  <si>
    <t>CBSH</t>
  </si>
  <si>
    <t>CBT</t>
  </si>
  <si>
    <t>CBU</t>
  </si>
  <si>
    <t>CBZ</t>
  </si>
  <si>
    <t>CC</t>
  </si>
  <si>
    <t>CCBG</t>
  </si>
  <si>
    <t>CCF</t>
  </si>
  <si>
    <t>CCI</t>
  </si>
  <si>
    <t>CCK</t>
  </si>
  <si>
    <t>CCL</t>
  </si>
  <si>
    <t>CCMP</t>
  </si>
  <si>
    <t>CCNE</t>
  </si>
  <si>
    <t>CCO</t>
  </si>
  <si>
    <t>CCOI</t>
  </si>
  <si>
    <t>CCRN</t>
  </si>
  <si>
    <t>CCS</t>
  </si>
  <si>
    <t>CCXI</t>
  </si>
  <si>
    <t>CDE</t>
  </si>
  <si>
    <t>CDK</t>
  </si>
  <si>
    <t>CDLX</t>
  </si>
  <si>
    <t>CDMO</t>
  </si>
  <si>
    <t>CDNA</t>
  </si>
  <si>
    <t>CDNS</t>
  </si>
  <si>
    <t>CDR</t>
  </si>
  <si>
    <t>CDTX</t>
  </si>
  <si>
    <t>CDW</t>
  </si>
  <si>
    <t>CDXC</t>
  </si>
  <si>
    <t>CDXS</t>
  </si>
  <si>
    <t>CDZI</t>
  </si>
  <si>
    <t>CE</t>
  </si>
  <si>
    <t>CECO</t>
  </si>
  <si>
    <t>CEI</t>
  </si>
  <si>
    <t>CEIX</t>
  </si>
  <si>
    <t>CELC</t>
  </si>
  <si>
    <t>CELH</t>
  </si>
  <si>
    <t>CEMI</t>
  </si>
  <si>
    <t>CENT</t>
  </si>
  <si>
    <t>CENTA</t>
  </si>
  <si>
    <t>CENX</t>
  </si>
  <si>
    <t>CERN</t>
  </si>
  <si>
    <t>CERS</t>
  </si>
  <si>
    <t>CETX</t>
  </si>
  <si>
    <t>CEVA</t>
  </si>
  <si>
    <t>CF</t>
  </si>
  <si>
    <t>CFBK</t>
  </si>
  <si>
    <t>CFFI</t>
  </si>
  <si>
    <t>CFFN</t>
  </si>
  <si>
    <t>CFG</t>
  </si>
  <si>
    <t>CFMS</t>
  </si>
  <si>
    <t>CFR</t>
  </si>
  <si>
    <t>CGIX</t>
  </si>
  <si>
    <t>CGNX</t>
  </si>
  <si>
    <t>CHCI</t>
  </si>
  <si>
    <t>CHCO</t>
  </si>
  <si>
    <t>CHCT</t>
  </si>
  <si>
    <t>CHD</t>
  </si>
  <si>
    <t>CHDN</t>
  </si>
  <si>
    <t>CHE</t>
  </si>
  <si>
    <t>CHEF</t>
  </si>
  <si>
    <t>CHGG</t>
  </si>
  <si>
    <t>CHH</t>
  </si>
  <si>
    <t>CHK</t>
  </si>
  <si>
    <t>CHMA</t>
  </si>
  <si>
    <t>CHMG</t>
  </si>
  <si>
    <t>CHMI</t>
  </si>
  <si>
    <t>CHRS</t>
  </si>
  <si>
    <t>CHRW</t>
  </si>
  <si>
    <t>CHS</t>
  </si>
  <si>
    <t>CHTR</t>
  </si>
  <si>
    <t>CHUY</t>
  </si>
  <si>
    <t>CI</t>
  </si>
  <si>
    <t>CIA</t>
  </si>
  <si>
    <t>CIEN</t>
  </si>
  <si>
    <t>CIM</t>
  </si>
  <si>
    <t>CINF</t>
  </si>
  <si>
    <t>CIO</t>
  </si>
  <si>
    <t>CIR</t>
  </si>
  <si>
    <t>CIT</t>
  </si>
  <si>
    <t>CIVB</t>
  </si>
  <si>
    <t>CIX</t>
  </si>
  <si>
    <t>CIZN</t>
  </si>
  <si>
    <t>CKH</t>
  </si>
  <si>
    <t>CKX</t>
  </si>
  <si>
    <t>CL</t>
  </si>
  <si>
    <t>CLAR</t>
  </si>
  <si>
    <t>CLB</t>
  </si>
  <si>
    <t>CLBK</t>
  </si>
  <si>
    <t>CLCT</t>
  </si>
  <si>
    <t>CLDR</t>
  </si>
  <si>
    <t>CLDT</t>
  </si>
  <si>
    <t>CLDX</t>
  </si>
  <si>
    <t>CLF</t>
  </si>
  <si>
    <t>CLFD</t>
  </si>
  <si>
    <t>CLGX</t>
  </si>
  <si>
    <t>CLH</t>
  </si>
  <si>
    <t>CLIR</t>
  </si>
  <si>
    <t>CLNE</t>
  </si>
  <si>
    <t>CLPR</t>
  </si>
  <si>
    <t>CLR</t>
  </si>
  <si>
    <t>CLRB</t>
  </si>
  <si>
    <t>CLRO</t>
  </si>
  <si>
    <t>CLVS</t>
  </si>
  <si>
    <t>CLW</t>
  </si>
  <si>
    <t>CLX</t>
  </si>
  <si>
    <t>CMA</t>
  </si>
  <si>
    <t>CMC</t>
  </si>
  <si>
    <t>CMCO</t>
  </si>
  <si>
    <t>CMCSA</t>
  </si>
  <si>
    <t>CMCT</t>
  </si>
  <si>
    <t>CMD</t>
  </si>
  <si>
    <t>CME</t>
  </si>
  <si>
    <t>CMG</t>
  </si>
  <si>
    <t>CMI</t>
  </si>
  <si>
    <t>CMO</t>
  </si>
  <si>
    <t>CMP</t>
  </si>
  <si>
    <t>CMRX</t>
  </si>
  <si>
    <t>CMS</t>
  </si>
  <si>
    <t>CMT</t>
  </si>
  <si>
    <t>CMTL</t>
  </si>
  <si>
    <t>CNA</t>
  </si>
  <si>
    <t>CNBKA</t>
  </si>
  <si>
    <t>CNC</t>
  </si>
  <si>
    <t>CNCE</t>
  </si>
  <si>
    <t>CNDT</t>
  </si>
  <si>
    <t>CNFR</t>
  </si>
  <si>
    <t>CNK</t>
  </si>
  <si>
    <t>CNMD</t>
  </si>
  <si>
    <t>CNNE</t>
  </si>
  <si>
    <t>CNO</t>
  </si>
  <si>
    <t>CNOB</t>
  </si>
  <si>
    <t>CNP</t>
  </si>
  <si>
    <t>CNR</t>
  </si>
  <si>
    <t>CNS</t>
  </si>
  <si>
    <t>CNSL</t>
  </si>
  <si>
    <t>CNTY</t>
  </si>
  <si>
    <t>CNX</t>
  </si>
  <si>
    <t>CNXN</t>
  </si>
  <si>
    <t>CODA</t>
  </si>
  <si>
    <t>COF</t>
  </si>
  <si>
    <t>COG</t>
  </si>
  <si>
    <t>COHN</t>
  </si>
  <si>
    <t>COHR</t>
  </si>
  <si>
    <t>COHU</t>
  </si>
  <si>
    <t>COKE</t>
  </si>
  <si>
    <t>COLB</t>
  </si>
  <si>
    <t>COLD</t>
  </si>
  <si>
    <t>COLL</t>
  </si>
  <si>
    <t>COLM</t>
  </si>
  <si>
    <t>COMM</t>
  </si>
  <si>
    <t>CONE</t>
  </si>
  <si>
    <t>CONN</t>
  </si>
  <si>
    <t>COO</t>
  </si>
  <si>
    <t>COOP</t>
  </si>
  <si>
    <t>COP</t>
  </si>
  <si>
    <t>COR</t>
  </si>
  <si>
    <t>CORE</t>
  </si>
  <si>
    <t>CORR</t>
  </si>
  <si>
    <t>CORT</t>
  </si>
  <si>
    <t>COST</t>
  </si>
  <si>
    <t>COTY</t>
  </si>
  <si>
    <t>COUP</t>
  </si>
  <si>
    <t>COWN</t>
  </si>
  <si>
    <t>CPB</t>
  </si>
  <si>
    <t>CPE</t>
  </si>
  <si>
    <t>CPF</t>
  </si>
  <si>
    <t>CPHC</t>
  </si>
  <si>
    <t>CPIX</t>
  </si>
  <si>
    <t>CPK</t>
  </si>
  <si>
    <t>CPLG</t>
  </si>
  <si>
    <t>CPRI</t>
  </si>
  <si>
    <t>CPRT</t>
  </si>
  <si>
    <t>CPRX</t>
  </si>
  <si>
    <t>CPS</t>
  </si>
  <si>
    <t>CPSH</t>
  </si>
  <si>
    <t>CPSS</t>
  </si>
  <si>
    <t>CPT</t>
  </si>
  <si>
    <t>CR</t>
  </si>
  <si>
    <t>CRAI</t>
  </si>
  <si>
    <t>CRBP</t>
  </si>
  <si>
    <t>CRC</t>
  </si>
  <si>
    <t>CREE</t>
  </si>
  <si>
    <t>CRI</t>
  </si>
  <si>
    <t>CRIS</t>
  </si>
  <si>
    <t>CRK</t>
  </si>
  <si>
    <t>CRL</t>
  </si>
  <si>
    <t>CRM</t>
  </si>
  <si>
    <t>CRMD</t>
  </si>
  <si>
    <t>CRMT</t>
  </si>
  <si>
    <t>CRNX</t>
  </si>
  <si>
    <t>CROX</t>
  </si>
  <si>
    <t>CRS</t>
  </si>
  <si>
    <t>CRUS</t>
  </si>
  <si>
    <t>CRVL</t>
  </si>
  <si>
    <t>CRVS</t>
  </si>
  <si>
    <t>CRWS</t>
  </si>
  <si>
    <t>CSCO</t>
  </si>
  <si>
    <t>CSGP</t>
  </si>
  <si>
    <t>CSGS</t>
  </si>
  <si>
    <t>CSII</t>
  </si>
  <si>
    <t>CSL</t>
  </si>
  <si>
    <t>CSLT</t>
  </si>
  <si>
    <t>CSOD</t>
  </si>
  <si>
    <t>CSPI</t>
  </si>
  <si>
    <t>CSTR</t>
  </si>
  <si>
    <t>CSV</t>
  </si>
  <si>
    <t>CSWI</t>
  </si>
  <si>
    <t>CSX</t>
  </si>
  <si>
    <t>CTAS</t>
  </si>
  <si>
    <t>CTB</t>
  </si>
  <si>
    <t>CTBI</t>
  </si>
  <si>
    <t>CTG</t>
  </si>
  <si>
    <t>CTHR</t>
  </si>
  <si>
    <t>CTIC</t>
  </si>
  <si>
    <t>CTLT</t>
  </si>
  <si>
    <t>CTMX</t>
  </si>
  <si>
    <t>CTO</t>
  </si>
  <si>
    <t>CTRA</t>
  </si>
  <si>
    <t>CTRE</t>
  </si>
  <si>
    <t>CTRN</t>
  </si>
  <si>
    <t>CTS</t>
  </si>
  <si>
    <t>CTSH</t>
  </si>
  <si>
    <t>CTSO</t>
  </si>
  <si>
    <t>CTT</t>
  </si>
  <si>
    <t>CTVA</t>
  </si>
  <si>
    <t>CTXS</t>
  </si>
  <si>
    <t>CUB</t>
  </si>
  <si>
    <t>CUBE</t>
  </si>
  <si>
    <t>CUBI</t>
  </si>
  <si>
    <t>CUE</t>
  </si>
  <si>
    <t>CULP</t>
  </si>
  <si>
    <t>CURO</t>
  </si>
  <si>
    <t>CUTR</t>
  </si>
  <si>
    <t>CUZ</t>
  </si>
  <si>
    <t>CVA</t>
  </si>
  <si>
    <t>CVBF</t>
  </si>
  <si>
    <t>CVCO</t>
  </si>
  <si>
    <t>CVET</t>
  </si>
  <si>
    <t>CVGI</t>
  </si>
  <si>
    <t>CVGW</t>
  </si>
  <si>
    <t>CVI</t>
  </si>
  <si>
    <t>CVLT</t>
  </si>
  <si>
    <t>CVLY</t>
  </si>
  <si>
    <t>CVM</t>
  </si>
  <si>
    <t>CVNA</t>
  </si>
  <si>
    <t>CVR</t>
  </si>
  <si>
    <t>CVS</t>
  </si>
  <si>
    <t>CVU</t>
  </si>
  <si>
    <t>CVV</t>
  </si>
  <si>
    <t>CVX</t>
  </si>
  <si>
    <t>CW</t>
  </si>
  <si>
    <t>CWBC</t>
  </si>
  <si>
    <t>CWBR</t>
  </si>
  <si>
    <t>CWEN</t>
  </si>
  <si>
    <t>CWH</t>
  </si>
  <si>
    <t>CWST</t>
  </si>
  <si>
    <t>CWT</t>
  </si>
  <si>
    <t>CXO</t>
  </si>
  <si>
    <t>CXP</t>
  </si>
  <si>
    <t>CXW</t>
  </si>
  <si>
    <t>CYAN</t>
  </si>
  <si>
    <t>CYBE</t>
  </si>
  <si>
    <t>CYCC</t>
  </si>
  <si>
    <t>CYCN</t>
  </si>
  <si>
    <t>CYH</t>
  </si>
  <si>
    <t>CYRX</t>
  </si>
  <si>
    <t>CYTK</t>
  </si>
  <si>
    <t>CYTR</t>
  </si>
  <si>
    <t>CZNC</t>
  </si>
  <si>
    <t>CZR</t>
  </si>
  <si>
    <t>CZWI</t>
  </si>
  <si>
    <t>D</t>
  </si>
  <si>
    <t>DAIO</t>
  </si>
  <si>
    <t>DAKT</t>
  </si>
  <si>
    <t>DAL</t>
  </si>
  <si>
    <t>DAN</t>
  </si>
  <si>
    <t>DAR</t>
  </si>
  <si>
    <t>DARE</t>
  </si>
  <si>
    <t>DAVE</t>
  </si>
  <si>
    <t>DBD</t>
  </si>
  <si>
    <t>DBI</t>
  </si>
  <si>
    <t>DBX</t>
  </si>
  <si>
    <t>DCI</t>
  </si>
  <si>
    <t>DCO</t>
  </si>
  <si>
    <t>DCOM</t>
  </si>
  <si>
    <t>DCPH</t>
  </si>
  <si>
    <t>DD</t>
  </si>
  <si>
    <t>DDD</t>
  </si>
  <si>
    <t>DDS</t>
  </si>
  <si>
    <t>DE</t>
  </si>
  <si>
    <t>DEA</t>
  </si>
  <si>
    <t>DECK</t>
  </si>
  <si>
    <t>DEI</t>
  </si>
  <si>
    <t>DELL</t>
  </si>
  <si>
    <t>DENN</t>
  </si>
  <si>
    <t>DERM</t>
  </si>
  <si>
    <t>DFIN</t>
  </si>
  <si>
    <t>DFS</t>
  </si>
  <si>
    <t>DG</t>
  </si>
  <si>
    <t>DGICA</t>
  </si>
  <si>
    <t>DGII</t>
  </si>
  <si>
    <t>DGLY</t>
  </si>
  <si>
    <t>DGX</t>
  </si>
  <si>
    <t>DHI</t>
  </si>
  <si>
    <t>DHIL</t>
  </si>
  <si>
    <t>DHR</t>
  </si>
  <si>
    <t>DHX</t>
  </si>
  <si>
    <t>DIN</t>
  </si>
  <si>
    <t>DIOD</t>
  </si>
  <si>
    <t>DIS</t>
  </si>
  <si>
    <t>DISCK</t>
  </si>
  <si>
    <t>DISH</t>
  </si>
  <si>
    <t>DIT</t>
  </si>
  <si>
    <t>DJCO</t>
  </si>
  <si>
    <t>DK</t>
  </si>
  <si>
    <t>DKS</t>
  </si>
  <si>
    <t>DLA</t>
  </si>
  <si>
    <t>DLB</t>
  </si>
  <si>
    <t>DLHC</t>
  </si>
  <si>
    <t>DLR</t>
  </si>
  <si>
    <t>DLTH</t>
  </si>
  <si>
    <t>DLTR</t>
  </si>
  <si>
    <t>DLX</t>
  </si>
  <si>
    <t>DMRC</t>
  </si>
  <si>
    <t>DNKN</t>
  </si>
  <si>
    <t>DNLI</t>
  </si>
  <si>
    <t>DNOW</t>
  </si>
  <si>
    <t>DO</t>
  </si>
  <si>
    <t>DOC</t>
  </si>
  <si>
    <t>DOCU</t>
  </si>
  <si>
    <t>DOMO</t>
  </si>
  <si>
    <t>DOOR</t>
  </si>
  <si>
    <t>DORM</t>
  </si>
  <si>
    <t>DOV</t>
  </si>
  <si>
    <t>DOW</t>
  </si>
  <si>
    <t>DPZ</t>
  </si>
  <si>
    <t>DRE</t>
  </si>
  <si>
    <t>DRH</t>
  </si>
  <si>
    <t>DRI</t>
  </si>
  <si>
    <t>DRNA</t>
  </si>
  <si>
    <t>DRQ</t>
  </si>
  <si>
    <t>DRRX</t>
  </si>
  <si>
    <t>DS</t>
  </si>
  <si>
    <t>DSKE</t>
  </si>
  <si>
    <t>DSPG</t>
  </si>
  <si>
    <t>DSS</t>
  </si>
  <si>
    <t>DTE</t>
  </si>
  <si>
    <t>DUK</t>
  </si>
  <si>
    <t>DVA</t>
  </si>
  <si>
    <t>DVAX</t>
  </si>
  <si>
    <t>DVD</t>
  </si>
  <si>
    <t>DVN</t>
  </si>
  <si>
    <t>DWSN</t>
  </si>
  <si>
    <t>DX</t>
  </si>
  <si>
    <t>DXC</t>
  </si>
  <si>
    <t>DXCM</t>
  </si>
  <si>
    <t>DXLG</t>
  </si>
  <si>
    <t>DXPE</t>
  </si>
  <si>
    <t>DXYN</t>
  </si>
  <si>
    <t>DY</t>
  </si>
  <si>
    <t>DYAI</t>
  </si>
  <si>
    <t>DZSI</t>
  </si>
  <si>
    <t>EA</t>
  </si>
  <si>
    <t>EAF</t>
  </si>
  <si>
    <t>EARN</t>
  </si>
  <si>
    <t>EAT</t>
  </si>
  <si>
    <t>EB</t>
  </si>
  <si>
    <t>EBAY</t>
  </si>
  <si>
    <t>EBF</t>
  </si>
  <si>
    <t>EBIX</t>
  </si>
  <si>
    <t>EBMT</t>
  </si>
  <si>
    <t>EBS</t>
  </si>
  <si>
    <t>EBSB</t>
  </si>
  <si>
    <t>EBTC</t>
  </si>
  <si>
    <t>ECHO</t>
  </si>
  <si>
    <t>ECL</t>
  </si>
  <si>
    <t>ECOL</t>
  </si>
  <si>
    <t>ECOM</t>
  </si>
  <si>
    <t>ECPG</t>
  </si>
  <si>
    <t>ED</t>
  </si>
  <si>
    <t>EDIT</t>
  </si>
  <si>
    <t>EDUC</t>
  </si>
  <si>
    <t>EE</t>
  </si>
  <si>
    <t>EEFT</t>
  </si>
  <si>
    <t>EEX</t>
  </si>
  <si>
    <t>EFC</t>
  </si>
  <si>
    <t>EFOI</t>
  </si>
  <si>
    <t>EFSC</t>
  </si>
  <si>
    <t>EFX</t>
  </si>
  <si>
    <t>EGAN</t>
  </si>
  <si>
    <t>EGBN</t>
  </si>
  <si>
    <t>EGHT</t>
  </si>
  <si>
    <t>EGLE</t>
  </si>
  <si>
    <t>EGOV</t>
  </si>
  <si>
    <t>EGP</t>
  </si>
  <si>
    <t>EGRX</t>
  </si>
  <si>
    <t>EGY</t>
  </si>
  <si>
    <t>EHC</t>
  </si>
  <si>
    <t>EHTH</t>
  </si>
  <si>
    <t>EIDX</t>
  </si>
  <si>
    <t>EIG</t>
  </si>
  <si>
    <t>EIGI</t>
  </si>
  <si>
    <t>EIGR</t>
  </si>
  <si>
    <t>EIX</t>
  </si>
  <si>
    <t>EKSO</t>
  </si>
  <si>
    <t>EL</t>
  </si>
  <si>
    <t>ELAN</t>
  </si>
  <si>
    <t>ELF</t>
  </si>
  <si>
    <t>ELMD</t>
  </si>
  <si>
    <t>ELOX</t>
  </si>
  <si>
    <t>ELS</t>
  </si>
  <si>
    <t>ELSE</t>
  </si>
  <si>
    <t>ELVT</t>
  </si>
  <si>
    <t>ELY</t>
  </si>
  <si>
    <t>EMAN</t>
  </si>
  <si>
    <t>EMCF</t>
  </si>
  <si>
    <t>EME</t>
  </si>
  <si>
    <t>EMKR</t>
  </si>
  <si>
    <t>EML</t>
  </si>
  <si>
    <t>EMMS</t>
  </si>
  <si>
    <t>EMN</t>
  </si>
  <si>
    <t>EMR</t>
  </si>
  <si>
    <t>ENDP</t>
  </si>
  <si>
    <t>ENG</t>
  </si>
  <si>
    <t>ENOB</t>
  </si>
  <si>
    <t>ENPH</t>
  </si>
  <si>
    <t>ENR</t>
  </si>
  <si>
    <t>ENS</t>
  </si>
  <si>
    <t>ENSG</t>
  </si>
  <si>
    <t>ENSV</t>
  </si>
  <si>
    <t>ENTA</t>
  </si>
  <si>
    <t>ENTG</t>
  </si>
  <si>
    <t>ENV</t>
  </si>
  <si>
    <t>ENVA</t>
  </si>
  <si>
    <t>ENZ</t>
  </si>
  <si>
    <t>EOG</t>
  </si>
  <si>
    <t>EOLS</t>
  </si>
  <si>
    <t>EPAM</t>
  </si>
  <si>
    <t>EPAY</t>
  </si>
  <si>
    <t>EPC</t>
  </si>
  <si>
    <t>EPM</t>
  </si>
  <si>
    <t>EPR</t>
  </si>
  <si>
    <t>EPRT</t>
  </si>
  <si>
    <t>EPZM</t>
  </si>
  <si>
    <t>EQBK</t>
  </si>
  <si>
    <t>EQC</t>
  </si>
  <si>
    <t>EQH</t>
  </si>
  <si>
    <t>EQIX</t>
  </si>
  <si>
    <t>EQR</t>
  </si>
  <si>
    <t>EQT</t>
  </si>
  <si>
    <t>ERIE</t>
  </si>
  <si>
    <t>ERII</t>
  </si>
  <si>
    <t>ES</t>
  </si>
  <si>
    <t>ESBK</t>
  </si>
  <si>
    <t>ESCA</t>
  </si>
  <si>
    <t>ESE</t>
  </si>
  <si>
    <t>ESGR</t>
  </si>
  <si>
    <t>ESI</t>
  </si>
  <si>
    <t>ESNT</t>
  </si>
  <si>
    <t>ESP</t>
  </si>
  <si>
    <t>ESPR</t>
  </si>
  <si>
    <t>ESQ</t>
  </si>
  <si>
    <t>ESRT</t>
  </si>
  <si>
    <t>ESS</t>
  </si>
  <si>
    <t>ESSA</t>
  </si>
  <si>
    <t>ESTC</t>
  </si>
  <si>
    <t>ESTE</t>
  </si>
  <si>
    <t>ESXB</t>
  </si>
  <si>
    <t>ETN</t>
  </si>
  <si>
    <t>ETR</t>
  </si>
  <si>
    <t>ETRN</t>
  </si>
  <si>
    <t>ETSY</t>
  </si>
  <si>
    <t>EV</t>
  </si>
  <si>
    <t>EVBG</t>
  </si>
  <si>
    <t>EVBN</t>
  </si>
  <si>
    <t>EVC</t>
  </si>
  <si>
    <t>EVER</t>
  </si>
  <si>
    <t>EVFM</t>
  </si>
  <si>
    <t>EVH</t>
  </si>
  <si>
    <t>EVI</t>
  </si>
  <si>
    <t>EVOK</t>
  </si>
  <si>
    <t>EVOL</t>
  </si>
  <si>
    <t>EVOP</t>
  </si>
  <si>
    <t>EVR</t>
  </si>
  <si>
    <t>EVRG</t>
  </si>
  <si>
    <t>EVRI</t>
  </si>
  <si>
    <t>EVTC</t>
  </si>
  <si>
    <t>EW</t>
  </si>
  <si>
    <t>EWBC</t>
  </si>
  <si>
    <t>EXAS</t>
  </si>
  <si>
    <t>EXC</t>
  </si>
  <si>
    <t>EXEL</t>
  </si>
  <si>
    <t>EXLS</t>
  </si>
  <si>
    <t>EXP</t>
  </si>
  <si>
    <t>EXPD</t>
  </si>
  <si>
    <t>EXPE</t>
  </si>
  <si>
    <t>EXPI</t>
  </si>
  <si>
    <t>EXPO</t>
  </si>
  <si>
    <t>EXPR</t>
  </si>
  <si>
    <t>EXR</t>
  </si>
  <si>
    <t>EXTN</t>
  </si>
  <si>
    <t>EXTR</t>
  </si>
  <si>
    <t>EYE</t>
  </si>
  <si>
    <t>EYEG</t>
  </si>
  <si>
    <t>EYES</t>
  </si>
  <si>
    <t>EYPT</t>
  </si>
  <si>
    <t>EZPW</t>
  </si>
  <si>
    <t>F</t>
  </si>
  <si>
    <t>FAF</t>
  </si>
  <si>
    <t>FANG</t>
  </si>
  <si>
    <t>FARM</t>
  </si>
  <si>
    <t>FARO</t>
  </si>
  <si>
    <t>FAST</t>
  </si>
  <si>
    <t>FATE</t>
  </si>
  <si>
    <t>FB</t>
  </si>
  <si>
    <t>FBC</t>
  </si>
  <si>
    <t>FBIO</t>
  </si>
  <si>
    <t>FBIZ</t>
  </si>
  <si>
    <t>FBK</t>
  </si>
  <si>
    <t>FBM</t>
  </si>
  <si>
    <t>FBMS</t>
  </si>
  <si>
    <t>FBNC</t>
  </si>
  <si>
    <t>FBP</t>
  </si>
  <si>
    <t>FBSS</t>
  </si>
  <si>
    <t>FC</t>
  </si>
  <si>
    <t>FCAP</t>
  </si>
  <si>
    <t>FCBC</t>
  </si>
  <si>
    <t>FCBP</t>
  </si>
  <si>
    <t>FCCO</t>
  </si>
  <si>
    <t>FCCY</t>
  </si>
  <si>
    <t>FCEL</t>
  </si>
  <si>
    <t>FCF</t>
  </si>
  <si>
    <t>FCFS</t>
  </si>
  <si>
    <t>FCN</t>
  </si>
  <si>
    <t>FCNCA</t>
  </si>
  <si>
    <t>FCPT</t>
  </si>
  <si>
    <t>FCX</t>
  </si>
  <si>
    <t>FDBC</t>
  </si>
  <si>
    <t>FDP</t>
  </si>
  <si>
    <t>FDS</t>
  </si>
  <si>
    <t>FDX</t>
  </si>
  <si>
    <t>FE</t>
  </si>
  <si>
    <t>FEIM</t>
  </si>
  <si>
    <t>FELE</t>
  </si>
  <si>
    <t>FET</t>
  </si>
  <si>
    <t>FF</t>
  </si>
  <si>
    <t>FFBC</t>
  </si>
  <si>
    <t>FFG</t>
  </si>
  <si>
    <t>FFIC</t>
  </si>
  <si>
    <t>FFIN</t>
  </si>
  <si>
    <t>FFIV</t>
  </si>
  <si>
    <t>FFNW</t>
  </si>
  <si>
    <t>FFWM</t>
  </si>
  <si>
    <t>FG</t>
  </si>
  <si>
    <t>FGBI</t>
  </si>
  <si>
    <t>FGEN</t>
  </si>
  <si>
    <t>FHB</t>
  </si>
  <si>
    <t>FHN</t>
  </si>
  <si>
    <t>FI</t>
  </si>
  <si>
    <t>FIBK</t>
  </si>
  <si>
    <t>FICO</t>
  </si>
  <si>
    <t>FIS</t>
  </si>
  <si>
    <t>FISI</t>
  </si>
  <si>
    <t>FISV</t>
  </si>
  <si>
    <t>FIT</t>
  </si>
  <si>
    <t>FITB</t>
  </si>
  <si>
    <t>FIVE</t>
  </si>
  <si>
    <t>FIVN</t>
  </si>
  <si>
    <t>FIX</t>
  </si>
  <si>
    <t>FIZZ</t>
  </si>
  <si>
    <t>FL</t>
  </si>
  <si>
    <t>FLIC</t>
  </si>
  <si>
    <t>FLIR</t>
  </si>
  <si>
    <t>FLL</t>
  </si>
  <si>
    <t>FLNT</t>
  </si>
  <si>
    <t>FLO</t>
  </si>
  <si>
    <t>FLOW</t>
  </si>
  <si>
    <t>FLR</t>
  </si>
  <si>
    <t>FLS</t>
  </si>
  <si>
    <t>FLT</t>
  </si>
  <si>
    <t>FLWS</t>
  </si>
  <si>
    <t>FLXN</t>
  </si>
  <si>
    <t>FLXS</t>
  </si>
  <si>
    <t>FMAO</t>
  </si>
  <si>
    <t>FMBH</t>
  </si>
  <si>
    <t>FMBI</t>
  </si>
  <si>
    <t>FMC</t>
  </si>
  <si>
    <t>FMNB</t>
  </si>
  <si>
    <t>FN</t>
  </si>
  <si>
    <t>FNB</t>
  </si>
  <si>
    <t>FNCB</t>
  </si>
  <si>
    <t>FND</t>
  </si>
  <si>
    <t>FNF</t>
  </si>
  <si>
    <t>FNHC</t>
  </si>
  <si>
    <t>FNKO</t>
  </si>
  <si>
    <t>FNLC</t>
  </si>
  <si>
    <t>FNWB</t>
  </si>
  <si>
    <t>FOCS</t>
  </si>
  <si>
    <t>FOE</t>
  </si>
  <si>
    <t>FOLD</t>
  </si>
  <si>
    <t>FONR</t>
  </si>
  <si>
    <t>FOR</t>
  </si>
  <si>
    <t>FORD</t>
  </si>
  <si>
    <t>FORM</t>
  </si>
  <si>
    <t>FORR</t>
  </si>
  <si>
    <t>FOSL</t>
  </si>
  <si>
    <t>FOX</t>
  </si>
  <si>
    <t>FOXA</t>
  </si>
  <si>
    <t>FOXF</t>
  </si>
  <si>
    <t>FPI</t>
  </si>
  <si>
    <t>FPRX</t>
  </si>
  <si>
    <t>FR</t>
  </si>
  <si>
    <t>FRAF</t>
  </si>
  <si>
    <t>FRAN</t>
  </si>
  <si>
    <t>FRBA</t>
  </si>
  <si>
    <t>FRBK</t>
  </si>
  <si>
    <t>FRC</t>
  </si>
  <si>
    <t>FRD</t>
  </si>
  <si>
    <t>FRGI</t>
  </si>
  <si>
    <t>FRME</t>
  </si>
  <si>
    <t>FRPH</t>
  </si>
  <si>
    <t>FRPT</t>
  </si>
  <si>
    <t>FRT</t>
  </si>
  <si>
    <t>FRTA</t>
  </si>
  <si>
    <t>FSBW</t>
  </si>
  <si>
    <t>FSCT</t>
  </si>
  <si>
    <t>FSFG</t>
  </si>
  <si>
    <t>FSLR</t>
  </si>
  <si>
    <t>FSLY</t>
  </si>
  <si>
    <t>FSP</t>
  </si>
  <si>
    <t>FSS</t>
  </si>
  <si>
    <t>FSTR</t>
  </si>
  <si>
    <t>FTDR</t>
  </si>
  <si>
    <t>FTEK</t>
  </si>
  <si>
    <t>FTI</t>
  </si>
  <si>
    <t>FTK</t>
  </si>
  <si>
    <t>FTNT</t>
  </si>
  <si>
    <t>FTSI</t>
  </si>
  <si>
    <t>FTV</t>
  </si>
  <si>
    <t>FUL</t>
  </si>
  <si>
    <t>FULT</t>
  </si>
  <si>
    <t>FUNC</t>
  </si>
  <si>
    <t>FUSB</t>
  </si>
  <si>
    <t>FVE</t>
  </si>
  <si>
    <t>FWONA</t>
  </si>
  <si>
    <t>FWONK</t>
  </si>
  <si>
    <t>FWRD</t>
  </si>
  <si>
    <t>G</t>
  </si>
  <si>
    <t>GABC</t>
  </si>
  <si>
    <t>GAIA</t>
  </si>
  <si>
    <t>GALT</t>
  </si>
  <si>
    <t>GATX</t>
  </si>
  <si>
    <t>GBCI</t>
  </si>
  <si>
    <t>GBL</t>
  </si>
  <si>
    <t>GBLI</t>
  </si>
  <si>
    <t>GBT</t>
  </si>
  <si>
    <t>GBX</t>
  </si>
  <si>
    <t>GCBC</t>
  </si>
  <si>
    <t>GCI</t>
  </si>
  <si>
    <t>GCO</t>
  </si>
  <si>
    <t>GCP</t>
  </si>
  <si>
    <t>GD</t>
  </si>
  <si>
    <t>GDDY</t>
  </si>
  <si>
    <t>GDEN</t>
  </si>
  <si>
    <t>GDOT</t>
  </si>
  <si>
    <t>GDP</t>
  </si>
  <si>
    <t>GE</t>
  </si>
  <si>
    <t>GEC</t>
  </si>
  <si>
    <t>GEF</t>
  </si>
  <si>
    <t>GEN</t>
  </si>
  <si>
    <t>GENC</t>
  </si>
  <si>
    <t>GEO</t>
  </si>
  <si>
    <t>GEOS</t>
  </si>
  <si>
    <t>GERN</t>
  </si>
  <si>
    <t>GES</t>
  </si>
  <si>
    <t>GEVO</t>
  </si>
  <si>
    <t>GFED</t>
  </si>
  <si>
    <t>GFF</t>
  </si>
  <si>
    <t>GFN</t>
  </si>
  <si>
    <t>GGG</t>
  </si>
  <si>
    <t>GH</t>
  </si>
  <si>
    <t>GHC</t>
  </si>
  <si>
    <t>GHL</t>
  </si>
  <si>
    <t>GHM</t>
  </si>
  <si>
    <t>GIFI</t>
  </si>
  <si>
    <t>GIII</t>
  </si>
  <si>
    <t>GILD</t>
  </si>
  <si>
    <t>GIS</t>
  </si>
  <si>
    <t>GKOS</t>
  </si>
  <si>
    <t>GL</t>
  </si>
  <si>
    <t>GLBZ</t>
  </si>
  <si>
    <t>GLDD</t>
  </si>
  <si>
    <t>GLIBA</t>
  </si>
  <si>
    <t>GLPI</t>
  </si>
  <si>
    <t>GLRE</t>
  </si>
  <si>
    <t>GLT</t>
  </si>
  <si>
    <t>GLUU</t>
  </si>
  <si>
    <t>GLW</t>
  </si>
  <si>
    <t>GLYC</t>
  </si>
  <si>
    <t>GM</t>
  </si>
  <si>
    <t>GME</t>
  </si>
  <si>
    <t>GMED</t>
  </si>
  <si>
    <t>GMRE</t>
  </si>
  <si>
    <t>GMS</t>
  </si>
  <si>
    <t>GNCA</t>
  </si>
  <si>
    <t>GNE</t>
  </si>
  <si>
    <t>GNK</t>
  </si>
  <si>
    <t>GNL</t>
  </si>
  <si>
    <t>GNMK</t>
  </si>
  <si>
    <t>GNRC</t>
  </si>
  <si>
    <t>GNTX</t>
  </si>
  <si>
    <t>GNTY</t>
  </si>
  <si>
    <t>GNW</t>
  </si>
  <si>
    <t>GOGO</t>
  </si>
  <si>
    <t>GOLF</t>
  </si>
  <si>
    <t>GOOD</t>
  </si>
  <si>
    <t>GOOG</t>
  </si>
  <si>
    <t>GOOGL</t>
  </si>
  <si>
    <t>GORO</t>
  </si>
  <si>
    <t>GOSS</t>
  </si>
  <si>
    <t>GPC</t>
  </si>
  <si>
    <t>GPI</t>
  </si>
  <si>
    <t>GPK</t>
  </si>
  <si>
    <t>GPMT</t>
  </si>
  <si>
    <t>GPN</t>
  </si>
  <si>
    <t>GPOR</t>
  </si>
  <si>
    <t>GPRE</t>
  </si>
  <si>
    <t>GPRO</t>
  </si>
  <si>
    <t>GPS</t>
  </si>
  <si>
    <t>GPX</t>
  </si>
  <si>
    <t>GRA</t>
  </si>
  <si>
    <t>GRBK</t>
  </si>
  <si>
    <t>GRC</t>
  </si>
  <si>
    <t>GRIF</t>
  </si>
  <si>
    <t>GRMN</t>
  </si>
  <si>
    <t>GROW</t>
  </si>
  <si>
    <t>GRPN</t>
  </si>
  <si>
    <t>GRTS</t>
  </si>
  <si>
    <t>GRUB</t>
  </si>
  <si>
    <t>GS</t>
  </si>
  <si>
    <t>GSAT</t>
  </si>
  <si>
    <t>GSBC</t>
  </si>
  <si>
    <t>GSHD</t>
  </si>
  <si>
    <t>GSIT</t>
  </si>
  <si>
    <t>GSKY</t>
  </si>
  <si>
    <t>GT</t>
  </si>
  <si>
    <t>GTES</t>
  </si>
  <si>
    <t>GTHX</t>
  </si>
  <si>
    <t>GTIM</t>
  </si>
  <si>
    <t>GTLS</t>
  </si>
  <si>
    <t>GTN</t>
  </si>
  <si>
    <t>GTS</t>
  </si>
  <si>
    <t>GTT</t>
  </si>
  <si>
    <t>GTX</t>
  </si>
  <si>
    <t>GTY</t>
  </si>
  <si>
    <t>GTYH</t>
  </si>
  <si>
    <t>GV</t>
  </si>
  <si>
    <t>GVA</t>
  </si>
  <si>
    <t>GVP</t>
  </si>
  <si>
    <t>GWB</t>
  </si>
  <si>
    <t>GWGH</t>
  </si>
  <si>
    <t>GWRE</t>
  </si>
  <si>
    <t>GWRS</t>
  </si>
  <si>
    <t>GWW</t>
  </si>
  <si>
    <t>H</t>
  </si>
  <si>
    <t>HA</t>
  </si>
  <si>
    <t>HAE</t>
  </si>
  <si>
    <t>HAFC</t>
  </si>
  <si>
    <t>HAIN</t>
  </si>
  <si>
    <t>HAL</t>
  </si>
  <si>
    <t>HALL</t>
  </si>
  <si>
    <t>HALO</t>
  </si>
  <si>
    <t>HAS</t>
  </si>
  <si>
    <t>HASI</t>
  </si>
  <si>
    <t>HAYN</t>
  </si>
  <si>
    <t>HBAN</t>
  </si>
  <si>
    <t>HBB</t>
  </si>
  <si>
    <t>HBCP</t>
  </si>
  <si>
    <t>HBI</t>
  </si>
  <si>
    <t>HBIO</t>
  </si>
  <si>
    <t>HBMD</t>
  </si>
  <si>
    <t>HBNC</t>
  </si>
  <si>
    <t>HBP</t>
  </si>
  <si>
    <t>HCA</t>
  </si>
  <si>
    <t>HCC</t>
  </si>
  <si>
    <t>HCCI</t>
  </si>
  <si>
    <t>HCHC</t>
  </si>
  <si>
    <t>HCI</t>
  </si>
  <si>
    <t>HCKT</t>
  </si>
  <si>
    <t>HCP</t>
  </si>
  <si>
    <t>HCSG</t>
  </si>
  <si>
    <t>HD</t>
  </si>
  <si>
    <t>HDS</t>
  </si>
  <si>
    <t>HDSN</t>
  </si>
  <si>
    <t>HE</t>
  </si>
  <si>
    <t>HEAR</t>
  </si>
  <si>
    <t>HEES</t>
  </si>
  <si>
    <t>HEI</t>
  </si>
  <si>
    <t>HELE</t>
  </si>
  <si>
    <t>HEPA</t>
  </si>
  <si>
    <t>HES</t>
  </si>
  <si>
    <t>HFBL</t>
  </si>
  <si>
    <t>HFWA</t>
  </si>
  <si>
    <t>HGV</t>
  </si>
  <si>
    <t>HHC</t>
  </si>
  <si>
    <t>HHS</t>
  </si>
  <si>
    <t>HI</t>
  </si>
  <si>
    <t>HIBB</t>
  </si>
  <si>
    <t>HIFS</t>
  </si>
  <si>
    <t>HIG</t>
  </si>
  <si>
    <t>HII</t>
  </si>
  <si>
    <t>HIL</t>
  </si>
  <si>
    <t>HIW</t>
  </si>
  <si>
    <t>HL</t>
  </si>
  <si>
    <t>HLF</t>
  </si>
  <si>
    <t>HLI</t>
  </si>
  <si>
    <t>HLIO</t>
  </si>
  <si>
    <t>HLIT</t>
  </si>
  <si>
    <t>HLNE</t>
  </si>
  <si>
    <t>HLT</t>
  </si>
  <si>
    <t>HLX</t>
  </si>
  <si>
    <t>HMHC</t>
  </si>
  <si>
    <t>HMN</t>
  </si>
  <si>
    <t>HMNF</t>
  </si>
  <si>
    <t>HMST</t>
  </si>
  <si>
    <t>HMSY</t>
  </si>
  <si>
    <t>HMTV</t>
  </si>
  <si>
    <t>HNGR</t>
  </si>
  <si>
    <t>HNI</t>
  </si>
  <si>
    <t>HNRG</t>
  </si>
  <si>
    <t>HOFT</t>
  </si>
  <si>
    <t>HOG</t>
  </si>
  <si>
    <t>HOLX</t>
  </si>
  <si>
    <t>HOMB</t>
  </si>
  <si>
    <t>HOME</t>
  </si>
  <si>
    <t>HON</t>
  </si>
  <si>
    <t>HONE</t>
  </si>
  <si>
    <t>HOPE</t>
  </si>
  <si>
    <t>HOS</t>
  </si>
  <si>
    <t>HOV</t>
  </si>
  <si>
    <t>HP</t>
  </si>
  <si>
    <t>HPE</t>
  </si>
  <si>
    <t>HPP</t>
  </si>
  <si>
    <t>HPQ</t>
  </si>
  <si>
    <t>HPR</t>
  </si>
  <si>
    <t>HQY</t>
  </si>
  <si>
    <t>HR</t>
  </si>
  <si>
    <t>HRB</t>
  </si>
  <si>
    <t>HRC</t>
  </si>
  <si>
    <t>HRI</t>
  </si>
  <si>
    <t>HRL</t>
  </si>
  <si>
    <t>HROW</t>
  </si>
  <si>
    <t>HRTG</t>
  </si>
  <si>
    <t>HRTX</t>
  </si>
  <si>
    <t>HSDT</t>
  </si>
  <si>
    <t>HSIC</t>
  </si>
  <si>
    <t>HSII</t>
  </si>
  <si>
    <t>HSKA</t>
  </si>
  <si>
    <t>HSON</t>
  </si>
  <si>
    <t>HST</t>
  </si>
  <si>
    <t>HSTM</t>
  </si>
  <si>
    <t>HSY</t>
  </si>
  <si>
    <t>HT</t>
  </si>
  <si>
    <t>HTBI</t>
  </si>
  <si>
    <t>HTBK</t>
  </si>
  <si>
    <t>HTBX</t>
  </si>
  <si>
    <t>HTGM</t>
  </si>
  <si>
    <t>HTH</t>
  </si>
  <si>
    <t>HTLD</t>
  </si>
  <si>
    <t>HTLF</t>
  </si>
  <si>
    <t>HTZ</t>
  </si>
  <si>
    <t>HUBB</t>
  </si>
  <si>
    <t>HUBG</t>
  </si>
  <si>
    <t>HUBS</t>
  </si>
  <si>
    <t>HUM</t>
  </si>
  <si>
    <t>HUN</t>
  </si>
  <si>
    <t>HURC</t>
  </si>
  <si>
    <t>HURN</t>
  </si>
  <si>
    <t>HUSA</t>
  </si>
  <si>
    <t>HVT</t>
  </si>
  <si>
    <t>HWBK</t>
  </si>
  <si>
    <t>HWC</t>
  </si>
  <si>
    <t>HWCC</t>
  </si>
  <si>
    <t>HWKN</t>
  </si>
  <si>
    <t>HXL</t>
  </si>
  <si>
    <t>HY</t>
  </si>
  <si>
    <t>HZN</t>
  </si>
  <si>
    <t>HZNP</t>
  </si>
  <si>
    <t>HZO</t>
  </si>
  <si>
    <t>IAA</t>
  </si>
  <si>
    <t>IAC</t>
  </si>
  <si>
    <t>IART</t>
  </si>
  <si>
    <t>IBCP</t>
  </si>
  <si>
    <t>IBIO</t>
  </si>
  <si>
    <t>IBKR</t>
  </si>
  <si>
    <t>IBM</t>
  </si>
  <si>
    <t>IBOC</t>
  </si>
  <si>
    <t>IBP</t>
  </si>
  <si>
    <t>IBTX</t>
  </si>
  <si>
    <t>ICAD</t>
  </si>
  <si>
    <t>ICBK</t>
  </si>
  <si>
    <t>ICCC</t>
  </si>
  <si>
    <t>ICD</t>
  </si>
  <si>
    <t>ICE</t>
  </si>
  <si>
    <t>ICFI</t>
  </si>
  <si>
    <t>ICHR</t>
  </si>
  <si>
    <t>ICON</t>
  </si>
  <si>
    <t>ICPT</t>
  </si>
  <si>
    <t>ICUI</t>
  </si>
  <si>
    <t>IDA</t>
  </si>
  <si>
    <t>IDCC</t>
  </si>
  <si>
    <t>IDN</t>
  </si>
  <si>
    <t>IDT</t>
  </si>
  <si>
    <t>IDXG</t>
  </si>
  <si>
    <t>IDXX</t>
  </si>
  <si>
    <t>IEC</t>
  </si>
  <si>
    <t>IESC</t>
  </si>
  <si>
    <t>IEX</t>
  </si>
  <si>
    <t>IFF</t>
  </si>
  <si>
    <t>IHC</t>
  </si>
  <si>
    <t>III</t>
  </si>
  <si>
    <t>IIIN</t>
  </si>
  <si>
    <t>IIIV</t>
  </si>
  <si>
    <t>IIN</t>
  </si>
  <si>
    <t>IIPR</t>
  </si>
  <si>
    <t>IIVI</t>
  </si>
  <si>
    <t>ILMN</t>
  </si>
  <si>
    <t>ILPT</t>
  </si>
  <si>
    <t>IMBI</t>
  </si>
  <si>
    <t>IMGN</t>
  </si>
  <si>
    <t>IMH</t>
  </si>
  <si>
    <t>IMKTA</t>
  </si>
  <si>
    <t>IMMR</t>
  </si>
  <si>
    <t>IMUX</t>
  </si>
  <si>
    <t>IMXI</t>
  </si>
  <si>
    <t>INBK</t>
  </si>
  <si>
    <t>INCY</t>
  </si>
  <si>
    <t>INDB</t>
  </si>
  <si>
    <t>INFI</t>
  </si>
  <si>
    <t>INFN</t>
  </si>
  <si>
    <t>INFO</t>
  </si>
  <si>
    <t>INFU</t>
  </si>
  <si>
    <t>INGN</t>
  </si>
  <si>
    <t>INGR</t>
  </si>
  <si>
    <t>INN</t>
  </si>
  <si>
    <t>INO</t>
  </si>
  <si>
    <t>INOD</t>
  </si>
  <si>
    <t>INOV</t>
  </si>
  <si>
    <t>INS</t>
  </si>
  <si>
    <t>INSE</t>
  </si>
  <si>
    <t>INSG</t>
  </si>
  <si>
    <t>INSM</t>
  </si>
  <si>
    <t>INSP</t>
  </si>
  <si>
    <t>INST</t>
  </si>
  <si>
    <t>INSW</t>
  </si>
  <si>
    <t>INTC</t>
  </si>
  <si>
    <t>INTG</t>
  </si>
  <si>
    <t>INTL</t>
  </si>
  <si>
    <t>INTT</t>
  </si>
  <si>
    <t>INTU</t>
  </si>
  <si>
    <t>INUV</t>
  </si>
  <si>
    <t>INVA</t>
  </si>
  <si>
    <t>INVE</t>
  </si>
  <si>
    <t>INVH</t>
  </si>
  <si>
    <t>IO</t>
  </si>
  <si>
    <t>IONS</t>
  </si>
  <si>
    <t>IOR</t>
  </si>
  <si>
    <t>IOSP</t>
  </si>
  <si>
    <t>IOVA</t>
  </si>
  <si>
    <t>IP</t>
  </si>
  <si>
    <t>IPAR</t>
  </si>
  <si>
    <t>IPG</t>
  </si>
  <si>
    <t>IPGP</t>
  </si>
  <si>
    <t>IPHI</t>
  </si>
  <si>
    <t>IPI</t>
  </si>
  <si>
    <t>IPWR</t>
  </si>
  <si>
    <t>IQV</t>
  </si>
  <si>
    <t>IR</t>
  </si>
  <si>
    <t>IRBT</t>
  </si>
  <si>
    <t>IRDM</t>
  </si>
  <si>
    <t>IRET</t>
  </si>
  <si>
    <t>IRIX</t>
  </si>
  <si>
    <t>IRM</t>
  </si>
  <si>
    <t>IRMD</t>
  </si>
  <si>
    <t>IROQ</t>
  </si>
  <si>
    <t>IRT</t>
  </si>
  <si>
    <t>IRTC</t>
  </si>
  <si>
    <t>IRWD</t>
  </si>
  <si>
    <t>ISBC</t>
  </si>
  <si>
    <t>ISDR</t>
  </si>
  <si>
    <t>ISEE</t>
  </si>
  <si>
    <t>ISNS</t>
  </si>
  <si>
    <t>ISRG</t>
  </si>
  <si>
    <t>ISRL</t>
  </si>
  <si>
    <t>ISSC</t>
  </si>
  <si>
    <t>ISTR</t>
  </si>
  <si>
    <t>IT</t>
  </si>
  <si>
    <t>ITCI</t>
  </si>
  <si>
    <t>ITGR</t>
  </si>
  <si>
    <t>ITI</t>
  </si>
  <si>
    <t>ITIC</t>
  </si>
  <si>
    <t>ITRI</t>
  </si>
  <si>
    <t>ITT</t>
  </si>
  <si>
    <t>ITW</t>
  </si>
  <si>
    <t>IVAC</t>
  </si>
  <si>
    <t>IVC</t>
  </si>
  <si>
    <t>IVR</t>
  </si>
  <si>
    <t>IVZ</t>
  </si>
  <si>
    <t>IZEA</t>
  </si>
  <si>
    <t>JACK</t>
  </si>
  <si>
    <t>JAGX</t>
  </si>
  <si>
    <t>JAKK</t>
  </si>
  <si>
    <t>JAX</t>
  </si>
  <si>
    <t>JAZZ</t>
  </si>
  <si>
    <t>JBGS</t>
  </si>
  <si>
    <t>JBHT</t>
  </si>
  <si>
    <t>JBL</t>
  </si>
  <si>
    <t>JBLU</t>
  </si>
  <si>
    <t>JBSS</t>
  </si>
  <si>
    <t>JBT</t>
  </si>
  <si>
    <t>JCI</t>
  </si>
  <si>
    <t>JCS</t>
  </si>
  <si>
    <t>JCTCF</t>
  </si>
  <si>
    <t>JEF</t>
  </si>
  <si>
    <t>JELD</t>
  </si>
  <si>
    <t>JHG</t>
  </si>
  <si>
    <t>JILL</t>
  </si>
  <si>
    <t>JJSF</t>
  </si>
  <si>
    <t>JKHY</t>
  </si>
  <si>
    <t>JLL</t>
  </si>
  <si>
    <t>JNCE</t>
  </si>
  <si>
    <t>JNJ</t>
  </si>
  <si>
    <t>JNPR</t>
  </si>
  <si>
    <t>JOB</t>
  </si>
  <si>
    <t>JOE</t>
  </si>
  <si>
    <t>JOUT</t>
  </si>
  <si>
    <t>JPM</t>
  </si>
  <si>
    <t>JRVR</t>
  </si>
  <si>
    <t>JVA</t>
  </si>
  <si>
    <t>JWN</t>
  </si>
  <si>
    <t>JYNT</t>
  </si>
  <si>
    <t>K</t>
  </si>
  <si>
    <t>KAI</t>
  </si>
  <si>
    <t>KALA</t>
  </si>
  <si>
    <t>KALU</t>
  </si>
  <si>
    <t>KALV</t>
  </si>
  <si>
    <t>KAMN</t>
  </si>
  <si>
    <t>KAR</t>
  </si>
  <si>
    <t>KBAL</t>
  </si>
  <si>
    <t>KBH</t>
  </si>
  <si>
    <t>KBR</t>
  </si>
  <si>
    <t>KDMN</t>
  </si>
  <si>
    <t>KDP</t>
  </si>
  <si>
    <t>KE</t>
  </si>
  <si>
    <t>KELYA</t>
  </si>
  <si>
    <t>KEM</t>
  </si>
  <si>
    <t>KEQU</t>
  </si>
  <si>
    <t>KEX</t>
  </si>
  <si>
    <t>KEY</t>
  </si>
  <si>
    <t>KEYS</t>
  </si>
  <si>
    <t>KFFB</t>
  </si>
  <si>
    <t>KFRC</t>
  </si>
  <si>
    <t>KFY</t>
  </si>
  <si>
    <t>KHC</t>
  </si>
  <si>
    <t>KIDS</t>
  </si>
  <si>
    <t>KIM</t>
  </si>
  <si>
    <t>KIN</t>
  </si>
  <si>
    <t>KINS</t>
  </si>
  <si>
    <t>KIRK</t>
  </si>
  <si>
    <t>KKR</t>
  </si>
  <si>
    <t>KLAC</t>
  </si>
  <si>
    <t>KLIC</t>
  </si>
  <si>
    <t>KLXE</t>
  </si>
  <si>
    <t>KMB</t>
  </si>
  <si>
    <t>KMI</t>
  </si>
  <si>
    <t>KMPH</t>
  </si>
  <si>
    <t>KMPR</t>
  </si>
  <si>
    <t>KMT</t>
  </si>
  <si>
    <t>KMX</t>
  </si>
  <si>
    <t>KN</t>
  </si>
  <si>
    <t>KNL</t>
  </si>
  <si>
    <t>KNSA</t>
  </si>
  <si>
    <t>KNSL</t>
  </si>
  <si>
    <t>KNX</t>
  </si>
  <si>
    <t>KO</t>
  </si>
  <si>
    <t>KOD</t>
  </si>
  <si>
    <t>KODK</t>
  </si>
  <si>
    <t>KOOL</t>
  </si>
  <si>
    <t>KOP</t>
  </si>
  <si>
    <t>KOPN</t>
  </si>
  <si>
    <t>KOS</t>
  </si>
  <si>
    <t>KPTI</t>
  </si>
  <si>
    <t>KR</t>
  </si>
  <si>
    <t>KRA</t>
  </si>
  <si>
    <t>KRC</t>
  </si>
  <si>
    <t>KREF</t>
  </si>
  <si>
    <t>KRG</t>
  </si>
  <si>
    <t>KRNY</t>
  </si>
  <si>
    <t>KRO</t>
  </si>
  <si>
    <t>KRYS</t>
  </si>
  <si>
    <t>KSS</t>
  </si>
  <si>
    <t>KSU</t>
  </si>
  <si>
    <t>KTB</t>
  </si>
  <si>
    <t>KTCC</t>
  </si>
  <si>
    <t>KTOS</t>
  </si>
  <si>
    <t>KURA</t>
  </si>
  <si>
    <t>KVHI</t>
  </si>
  <si>
    <t>KW</t>
  </si>
  <si>
    <t>KWR</t>
  </si>
  <si>
    <t>KZR</t>
  </si>
  <si>
    <t>L</t>
  </si>
  <si>
    <t>LAD</t>
  </si>
  <si>
    <t>LADR</t>
  </si>
  <si>
    <t>LAKE</t>
  </si>
  <si>
    <t>LAMR</t>
  </si>
  <si>
    <t>LANC</t>
  </si>
  <si>
    <t>LAND</t>
  </si>
  <si>
    <t>LARK</t>
  </si>
  <si>
    <t>LASR</t>
  </si>
  <si>
    <t>LAUR</t>
  </si>
  <si>
    <t>LAZ</t>
  </si>
  <si>
    <t>LB</t>
  </si>
  <si>
    <t>LBAI</t>
  </si>
  <si>
    <t>LBC</t>
  </si>
  <si>
    <t>LBRDA</t>
  </si>
  <si>
    <t>LBRDK</t>
  </si>
  <si>
    <t>LBRT</t>
  </si>
  <si>
    <t>LBTYA</t>
  </si>
  <si>
    <t>LBTYK</t>
  </si>
  <si>
    <t>LC</t>
  </si>
  <si>
    <t>LCI</t>
  </si>
  <si>
    <t>LCII</t>
  </si>
  <si>
    <t>LCNB</t>
  </si>
  <si>
    <t>LCTX</t>
  </si>
  <si>
    <t>LCUT</t>
  </si>
  <si>
    <t>LDL</t>
  </si>
  <si>
    <t>LDOS</t>
  </si>
  <si>
    <t>LE</t>
  </si>
  <si>
    <t>LEA</t>
  </si>
  <si>
    <t>LEAF</t>
  </si>
  <si>
    <t>LECO</t>
  </si>
  <si>
    <t>LEE</t>
  </si>
  <si>
    <t>LEG</t>
  </si>
  <si>
    <t>LEGH</t>
  </si>
  <si>
    <t>LEN</t>
  </si>
  <si>
    <t>LEU</t>
  </si>
  <si>
    <t>LEVI</t>
  </si>
  <si>
    <t>LFUS</t>
  </si>
  <si>
    <t>LFVN</t>
  </si>
  <si>
    <t>LGIH</t>
  </si>
  <si>
    <t>LGL</t>
  </si>
  <si>
    <t>LGND</t>
  </si>
  <si>
    <t>LH</t>
  </si>
  <si>
    <t>LHCG</t>
  </si>
  <si>
    <t>LHX</t>
  </si>
  <si>
    <t>LII</t>
  </si>
  <si>
    <t>LILA</t>
  </si>
  <si>
    <t>LILAK</t>
  </si>
  <si>
    <t>LIN</t>
  </si>
  <si>
    <t>LINC</t>
  </si>
  <si>
    <t>LIND</t>
  </si>
  <si>
    <t>LIQT</t>
  </si>
  <si>
    <t>LITE</t>
  </si>
  <si>
    <t>LIVE</t>
  </si>
  <si>
    <t>LIVN</t>
  </si>
  <si>
    <t>LIVX</t>
  </si>
  <si>
    <t>LJPC</t>
  </si>
  <si>
    <t>LKFN</t>
  </si>
  <si>
    <t>LKQ</t>
  </si>
  <si>
    <t>LL</t>
  </si>
  <si>
    <t>LLY</t>
  </si>
  <si>
    <t>LMAT</t>
  </si>
  <si>
    <t>LMFA</t>
  </si>
  <si>
    <t>LMNR</t>
  </si>
  <si>
    <t>LMNX</t>
  </si>
  <si>
    <t>LMST</t>
  </si>
  <si>
    <t>LMT</t>
  </si>
  <si>
    <t>LNC</t>
  </si>
  <si>
    <t>LNG</t>
  </si>
  <si>
    <t>LNN</t>
  </si>
  <si>
    <t>LNT</t>
  </si>
  <si>
    <t>LNTH</t>
  </si>
  <si>
    <t>LOAN</t>
  </si>
  <si>
    <t>LOB</t>
  </si>
  <si>
    <t>LOCO</t>
  </si>
  <si>
    <t>LODE</t>
  </si>
  <si>
    <t>LONE</t>
  </si>
  <si>
    <t>LOOP</t>
  </si>
  <si>
    <t>LOPE</t>
  </si>
  <si>
    <t>LORL</t>
  </si>
  <si>
    <t>LOVE</t>
  </si>
  <si>
    <t>LOW</t>
  </si>
  <si>
    <t>LPCN</t>
  </si>
  <si>
    <t>LPG</t>
  </si>
  <si>
    <t>LPLA</t>
  </si>
  <si>
    <t>LPSN</t>
  </si>
  <si>
    <t>LPTH</t>
  </si>
  <si>
    <t>LPX</t>
  </si>
  <si>
    <t>LQDA</t>
  </si>
  <si>
    <t>LQDT</t>
  </si>
  <si>
    <t>LRCX</t>
  </si>
  <si>
    <t>LRN</t>
  </si>
  <si>
    <t>LSBK</t>
  </si>
  <si>
    <t>LSCC</t>
  </si>
  <si>
    <t>LSI</t>
  </si>
  <si>
    <t>LSTR</t>
  </si>
  <si>
    <t>LSXMA</t>
  </si>
  <si>
    <t>LSXMK</t>
  </si>
  <si>
    <t>LTBR</t>
  </si>
  <si>
    <t>LTC</t>
  </si>
  <si>
    <t>LTHM</t>
  </si>
  <si>
    <t>LTRPA</t>
  </si>
  <si>
    <t>LTRX</t>
  </si>
  <si>
    <t>LUB</t>
  </si>
  <si>
    <t>LULU</t>
  </si>
  <si>
    <t>LUNA</t>
  </si>
  <si>
    <t>LUV</t>
  </si>
  <si>
    <t>LVS</t>
  </si>
  <si>
    <t>LW</t>
  </si>
  <si>
    <t>LWAY</t>
  </si>
  <si>
    <t>LXP</t>
  </si>
  <si>
    <t>LXRX</t>
  </si>
  <si>
    <t>LXU</t>
  </si>
  <si>
    <t>LYB</t>
  </si>
  <si>
    <t>LYFT</t>
  </si>
  <si>
    <t>LYTS</t>
  </si>
  <si>
    <t>LYV</t>
  </si>
  <si>
    <t>LZB</t>
  </si>
  <si>
    <t>M</t>
  </si>
  <si>
    <t>MA</t>
  </si>
  <si>
    <t>MAA</t>
  </si>
  <si>
    <t>MAC</t>
  </si>
  <si>
    <t>MACK</t>
  </si>
  <si>
    <t>MAN</t>
  </si>
  <si>
    <t>MANH</t>
  </si>
  <si>
    <t>MANT</t>
  </si>
  <si>
    <t>MAR</t>
  </si>
  <si>
    <t>MARA</t>
  </si>
  <si>
    <t>MARK</t>
  </si>
  <si>
    <t>MAS</t>
  </si>
  <si>
    <t>MASI</t>
  </si>
  <si>
    <t>MAT</t>
  </si>
  <si>
    <t>MATW</t>
  </si>
  <si>
    <t>MATX</t>
  </si>
  <si>
    <t>MAYS</t>
  </si>
  <si>
    <t>MBCN</t>
  </si>
  <si>
    <t>MBI</t>
  </si>
  <si>
    <t>MBII</t>
  </si>
  <si>
    <t>MBIN</t>
  </si>
  <si>
    <t>MBIO</t>
  </si>
  <si>
    <t>MBOT</t>
  </si>
  <si>
    <t>MBUU</t>
  </si>
  <si>
    <t>MBWM</t>
  </si>
  <si>
    <t>MC</t>
  </si>
  <si>
    <t>MCB</t>
  </si>
  <si>
    <t>MCBC</t>
  </si>
  <si>
    <t>MCD</t>
  </si>
  <si>
    <t>MCF</t>
  </si>
  <si>
    <t>MCFT</t>
  </si>
  <si>
    <t>MCHP</t>
  </si>
  <si>
    <t>MCHX</t>
  </si>
  <si>
    <t>MCK</t>
  </si>
  <si>
    <t>MCO</t>
  </si>
  <si>
    <t>MCRB</t>
  </si>
  <si>
    <t>MCRI</t>
  </si>
  <si>
    <t>MCS</t>
  </si>
  <si>
    <t>MCY</t>
  </si>
  <si>
    <t>MD</t>
  </si>
  <si>
    <t>MDB</t>
  </si>
  <si>
    <t>MDC</t>
  </si>
  <si>
    <t>MDGL</t>
  </si>
  <si>
    <t>MDLY</t>
  </si>
  <si>
    <t>MDLZ</t>
  </si>
  <si>
    <t>MDP</t>
  </si>
  <si>
    <t>MDRX</t>
  </si>
  <si>
    <t>MDT</t>
  </si>
  <si>
    <t>MDU</t>
  </si>
  <si>
    <t>MED</t>
  </si>
  <si>
    <t>MEDP</t>
  </si>
  <si>
    <t>MEI</t>
  </si>
  <si>
    <t>MEIP</t>
  </si>
  <si>
    <t>MERC</t>
  </si>
  <si>
    <t>MESA</t>
  </si>
  <si>
    <t>MET</t>
  </si>
  <si>
    <t>MFA</t>
  </si>
  <si>
    <t>MFNC</t>
  </si>
  <si>
    <t>MG</t>
  </si>
  <si>
    <t>MGEE</t>
  </si>
  <si>
    <t>MGI</t>
  </si>
  <si>
    <t>MGLN</t>
  </si>
  <si>
    <t>MGM</t>
  </si>
  <si>
    <t>MGNX</t>
  </si>
  <si>
    <t>MGPI</t>
  </si>
  <si>
    <t>MGRC</t>
  </si>
  <si>
    <t>MGY</t>
  </si>
  <si>
    <t>MGYR</t>
  </si>
  <si>
    <t>MHH</t>
  </si>
  <si>
    <t>MHK</t>
  </si>
  <si>
    <t>MHLD</t>
  </si>
  <si>
    <t>MHO</t>
  </si>
  <si>
    <t>MIC</t>
  </si>
  <si>
    <t>MICR</t>
  </si>
  <si>
    <t>MICT</t>
  </si>
  <si>
    <t>MIDD</t>
  </si>
  <si>
    <t>MIK</t>
  </si>
  <si>
    <t>MIND</t>
  </si>
  <si>
    <t>MITK</t>
  </si>
  <si>
    <t>MITT</t>
  </si>
  <si>
    <t>MKC</t>
  </si>
  <si>
    <t>MKL</t>
  </si>
  <si>
    <t>MKSI</t>
  </si>
  <si>
    <t>MKTX</t>
  </si>
  <si>
    <t>MLAB</t>
  </si>
  <si>
    <t>MLHR</t>
  </si>
  <si>
    <t>MLI</t>
  </si>
  <si>
    <t>MLM</t>
  </si>
  <si>
    <t>MLP</t>
  </si>
  <si>
    <t>MLR</t>
  </si>
  <si>
    <t>MLSS</t>
  </si>
  <si>
    <t>MLVF</t>
  </si>
  <si>
    <t>MMAC</t>
  </si>
  <si>
    <t>MMC</t>
  </si>
  <si>
    <t>MMI</t>
  </si>
  <si>
    <t>MMM</t>
  </si>
  <si>
    <t>MMS</t>
  </si>
  <si>
    <t>MMSI</t>
  </si>
  <si>
    <t>MN</t>
  </si>
  <si>
    <t>MNK</t>
  </si>
  <si>
    <t>MNKD</t>
  </si>
  <si>
    <t>MNOV</t>
  </si>
  <si>
    <t>MNR</t>
  </si>
  <si>
    <t>MNRL</t>
  </si>
  <si>
    <t>MNRO</t>
  </si>
  <si>
    <t>MNSB</t>
  </si>
  <si>
    <t>MNST</t>
  </si>
  <si>
    <t>MNTX</t>
  </si>
  <si>
    <t>MO</t>
  </si>
  <si>
    <t>MOBL</t>
  </si>
  <si>
    <t>MOD</t>
  </si>
  <si>
    <t>MODN</t>
  </si>
  <si>
    <t>MOFG</t>
  </si>
  <si>
    <t>MOH</t>
  </si>
  <si>
    <t>MORN</t>
  </si>
  <si>
    <t>MOS</t>
  </si>
  <si>
    <t>MOTS</t>
  </si>
  <si>
    <t>MOV</t>
  </si>
  <si>
    <t>MPAA</t>
  </si>
  <si>
    <t>MPB</t>
  </si>
  <si>
    <t>MPC</t>
  </si>
  <si>
    <t>MPW</t>
  </si>
  <si>
    <t>MPWR</t>
  </si>
  <si>
    <t>MPX</t>
  </si>
  <si>
    <t>MRAM</t>
  </si>
  <si>
    <t>MRBK</t>
  </si>
  <si>
    <t>MRC</t>
  </si>
  <si>
    <t>MRCY</t>
  </si>
  <si>
    <t>MRIN</t>
  </si>
  <si>
    <t>MRK</t>
  </si>
  <si>
    <t>MRKR</t>
  </si>
  <si>
    <t>MRLN</t>
  </si>
  <si>
    <t>MRNS</t>
  </si>
  <si>
    <t>MRO</t>
  </si>
  <si>
    <t>MRSN</t>
  </si>
  <si>
    <t>MRTN</t>
  </si>
  <si>
    <t>MRTX</t>
  </si>
  <si>
    <t>MRVL</t>
  </si>
  <si>
    <t>MS</t>
  </si>
  <si>
    <t>MSA</t>
  </si>
  <si>
    <t>MSBI</t>
  </si>
  <si>
    <t>MSCI</t>
  </si>
  <si>
    <t>MSEX</t>
  </si>
  <si>
    <t>MSFT</t>
  </si>
  <si>
    <t>MSGN</t>
  </si>
  <si>
    <t>MSI</t>
  </si>
  <si>
    <t>MSM</t>
  </si>
  <si>
    <t>MSN</t>
  </si>
  <si>
    <t>MSON</t>
  </si>
  <si>
    <t>MSTR</t>
  </si>
  <si>
    <t>MTB</t>
  </si>
  <si>
    <t>MTCH</t>
  </si>
  <si>
    <t>MTD</t>
  </si>
  <si>
    <t>MTDR</t>
  </si>
  <si>
    <t>MTEM</t>
  </si>
  <si>
    <t>MTEX</t>
  </si>
  <si>
    <t>MTG</t>
  </si>
  <si>
    <t>MTH</t>
  </si>
  <si>
    <t>MTN</t>
  </si>
  <si>
    <t>MTNB</t>
  </si>
  <si>
    <t>MTOR</t>
  </si>
  <si>
    <t>MTRN</t>
  </si>
  <si>
    <t>MTRX</t>
  </si>
  <si>
    <t>MTSC</t>
  </si>
  <si>
    <t>MTSI</t>
  </si>
  <si>
    <t>MTW</t>
  </si>
  <si>
    <t>MTX</t>
  </si>
  <si>
    <t>MTZ</t>
  </si>
  <si>
    <t>MU</t>
  </si>
  <si>
    <t>MUR</t>
  </si>
  <si>
    <t>MUSA</t>
  </si>
  <si>
    <t>MUX</t>
  </si>
  <si>
    <t>MVBF</t>
  </si>
  <si>
    <t>MVIS</t>
  </si>
  <si>
    <t>MWA</t>
  </si>
  <si>
    <t>MXIM</t>
  </si>
  <si>
    <t>MXL</t>
  </si>
  <si>
    <t>MYE</t>
  </si>
  <si>
    <t>MYGN</t>
  </si>
  <si>
    <t>MYRG</t>
  </si>
  <si>
    <t>NAII</t>
  </si>
  <si>
    <t>NATH</t>
  </si>
  <si>
    <t>NATI</t>
  </si>
  <si>
    <t>NATR</t>
  </si>
  <si>
    <t>NAV</t>
  </si>
  <si>
    <t>NAVB</t>
  </si>
  <si>
    <t>NAVI</t>
  </si>
  <si>
    <t>NBEV</t>
  </si>
  <si>
    <t>NBHC</t>
  </si>
  <si>
    <t>NBIX</t>
  </si>
  <si>
    <t>NBN</t>
  </si>
  <si>
    <t>NBR</t>
  </si>
  <si>
    <t>NBSE</t>
  </si>
  <si>
    <t>NBTB</t>
  </si>
  <si>
    <t>NBY</t>
  </si>
  <si>
    <t>NC</t>
  </si>
  <si>
    <t>NCBS</t>
  </si>
  <si>
    <t>NCI</t>
  </si>
  <si>
    <t>NCLH</t>
  </si>
  <si>
    <t>NCMI</t>
  </si>
  <si>
    <t>NCSM</t>
  </si>
  <si>
    <t>NDAQ</t>
  </si>
  <si>
    <t>NDLS</t>
  </si>
  <si>
    <t>NDSN</t>
  </si>
  <si>
    <t>NE</t>
  </si>
  <si>
    <t>NEE</t>
  </si>
  <si>
    <t>NEM</t>
  </si>
  <si>
    <t>NEO</t>
  </si>
  <si>
    <t>NEOG</t>
  </si>
  <si>
    <t>NEON</t>
  </si>
  <si>
    <t>NEOS</t>
  </si>
  <si>
    <t>NERV</t>
  </si>
  <si>
    <t>NETE</t>
  </si>
  <si>
    <t>NEU</t>
  </si>
  <si>
    <t>NEWR</t>
  </si>
  <si>
    <t>NFBK</t>
  </si>
  <si>
    <t>NFG</t>
  </si>
  <si>
    <t>NFLX</t>
  </si>
  <si>
    <t>NGHC</t>
  </si>
  <si>
    <t>NGS</t>
  </si>
  <si>
    <t>NGVC</t>
  </si>
  <si>
    <t>NGVT</t>
  </si>
  <si>
    <t>NHC</t>
  </si>
  <si>
    <t>NHI</t>
  </si>
  <si>
    <t>NHTC</t>
  </si>
  <si>
    <t>NI</t>
  </si>
  <si>
    <t>NICK</t>
  </si>
  <si>
    <t>NINE</t>
  </si>
  <si>
    <t>NJR</t>
  </si>
  <si>
    <t>NKE</t>
  </si>
  <si>
    <t>NKSH</t>
  </si>
  <si>
    <t>NKTR</t>
  </si>
  <si>
    <t>NL</t>
  </si>
  <si>
    <t>NLSN</t>
  </si>
  <si>
    <t>NLY</t>
  </si>
  <si>
    <t>NMIH</t>
  </si>
  <si>
    <t>NMRK</t>
  </si>
  <si>
    <t>NNBR</t>
  </si>
  <si>
    <t>NNI</t>
  </si>
  <si>
    <t>NNN</t>
  </si>
  <si>
    <t>NNVC</t>
  </si>
  <si>
    <t>NOC</t>
  </si>
  <si>
    <t>NODK</t>
  </si>
  <si>
    <t>NOG</t>
  </si>
  <si>
    <t>NOV</t>
  </si>
  <si>
    <t>NOVT</t>
  </si>
  <si>
    <t>NOW</t>
  </si>
  <si>
    <t>NP</t>
  </si>
  <si>
    <t>NPK</t>
  </si>
  <si>
    <t>NPO</t>
  </si>
  <si>
    <t>NPTN</t>
  </si>
  <si>
    <t>NR</t>
  </si>
  <si>
    <t>NRC</t>
  </si>
  <si>
    <t>NRG</t>
  </si>
  <si>
    <t>NRIM</t>
  </si>
  <si>
    <t>NSA</t>
  </si>
  <si>
    <t>NSC</t>
  </si>
  <si>
    <t>NSEC</t>
  </si>
  <si>
    <t>NSIT</t>
  </si>
  <si>
    <t>NSP</t>
  </si>
  <si>
    <t>NSSC</t>
  </si>
  <si>
    <t>NSTG</t>
  </si>
  <si>
    <t>NTAP</t>
  </si>
  <si>
    <t>NTCT</t>
  </si>
  <si>
    <t>NTGR</t>
  </si>
  <si>
    <t>NTIC</t>
  </si>
  <si>
    <t>NTIP</t>
  </si>
  <si>
    <t>NTLA</t>
  </si>
  <si>
    <t>NTNX</t>
  </si>
  <si>
    <t>NTRA</t>
  </si>
  <si>
    <t>NTRS</t>
  </si>
  <si>
    <t>NTUS</t>
  </si>
  <si>
    <t>NTWK</t>
  </si>
  <si>
    <t>NUAN</t>
  </si>
  <si>
    <t>NUE</t>
  </si>
  <si>
    <t>NURO</t>
  </si>
  <si>
    <t>NUS</t>
  </si>
  <si>
    <t>NUVA</t>
  </si>
  <si>
    <t>NVAX</t>
  </si>
  <si>
    <t>NVDA</t>
  </si>
  <si>
    <t>NVEC</t>
  </si>
  <si>
    <t>NVEE</t>
  </si>
  <si>
    <t>NVFY</t>
  </si>
  <si>
    <t>NVIV</t>
  </si>
  <si>
    <t>NVR</t>
  </si>
  <si>
    <t>NVRO</t>
  </si>
  <si>
    <t>NVT</t>
  </si>
  <si>
    <t>NVTA</t>
  </si>
  <si>
    <t>NWBI</t>
  </si>
  <si>
    <t>NWE</t>
  </si>
  <si>
    <t>NWFL</t>
  </si>
  <si>
    <t>NWHM</t>
  </si>
  <si>
    <t>NWL</t>
  </si>
  <si>
    <t>NWLI</t>
  </si>
  <si>
    <t>NWN</t>
  </si>
  <si>
    <t>NWPX</t>
  </si>
  <si>
    <t>NWS</t>
  </si>
  <si>
    <t>NWSA</t>
  </si>
  <si>
    <t>NX</t>
  </si>
  <si>
    <t>NXGN</t>
  </si>
  <si>
    <t>NXRT</t>
  </si>
  <si>
    <t>NXST</t>
  </si>
  <si>
    <t>NXTD</t>
  </si>
  <si>
    <t>NYCB</t>
  </si>
  <si>
    <t>NYMT</t>
  </si>
  <si>
    <t>NYT</t>
  </si>
  <si>
    <t>O</t>
  </si>
  <si>
    <t>OAS</t>
  </si>
  <si>
    <t>OBCI</t>
  </si>
  <si>
    <t>OBNK</t>
  </si>
  <si>
    <t>OC</t>
  </si>
  <si>
    <t>OCC</t>
  </si>
  <si>
    <t>OCFC</t>
  </si>
  <si>
    <t>OCN</t>
  </si>
  <si>
    <t>OCUL</t>
  </si>
  <si>
    <t>OCX</t>
  </si>
  <si>
    <t>ODC</t>
  </si>
  <si>
    <t>ODFL</t>
  </si>
  <si>
    <t>ODP</t>
  </si>
  <si>
    <t>ODT</t>
  </si>
  <si>
    <t>OESX</t>
  </si>
  <si>
    <t>OFED</t>
  </si>
  <si>
    <t>OFG</t>
  </si>
  <si>
    <t>OFIX</t>
  </si>
  <si>
    <t>OFLX</t>
  </si>
  <si>
    <t>OGE</t>
  </si>
  <si>
    <t>OGEN</t>
  </si>
  <si>
    <t>OGS</t>
  </si>
  <si>
    <t>OHI</t>
  </si>
  <si>
    <t>OI</t>
  </si>
  <si>
    <t>OII</t>
  </si>
  <si>
    <t>OIS</t>
  </si>
  <si>
    <t>OKE</t>
  </si>
  <si>
    <t>OKTA</t>
  </si>
  <si>
    <t>OLED</t>
  </si>
  <si>
    <t>OLLI</t>
  </si>
  <si>
    <t>OLN</t>
  </si>
  <si>
    <t>OLP</t>
  </si>
  <si>
    <t>OMC</t>
  </si>
  <si>
    <t>OMCL</t>
  </si>
  <si>
    <t>OMED</t>
  </si>
  <si>
    <t>OMER</t>
  </si>
  <si>
    <t>OMEX</t>
  </si>
  <si>
    <t>OMF</t>
  </si>
  <si>
    <t>OMI</t>
  </si>
  <si>
    <t>ON</t>
  </si>
  <si>
    <t>ONB</t>
  </si>
  <si>
    <t>ONCS</t>
  </si>
  <si>
    <t>ONCT</t>
  </si>
  <si>
    <t>ONTX</t>
  </si>
  <si>
    <t>ONVO</t>
  </si>
  <si>
    <t>OOMA</t>
  </si>
  <si>
    <t>OPGN</t>
  </si>
  <si>
    <t>OPI</t>
  </si>
  <si>
    <t>OPK</t>
  </si>
  <si>
    <t>OPOF</t>
  </si>
  <si>
    <t>OPRX</t>
  </si>
  <si>
    <t>OPTN</t>
  </si>
  <si>
    <t>OPTT</t>
  </si>
  <si>
    <t>OPY</t>
  </si>
  <si>
    <t>ORA</t>
  </si>
  <si>
    <t>ORBC</t>
  </si>
  <si>
    <t>ORC</t>
  </si>
  <si>
    <t>ORCL</t>
  </si>
  <si>
    <t>ORGO</t>
  </si>
  <si>
    <t>ORI</t>
  </si>
  <si>
    <t>ORLY</t>
  </si>
  <si>
    <t>ORN</t>
  </si>
  <si>
    <t>ORRF</t>
  </si>
  <si>
    <t>OSBC</t>
  </si>
  <si>
    <t>OSG</t>
  </si>
  <si>
    <t>OSIS</t>
  </si>
  <si>
    <t>OSK</t>
  </si>
  <si>
    <t>OSPN</t>
  </si>
  <si>
    <t>OSTK</t>
  </si>
  <si>
    <t>OSUR</t>
  </si>
  <si>
    <t>OSW</t>
  </si>
  <si>
    <t>OTEL</t>
  </si>
  <si>
    <t>OTIC</t>
  </si>
  <si>
    <t>OTTR</t>
  </si>
  <si>
    <t>OUT</t>
  </si>
  <si>
    <t>OVBC</t>
  </si>
  <si>
    <t>OVLY</t>
  </si>
  <si>
    <t>OXM</t>
  </si>
  <si>
    <t>OXY</t>
  </si>
  <si>
    <t>OZK</t>
  </si>
  <si>
    <t>PACB</t>
  </si>
  <si>
    <t>PACW</t>
  </si>
  <si>
    <t>PAG</t>
  </si>
  <si>
    <t>PAHC</t>
  </si>
  <si>
    <t>PANL</t>
  </si>
  <si>
    <t>PANW</t>
  </si>
  <si>
    <t>PAR</t>
  </si>
  <si>
    <t>PARR</t>
  </si>
  <si>
    <t>PATI</t>
  </si>
  <si>
    <t>PATK</t>
  </si>
  <si>
    <t>PAYC</t>
  </si>
  <si>
    <t>PAYS</t>
  </si>
  <si>
    <t>PAYX</t>
  </si>
  <si>
    <t>PB</t>
  </si>
  <si>
    <t>PBCT</t>
  </si>
  <si>
    <t>PBF</t>
  </si>
  <si>
    <t>PBH</t>
  </si>
  <si>
    <t>PBHC</t>
  </si>
  <si>
    <t>PBI</t>
  </si>
  <si>
    <t>PBIP</t>
  </si>
  <si>
    <t>PBPB</t>
  </si>
  <si>
    <t>PBYI</t>
  </si>
  <si>
    <t>PCAR</t>
  </si>
  <si>
    <t>PCH</t>
  </si>
  <si>
    <t>PCRX</t>
  </si>
  <si>
    <t>PCSB</t>
  </si>
  <si>
    <t>PCTI</t>
  </si>
  <si>
    <t>PCTY</t>
  </si>
  <si>
    <t>PCYG</t>
  </si>
  <si>
    <t>PCYO</t>
  </si>
  <si>
    <t>PD</t>
  </si>
  <si>
    <t>PDCE</t>
  </si>
  <si>
    <t>PDCO</t>
  </si>
  <si>
    <t>PDEX</t>
  </si>
  <si>
    <t>PDFS</t>
  </si>
  <si>
    <t>PDLB</t>
  </si>
  <si>
    <t>PDLI</t>
  </si>
  <si>
    <t>PDM</t>
  </si>
  <si>
    <t>PDSB</t>
  </si>
  <si>
    <t>PE</t>
  </si>
  <si>
    <t>PEB</t>
  </si>
  <si>
    <t>PEBK</t>
  </si>
  <si>
    <t>PEBO</t>
  </si>
  <si>
    <t>PED</t>
  </si>
  <si>
    <t>PEG</t>
  </si>
  <si>
    <t>PEGA</t>
  </si>
  <si>
    <t>PEI</t>
  </si>
  <si>
    <t>PEN</t>
  </si>
  <si>
    <t>PENN</t>
  </si>
  <si>
    <t>PEP</t>
  </si>
  <si>
    <t>PESI</t>
  </si>
  <si>
    <t>PETQ</t>
  </si>
  <si>
    <t>PETS</t>
  </si>
  <si>
    <t>PFBC</t>
  </si>
  <si>
    <t>PFBI</t>
  </si>
  <si>
    <t>PFE</t>
  </si>
  <si>
    <t>PFG</t>
  </si>
  <si>
    <t>PFGC</t>
  </si>
  <si>
    <t>PFIE</t>
  </si>
  <si>
    <t>PFIN</t>
  </si>
  <si>
    <t>PFIS</t>
  </si>
  <si>
    <t>PFMT</t>
  </si>
  <si>
    <t>PFPT</t>
  </si>
  <si>
    <t>PFS</t>
  </si>
  <si>
    <t>PFSW</t>
  </si>
  <si>
    <t>PG</t>
  </si>
  <si>
    <t>PGC</t>
  </si>
  <si>
    <t>PGR</t>
  </si>
  <si>
    <t>PGRE</t>
  </si>
  <si>
    <t>PGTI</t>
  </si>
  <si>
    <t>PH</t>
  </si>
  <si>
    <t>PHAS</t>
  </si>
  <si>
    <t>PHIO</t>
  </si>
  <si>
    <t>PHM</t>
  </si>
  <si>
    <t>PHX</t>
  </si>
  <si>
    <t>PI</t>
  </si>
  <si>
    <t>PII</t>
  </si>
  <si>
    <t>PINC</t>
  </si>
  <si>
    <t>PINS</t>
  </si>
  <si>
    <t>PJT</t>
  </si>
  <si>
    <t>PK</t>
  </si>
  <si>
    <t>PKBK</t>
  </si>
  <si>
    <t>PKE</t>
  </si>
  <si>
    <t>PKG</t>
  </si>
  <si>
    <t>PKI</t>
  </si>
  <si>
    <t>PKOH</t>
  </si>
  <si>
    <t>PLAB</t>
  </si>
  <si>
    <t>PLAN</t>
  </si>
  <si>
    <t>PLAY</t>
  </si>
  <si>
    <t>PLBC</t>
  </si>
  <si>
    <t>PLCE</t>
  </si>
  <si>
    <t>PLD</t>
  </si>
  <si>
    <t>PLNT</t>
  </si>
  <si>
    <t>PLOW</t>
  </si>
  <si>
    <t>PLPC</t>
  </si>
  <si>
    <t>PLSE</t>
  </si>
  <si>
    <t>PLUG</t>
  </si>
  <si>
    <t>PLUS</t>
  </si>
  <si>
    <t>PLXP</t>
  </si>
  <si>
    <t>PLXS</t>
  </si>
  <si>
    <t>PLYA</t>
  </si>
  <si>
    <t>PLYM</t>
  </si>
  <si>
    <t>PM</t>
  </si>
  <si>
    <t>PMBC</t>
  </si>
  <si>
    <t>PMD</t>
  </si>
  <si>
    <t>PMT</t>
  </si>
  <si>
    <t>PMTS</t>
  </si>
  <si>
    <t>PNBK</t>
  </si>
  <si>
    <t>PNC</t>
  </si>
  <si>
    <t>PNFP</t>
  </si>
  <si>
    <t>PNM</t>
  </si>
  <si>
    <t>PNR</t>
  </si>
  <si>
    <t>PNRG</t>
  </si>
  <si>
    <t>PNW</t>
  </si>
  <si>
    <t>POAI</t>
  </si>
  <si>
    <t>PODD</t>
  </si>
  <si>
    <t>POL</t>
  </si>
  <si>
    <t>POOL</t>
  </si>
  <si>
    <t>POR</t>
  </si>
  <si>
    <t>POST</t>
  </si>
  <si>
    <t>POWI</t>
  </si>
  <si>
    <t>POWL</t>
  </si>
  <si>
    <t>PPBI</t>
  </si>
  <si>
    <t>PPC</t>
  </si>
  <si>
    <t>PPG</t>
  </si>
  <si>
    <t>PPIH</t>
  </si>
  <si>
    <t>PPL</t>
  </si>
  <si>
    <t>PPSI</t>
  </si>
  <si>
    <t>PRA</t>
  </si>
  <si>
    <t>PRAA</t>
  </si>
  <si>
    <t>PRAH</t>
  </si>
  <si>
    <t>PRCP</t>
  </si>
  <si>
    <t>PRFT</t>
  </si>
  <si>
    <t>PRGO</t>
  </si>
  <si>
    <t>PRGS</t>
  </si>
  <si>
    <t>PRGX</t>
  </si>
  <si>
    <t>PRI</t>
  </si>
  <si>
    <t>PRIM</t>
  </si>
  <si>
    <t>PRK</t>
  </si>
  <si>
    <t>PRLB</t>
  </si>
  <si>
    <t>PRMW</t>
  </si>
  <si>
    <t>PRO</t>
  </si>
  <si>
    <t>PROV</t>
  </si>
  <si>
    <t>PRPH</t>
  </si>
  <si>
    <t>PRSC</t>
  </si>
  <si>
    <t>PRSP</t>
  </si>
  <si>
    <t>PRTA</t>
  </si>
  <si>
    <t>PRTK</t>
  </si>
  <si>
    <t>PRTS</t>
  </si>
  <si>
    <t>PRTY</t>
  </si>
  <si>
    <t>PRU</t>
  </si>
  <si>
    <t>PRVB</t>
  </si>
  <si>
    <t>PS</t>
  </si>
  <si>
    <t>PSA</t>
  </si>
  <si>
    <t>PSB</t>
  </si>
  <si>
    <t>PSMT</t>
  </si>
  <si>
    <t>PSN</t>
  </si>
  <si>
    <t>PSTG</t>
  </si>
  <si>
    <t>PSTV</t>
  </si>
  <si>
    <t>PSX</t>
  </si>
  <si>
    <t>PTC</t>
  </si>
  <si>
    <t>PTCT</t>
  </si>
  <si>
    <t>PTE</t>
  </si>
  <si>
    <t>PTEN</t>
  </si>
  <si>
    <t>PTGX</t>
  </si>
  <si>
    <t>PTI</t>
  </si>
  <si>
    <t>PTN</t>
  </si>
  <si>
    <t>PTSI</t>
  </si>
  <si>
    <t>PTVCA</t>
  </si>
  <si>
    <t>PTVCB</t>
  </si>
  <si>
    <t>PULM</t>
  </si>
  <si>
    <t>PUMP</t>
  </si>
  <si>
    <t>PVAC</t>
  </si>
  <si>
    <t>PVBC</t>
  </si>
  <si>
    <t>PVH</t>
  </si>
  <si>
    <t>PW</t>
  </si>
  <si>
    <t>PWOD</t>
  </si>
  <si>
    <t>PWR</t>
  </si>
  <si>
    <t>PXD</t>
  </si>
  <si>
    <t>PXLW</t>
  </si>
  <si>
    <t>PYPL</t>
  </si>
  <si>
    <t>PZG</t>
  </si>
  <si>
    <t>PZN</t>
  </si>
  <si>
    <t>PZZA</t>
  </si>
  <si>
    <t>QADA</t>
  </si>
  <si>
    <t>QADB</t>
  </si>
  <si>
    <t>QCOM</t>
  </si>
  <si>
    <t>QCRH</t>
  </si>
  <si>
    <t>QDEL</t>
  </si>
  <si>
    <t>QEP</t>
  </si>
  <si>
    <t>QLYS</t>
  </si>
  <si>
    <t>QNST</t>
  </si>
  <si>
    <t>QRHC</t>
  </si>
  <si>
    <t>QRTEA</t>
  </si>
  <si>
    <t>QRVO</t>
  </si>
  <si>
    <t>QTRX</t>
  </si>
  <si>
    <t>QTS</t>
  </si>
  <si>
    <t>QTWO</t>
  </si>
  <si>
    <t>QUAD</t>
  </si>
  <si>
    <t>QUIK</t>
  </si>
  <si>
    <t>QUMU</t>
  </si>
  <si>
    <t>QUOT</t>
  </si>
  <si>
    <t>R</t>
  </si>
  <si>
    <t>RAD</t>
  </si>
  <si>
    <t>RAIL</t>
  </si>
  <si>
    <t>RAMP</t>
  </si>
  <si>
    <t>RARE</t>
  </si>
  <si>
    <t>RAVE</t>
  </si>
  <si>
    <t>RAVN</t>
  </si>
  <si>
    <t>RBB</t>
  </si>
  <si>
    <t>RBBN</t>
  </si>
  <si>
    <t>RBC</t>
  </si>
  <si>
    <t>RBCAA</t>
  </si>
  <si>
    <t>RBCN</t>
  </si>
  <si>
    <t>RBNC</t>
  </si>
  <si>
    <t>RC</t>
  </si>
  <si>
    <t>RCKT</t>
  </si>
  <si>
    <t>RCKY</t>
  </si>
  <si>
    <t>RCL</t>
  </si>
  <si>
    <t>RCM</t>
  </si>
  <si>
    <t>RCMT</t>
  </si>
  <si>
    <t>RCUS</t>
  </si>
  <si>
    <t>RDFN</t>
  </si>
  <si>
    <t>RDI</t>
  </si>
  <si>
    <t>RDN</t>
  </si>
  <si>
    <t>RDNT</t>
  </si>
  <si>
    <t>RDUS</t>
  </si>
  <si>
    <t>RDVT</t>
  </si>
  <si>
    <t>REED</t>
  </si>
  <si>
    <t>REFR</t>
  </si>
  <si>
    <t>REG</t>
  </si>
  <si>
    <t>REGI</t>
  </si>
  <si>
    <t>REGN</t>
  </si>
  <si>
    <t>REI</t>
  </si>
  <si>
    <t>RELL</t>
  </si>
  <si>
    <t>RELV</t>
  </si>
  <si>
    <t>REPL</t>
  </si>
  <si>
    <t>RES</t>
  </si>
  <si>
    <t>RESI</t>
  </si>
  <si>
    <t>RESN</t>
  </si>
  <si>
    <t>RETA</t>
  </si>
  <si>
    <t>REV</t>
  </si>
  <si>
    <t>REVG</t>
  </si>
  <si>
    <t>REX</t>
  </si>
  <si>
    <t>REXR</t>
  </si>
  <si>
    <t>REZI</t>
  </si>
  <si>
    <t>RF</t>
  </si>
  <si>
    <t>RFIL</t>
  </si>
  <si>
    <t>RFL</t>
  </si>
  <si>
    <t>RFP</t>
  </si>
  <si>
    <t>RGA</t>
  </si>
  <si>
    <t>RGCO</t>
  </si>
  <si>
    <t>RGEN</t>
  </si>
  <si>
    <t>RGLD</t>
  </si>
  <si>
    <t>RGLS</t>
  </si>
  <si>
    <t>RGNX</t>
  </si>
  <si>
    <t>RGR</t>
  </si>
  <si>
    <t>RGS</t>
  </si>
  <si>
    <t>RH</t>
  </si>
  <si>
    <t>RHE</t>
  </si>
  <si>
    <t>RHI</t>
  </si>
  <si>
    <t>RHP</t>
  </si>
  <si>
    <t>RIBT</t>
  </si>
  <si>
    <t>RICK</t>
  </si>
  <si>
    <t>RIG</t>
  </si>
  <si>
    <t>RIGL</t>
  </si>
  <si>
    <t>RILY</t>
  </si>
  <si>
    <t>RIOT</t>
  </si>
  <si>
    <t>RJF</t>
  </si>
  <si>
    <t>RKDA</t>
  </si>
  <si>
    <t>RL</t>
  </si>
  <si>
    <t>RLGT</t>
  </si>
  <si>
    <t>RLH</t>
  </si>
  <si>
    <t>RLI</t>
  </si>
  <si>
    <t>RLJ</t>
  </si>
  <si>
    <t>RM</t>
  </si>
  <si>
    <t>RMAX</t>
  </si>
  <si>
    <t>RMBS</t>
  </si>
  <si>
    <t>RMCF</t>
  </si>
  <si>
    <t>RMD</t>
  </si>
  <si>
    <t>RMR</t>
  </si>
  <si>
    <t>RMTI</t>
  </si>
  <si>
    <t>RNDB</t>
  </si>
  <si>
    <t>RNET</t>
  </si>
  <si>
    <t>RNG</t>
  </si>
  <si>
    <t>RNR</t>
  </si>
  <si>
    <t>RNST</t>
  </si>
  <si>
    <t>RNWK</t>
  </si>
  <si>
    <t>ROAD</t>
  </si>
  <si>
    <t>ROCK</t>
  </si>
  <si>
    <t>ROG</t>
  </si>
  <si>
    <t>ROIC</t>
  </si>
  <si>
    <t>ROK</t>
  </si>
  <si>
    <t>ROKU</t>
  </si>
  <si>
    <t>ROL</t>
  </si>
  <si>
    <t>ROLL</t>
  </si>
  <si>
    <t>ROP</t>
  </si>
  <si>
    <t>ROST</t>
  </si>
  <si>
    <t>RP</t>
  </si>
  <si>
    <t>RPAI</t>
  </si>
  <si>
    <t>RPD</t>
  </si>
  <si>
    <t>RPM</t>
  </si>
  <si>
    <t>RPT</t>
  </si>
  <si>
    <t>RRC</t>
  </si>
  <si>
    <t>RRD</t>
  </si>
  <si>
    <t>RRGB</t>
  </si>
  <si>
    <t>RRR</t>
  </si>
  <si>
    <t>RRTS</t>
  </si>
  <si>
    <t>RS</t>
  </si>
  <si>
    <t>RSG</t>
  </si>
  <si>
    <t>RUBY</t>
  </si>
  <si>
    <t>RUN</t>
  </si>
  <si>
    <t>RUSHA</t>
  </si>
  <si>
    <t>RUSHB</t>
  </si>
  <si>
    <t>RUTH</t>
  </si>
  <si>
    <t>RVI</t>
  </si>
  <si>
    <t>RVNC</t>
  </si>
  <si>
    <t>RVP</t>
  </si>
  <si>
    <t>RVSB</t>
  </si>
  <si>
    <t>RWT</t>
  </si>
  <si>
    <t>RYAM</t>
  </si>
  <si>
    <t>RYI</t>
  </si>
  <si>
    <t>RYN</t>
  </si>
  <si>
    <t>RYTM</t>
  </si>
  <si>
    <t>S</t>
  </si>
  <si>
    <t>SABR</t>
  </si>
  <si>
    <t>SACH</t>
  </si>
  <si>
    <t>SAFE</t>
  </si>
  <si>
    <t>SAFM</t>
  </si>
  <si>
    <t>SAFT</t>
  </si>
  <si>
    <t>SAGE</t>
  </si>
  <si>
    <t>SAH</t>
  </si>
  <si>
    <t>SAIA</t>
  </si>
  <si>
    <t>SAIC</t>
  </si>
  <si>
    <t>SAIL</t>
  </si>
  <si>
    <t>SAL</t>
  </si>
  <si>
    <t>SALM</t>
  </si>
  <si>
    <t>SAM</t>
  </si>
  <si>
    <t>SAMG</t>
  </si>
  <si>
    <t>SANM</t>
  </si>
  <si>
    <t>SANW</t>
  </si>
  <si>
    <t>SASR</t>
  </si>
  <si>
    <t>SATS</t>
  </si>
  <si>
    <t>SAVA</t>
  </si>
  <si>
    <t>SAVE</t>
  </si>
  <si>
    <t>SBAC</t>
  </si>
  <si>
    <t>SBCF</t>
  </si>
  <si>
    <t>SBFG</t>
  </si>
  <si>
    <t>SBGI</t>
  </si>
  <si>
    <t>SBH</t>
  </si>
  <si>
    <t>SBNY</t>
  </si>
  <si>
    <t>SBOW</t>
  </si>
  <si>
    <t>SBRA</t>
  </si>
  <si>
    <t>SBSI</t>
  </si>
  <si>
    <t>SBT</t>
  </si>
  <si>
    <t>SBUX</t>
  </si>
  <si>
    <t>SC</t>
  </si>
  <si>
    <t>SCHL</t>
  </si>
  <si>
    <t>SCHW</t>
  </si>
  <si>
    <t>SCI</t>
  </si>
  <si>
    <t>SCL</t>
  </si>
  <si>
    <t>SCON</t>
  </si>
  <si>
    <t>SCOR</t>
  </si>
  <si>
    <t>SCPL</t>
  </si>
  <si>
    <t>SCS</t>
  </si>
  <si>
    <t>SCSC</t>
  </si>
  <si>
    <t>SCVL</t>
  </si>
  <si>
    <t>SCWX</t>
  </si>
  <si>
    <t>SCX</t>
  </si>
  <si>
    <t>SCYX</t>
  </si>
  <si>
    <t>SD</t>
  </si>
  <si>
    <t>SDPI</t>
  </si>
  <si>
    <t>SEAC</t>
  </si>
  <si>
    <t>SEB</t>
  </si>
  <si>
    <t>SEDG</t>
  </si>
  <si>
    <t>SEE</t>
  </si>
  <si>
    <t>SEEL</t>
  </si>
  <si>
    <t>SEIC</t>
  </si>
  <si>
    <t>SELB</t>
  </si>
  <si>
    <t>SELF</t>
  </si>
  <si>
    <t>SEM</t>
  </si>
  <si>
    <t>SENEA</t>
  </si>
  <si>
    <t>SENEB</t>
  </si>
  <si>
    <t>SENS</t>
  </si>
  <si>
    <t>SERV</t>
  </si>
  <si>
    <t>SES</t>
  </si>
  <si>
    <t>SF</t>
  </si>
  <si>
    <t>SFBC</t>
  </si>
  <si>
    <t>SFBS</t>
  </si>
  <si>
    <t>SFE</t>
  </si>
  <si>
    <t>SFIX</t>
  </si>
  <si>
    <t>SFM</t>
  </si>
  <si>
    <t>SFNC</t>
  </si>
  <si>
    <t>SFST</t>
  </si>
  <si>
    <t>SGA</t>
  </si>
  <si>
    <t>SGC</t>
  </si>
  <si>
    <t>SGEN</t>
  </si>
  <si>
    <t>SGH</t>
  </si>
  <si>
    <t>SGMA</t>
  </si>
  <si>
    <t>SGMO</t>
  </si>
  <si>
    <t>SGRP</t>
  </si>
  <si>
    <t>SGRY</t>
  </si>
  <si>
    <t>SHAK</t>
  </si>
  <si>
    <t>SHBI</t>
  </si>
  <si>
    <t>SHEN</t>
  </si>
  <si>
    <t>SHO</t>
  </si>
  <si>
    <t>SHOO</t>
  </si>
  <si>
    <t>SHSP</t>
  </si>
  <si>
    <t>SHW</t>
  </si>
  <si>
    <t>SIBN</t>
  </si>
  <si>
    <t>SIEB</t>
  </si>
  <si>
    <t>SIEN</t>
  </si>
  <si>
    <t>SIF</t>
  </si>
  <si>
    <t>SIG</t>
  </si>
  <si>
    <t>SIGA</t>
  </si>
  <si>
    <t>SIGI</t>
  </si>
  <si>
    <t>SILK</t>
  </si>
  <si>
    <t>SINT</t>
  </si>
  <si>
    <t>SIRI</t>
  </si>
  <si>
    <t>SITC</t>
  </si>
  <si>
    <t>SITE</t>
  </si>
  <si>
    <t>SIVB</t>
  </si>
  <si>
    <t>SIX</t>
  </si>
  <si>
    <t>SJI</t>
  </si>
  <si>
    <t>SJM</t>
  </si>
  <si>
    <t>SJW</t>
  </si>
  <si>
    <t>SKT</t>
  </si>
  <si>
    <t>SKX</t>
  </si>
  <si>
    <t>SKY</t>
  </si>
  <si>
    <t>SKYW</t>
  </si>
  <si>
    <t>SLAB</t>
  </si>
  <si>
    <t>SLB</t>
  </si>
  <si>
    <t>SLCA</t>
  </si>
  <si>
    <t>SLCT</t>
  </si>
  <si>
    <t>SLDB</t>
  </si>
  <si>
    <t>SLG</t>
  </si>
  <si>
    <t>SLGN</t>
  </si>
  <si>
    <t>SLM</t>
  </si>
  <si>
    <t>SLNG</t>
  </si>
  <si>
    <t>SLNO</t>
  </si>
  <si>
    <t>SLP</t>
  </si>
  <si>
    <t>SLRX</t>
  </si>
  <si>
    <t>SLS</t>
  </si>
  <si>
    <t>SM</t>
  </si>
  <si>
    <t>SMAR</t>
  </si>
  <si>
    <t>SMBC</t>
  </si>
  <si>
    <t>SMBK</t>
  </si>
  <si>
    <t>SMED</t>
  </si>
  <si>
    <t>SMG</t>
  </si>
  <si>
    <t>SMHI</t>
  </si>
  <si>
    <t>SMIT</t>
  </si>
  <si>
    <t>SMMF</t>
  </si>
  <si>
    <t>SMP</t>
  </si>
  <si>
    <t>SMPL</t>
  </si>
  <si>
    <t>SMRT</t>
  </si>
  <si>
    <t>SMSI</t>
  </si>
  <si>
    <t>SMTC</t>
  </si>
  <si>
    <t>SNA</t>
  </si>
  <si>
    <t>SNAP</t>
  </si>
  <si>
    <t>SNBR</t>
  </si>
  <si>
    <t>SNCR</t>
  </si>
  <si>
    <t>SND</t>
  </si>
  <si>
    <t>SNDR</t>
  </si>
  <si>
    <t>SNDX</t>
  </si>
  <si>
    <t>SNFCA</t>
  </si>
  <si>
    <t>SNOA</t>
  </si>
  <si>
    <t>SNPS</t>
  </si>
  <si>
    <t>SNR</t>
  </si>
  <si>
    <t>SNV</t>
  </si>
  <si>
    <t>SNX</t>
  </si>
  <si>
    <t>SO</t>
  </si>
  <si>
    <t>SOHO</t>
  </si>
  <si>
    <t>SOI</t>
  </si>
  <si>
    <t>SOLY</t>
  </si>
  <si>
    <t>SON</t>
  </si>
  <si>
    <t>SONO</t>
  </si>
  <si>
    <t>SP</t>
  </si>
  <si>
    <t>SPB</t>
  </si>
  <si>
    <t>SPG</t>
  </si>
  <si>
    <t>SPGI</t>
  </si>
  <si>
    <t>SPLK</t>
  </si>
  <si>
    <t>SPNE</t>
  </si>
  <si>
    <t>SPOK</t>
  </si>
  <si>
    <t>SPPI</t>
  </si>
  <si>
    <t>SPR</t>
  </si>
  <si>
    <t>SPRO</t>
  </si>
  <si>
    <t>SPRT</t>
  </si>
  <si>
    <t>SPSC</t>
  </si>
  <si>
    <t>SPTN</t>
  </si>
  <si>
    <t>SPWH</t>
  </si>
  <si>
    <t>SPWR</t>
  </si>
  <si>
    <t>SPXC</t>
  </si>
  <si>
    <t>SQ</t>
  </si>
  <si>
    <t>SQBG</t>
  </si>
  <si>
    <t>SR</t>
  </si>
  <si>
    <t>SRC</t>
  </si>
  <si>
    <t>SRCE</t>
  </si>
  <si>
    <t>SRCL</t>
  </si>
  <si>
    <t>SRDX</t>
  </si>
  <si>
    <t>SRE</t>
  </si>
  <si>
    <t>SREV</t>
  </si>
  <si>
    <t>SRG</t>
  </si>
  <si>
    <t>SRI</t>
  </si>
  <si>
    <t>SRNE</t>
  </si>
  <si>
    <t>SRPT</t>
  </si>
  <si>
    <t>SRRK</t>
  </si>
  <si>
    <t>SRT</t>
  </si>
  <si>
    <t>SRTS</t>
  </si>
  <si>
    <t>SSB</t>
  </si>
  <si>
    <t>SSBI</t>
  </si>
  <si>
    <t>SSD</t>
  </si>
  <si>
    <t>SSKN</t>
  </si>
  <si>
    <t>SSNC</t>
  </si>
  <si>
    <t>SSP</t>
  </si>
  <si>
    <t>SSTI</t>
  </si>
  <si>
    <t>SSTK</t>
  </si>
  <si>
    <t>ST</t>
  </si>
  <si>
    <t>STAA</t>
  </si>
  <si>
    <t>STAG</t>
  </si>
  <si>
    <t>STAR</t>
  </si>
  <si>
    <t>STAY</t>
  </si>
  <si>
    <t>STBA</t>
  </si>
  <si>
    <t>STC</t>
  </si>
  <si>
    <t>STCN</t>
  </si>
  <si>
    <t>STE</t>
  </si>
  <si>
    <t>STFC</t>
  </si>
  <si>
    <t>STI</t>
  </si>
  <si>
    <t>STIM</t>
  </si>
  <si>
    <t>STKS</t>
  </si>
  <si>
    <t>STL</t>
  </si>
  <si>
    <t>STLD</t>
  </si>
  <si>
    <t>STMP</t>
  </si>
  <si>
    <t>STND</t>
  </si>
  <si>
    <t>STOR</t>
  </si>
  <si>
    <t>STRA</t>
  </si>
  <si>
    <t>STRL</t>
  </si>
  <si>
    <t>STRM</t>
  </si>
  <si>
    <t>STRS</t>
  </si>
  <si>
    <t>STRT</t>
  </si>
  <si>
    <t>STT</t>
  </si>
  <si>
    <t>STWD</t>
  </si>
  <si>
    <t>STX</t>
  </si>
  <si>
    <t>STXB</t>
  </si>
  <si>
    <t>STZ</t>
  </si>
  <si>
    <t>SUI</t>
  </si>
  <si>
    <t>SUM</t>
  </si>
  <si>
    <t>SUMR</t>
  </si>
  <si>
    <t>SUNW</t>
  </si>
  <si>
    <t>SUP</t>
  </si>
  <si>
    <t>SUPN</t>
  </si>
  <si>
    <t>SVBI</t>
  </si>
  <si>
    <t>SVRA</t>
  </si>
  <si>
    <t>SVT</t>
  </si>
  <si>
    <t>SWAV</t>
  </si>
  <si>
    <t>SWCH</t>
  </si>
  <si>
    <t>SWK</t>
  </si>
  <si>
    <t>SWKS</t>
  </si>
  <si>
    <t>SWN</t>
  </si>
  <si>
    <t>SWX</t>
  </si>
  <si>
    <t>SXC</t>
  </si>
  <si>
    <t>SXI</t>
  </si>
  <si>
    <t>SXT</t>
  </si>
  <si>
    <t>SYBT</t>
  </si>
  <si>
    <t>SYBX</t>
  </si>
  <si>
    <t>SYF</t>
  </si>
  <si>
    <t>SYK</t>
  </si>
  <si>
    <t>SYKE</t>
  </si>
  <si>
    <t>SYNA</t>
  </si>
  <si>
    <t>SYNC</t>
  </si>
  <si>
    <t>SYNH</t>
  </si>
  <si>
    <t>SYNL</t>
  </si>
  <si>
    <t>SYPR</t>
  </si>
  <si>
    <t>SYRS</t>
  </si>
  <si>
    <t>SYY</t>
  </si>
  <si>
    <t>T</t>
  </si>
  <si>
    <t>TACO</t>
  </si>
  <si>
    <t>TACT</t>
  </si>
  <si>
    <t>TAIT</t>
  </si>
  <si>
    <t>TALO</t>
  </si>
  <si>
    <t>TAP</t>
  </si>
  <si>
    <t>TAST</t>
  </si>
  <si>
    <t>TAT</t>
  </si>
  <si>
    <t>TAYD</t>
  </si>
  <si>
    <t>TBBK</t>
  </si>
  <si>
    <t>TBI</t>
  </si>
  <si>
    <t>TBIO</t>
  </si>
  <si>
    <t>TBNK</t>
  </si>
  <si>
    <t>TBPH</t>
  </si>
  <si>
    <t>TCBI</t>
  </si>
  <si>
    <t>TCBK</t>
  </si>
  <si>
    <t>TCDA</t>
  </si>
  <si>
    <t>TCF</t>
  </si>
  <si>
    <t>TCFC</t>
  </si>
  <si>
    <t>TCI</t>
  </si>
  <si>
    <t>TCMD</t>
  </si>
  <si>
    <t>TCO</t>
  </si>
  <si>
    <t>TCON</t>
  </si>
  <si>
    <t>TCS</t>
  </si>
  <si>
    <t>TDC</t>
  </si>
  <si>
    <t>TDG</t>
  </si>
  <si>
    <t>TDOC</t>
  </si>
  <si>
    <t>TDS</t>
  </si>
  <si>
    <t>TDW</t>
  </si>
  <si>
    <t>TDY</t>
  </si>
  <si>
    <t>TECD</t>
  </si>
  <si>
    <t>TECH</t>
  </si>
  <si>
    <t>TEL</t>
  </si>
  <si>
    <t>TELL</t>
  </si>
  <si>
    <t>TEN</t>
  </si>
  <si>
    <t>TENB</t>
  </si>
  <si>
    <t>TENX</t>
  </si>
  <si>
    <t>TER</t>
  </si>
  <si>
    <t>TESS</t>
  </si>
  <si>
    <t>TEUM</t>
  </si>
  <si>
    <t>TEX</t>
  </si>
  <si>
    <t>TFSL</t>
  </si>
  <si>
    <t>TFX</t>
  </si>
  <si>
    <t>TG</t>
  </si>
  <si>
    <t>TGEN</t>
  </si>
  <si>
    <t>TGI</t>
  </si>
  <si>
    <t>TGLS</t>
  </si>
  <si>
    <t>TGNA</t>
  </si>
  <si>
    <t>TGT</t>
  </si>
  <si>
    <t>TGTX</t>
  </si>
  <si>
    <t>TH</t>
  </si>
  <si>
    <t>THC</t>
  </si>
  <si>
    <t>THFF</t>
  </si>
  <si>
    <t>THG</t>
  </si>
  <si>
    <t>THO</t>
  </si>
  <si>
    <t>THR</t>
  </si>
  <si>
    <t>THRM</t>
  </si>
  <si>
    <t>THS</t>
  </si>
  <si>
    <t>TIF</t>
  </si>
  <si>
    <t>TILE</t>
  </si>
  <si>
    <t>TIPT</t>
  </si>
  <si>
    <t>TISI</t>
  </si>
  <si>
    <t>TITN</t>
  </si>
  <si>
    <t>TJX</t>
  </si>
  <si>
    <t>TKR</t>
  </si>
  <si>
    <t>TLF</t>
  </si>
  <si>
    <t>TLGT</t>
  </si>
  <si>
    <t>TLYS</t>
  </si>
  <si>
    <t>TMDX</t>
  </si>
  <si>
    <t>TMHC</t>
  </si>
  <si>
    <t>TMO</t>
  </si>
  <si>
    <t>TMP</t>
  </si>
  <si>
    <t>TMUS</t>
  </si>
  <si>
    <t>TNAV</t>
  </si>
  <si>
    <t>TNC</t>
  </si>
  <si>
    <t>TNDM</t>
  </si>
  <si>
    <t>TNET</t>
  </si>
  <si>
    <t>TNXP</t>
  </si>
  <si>
    <t>TOL</t>
  </si>
  <si>
    <t>TOWN</t>
  </si>
  <si>
    <t>TPB</t>
  </si>
  <si>
    <t>TPC</t>
  </si>
  <si>
    <t>TPCO</t>
  </si>
  <si>
    <t>TPH</t>
  </si>
  <si>
    <t>TPHS</t>
  </si>
  <si>
    <t>TPIC</t>
  </si>
  <si>
    <t>TPR</t>
  </si>
  <si>
    <t>TPTX</t>
  </si>
  <si>
    <t>TPX</t>
  </si>
  <si>
    <t>TR</t>
  </si>
  <si>
    <t>TRC</t>
  </si>
  <si>
    <t>TRCH</t>
  </si>
  <si>
    <t>TREC</t>
  </si>
  <si>
    <t>TREE</t>
  </si>
  <si>
    <t>TREX</t>
  </si>
  <si>
    <t>TRGP</t>
  </si>
  <si>
    <t>TRHC</t>
  </si>
  <si>
    <t>TRIP</t>
  </si>
  <si>
    <t>TRMB</t>
  </si>
  <si>
    <t>TRMK</t>
  </si>
  <si>
    <t>TRN</t>
  </si>
  <si>
    <t>TRNO</t>
  </si>
  <si>
    <t>TRNS</t>
  </si>
  <si>
    <t>TROW</t>
  </si>
  <si>
    <t>TROX</t>
  </si>
  <si>
    <t>TRS</t>
  </si>
  <si>
    <t>TRST</t>
  </si>
  <si>
    <t>TRT</t>
  </si>
  <si>
    <t>TRTN</t>
  </si>
  <si>
    <t>TRTX</t>
  </si>
  <si>
    <t>TRU</t>
  </si>
  <si>
    <t>TRUP</t>
  </si>
  <si>
    <t>TRV</t>
  </si>
  <si>
    <t>TRVN</t>
  </si>
  <si>
    <t>TRXC</t>
  </si>
  <si>
    <t>TSBK</t>
  </si>
  <si>
    <t>TSC</t>
  </si>
  <si>
    <t>TSCO</t>
  </si>
  <si>
    <t>TSE</t>
  </si>
  <si>
    <t>TSLA</t>
  </si>
  <si>
    <t>TSN</t>
  </si>
  <si>
    <t>TSQ</t>
  </si>
  <si>
    <t>TTC</t>
  </si>
  <si>
    <t>TTD</t>
  </si>
  <si>
    <t>TTEC</t>
  </si>
  <si>
    <t>TTEK</t>
  </si>
  <si>
    <t>TTGT</t>
  </si>
  <si>
    <t>TTI</t>
  </si>
  <si>
    <t>TTMI</t>
  </si>
  <si>
    <t>TTNP</t>
  </si>
  <si>
    <t>TTOO</t>
  </si>
  <si>
    <t>TTS</t>
  </si>
  <si>
    <t>TTWO</t>
  </si>
  <si>
    <t>TUP</t>
  </si>
  <si>
    <t>TUSK</t>
  </si>
  <si>
    <t>TVTY</t>
  </si>
  <si>
    <t>TW</t>
  </si>
  <si>
    <t>TWI</t>
  </si>
  <si>
    <t>TWIN</t>
  </si>
  <si>
    <t>TWLO</t>
  </si>
  <si>
    <t>TWNK</t>
  </si>
  <si>
    <t>TWO</t>
  </si>
  <si>
    <t>TWOU</t>
  </si>
  <si>
    <t>TWST</t>
  </si>
  <si>
    <t>TWTR</t>
  </si>
  <si>
    <t>TXMD</t>
  </si>
  <si>
    <t>TXN</t>
  </si>
  <si>
    <t>TXRH</t>
  </si>
  <si>
    <t>TXT</t>
  </si>
  <si>
    <t>TYL</t>
  </si>
  <si>
    <t>TYME</t>
  </si>
  <si>
    <t>TZOO</t>
  </si>
  <si>
    <t>UA</t>
  </si>
  <si>
    <t>UAA</t>
  </si>
  <si>
    <t>UAL</t>
  </si>
  <si>
    <t>UAMY</t>
  </si>
  <si>
    <t>UBA</t>
  </si>
  <si>
    <t>UBCP</t>
  </si>
  <si>
    <t>UBER</t>
  </si>
  <si>
    <t>UBFO</t>
  </si>
  <si>
    <t>UBOH</t>
  </si>
  <si>
    <t>UBSI</t>
  </si>
  <si>
    <t>UCBI</t>
  </si>
  <si>
    <t>UCTT</t>
  </si>
  <si>
    <t>UDR</t>
  </si>
  <si>
    <t>UE</t>
  </si>
  <si>
    <t>UEC</t>
  </si>
  <si>
    <t>UEIC</t>
  </si>
  <si>
    <t>UFAB</t>
  </si>
  <si>
    <t>UFCS</t>
  </si>
  <si>
    <t>UFI</t>
  </si>
  <si>
    <t>UFPI</t>
  </si>
  <si>
    <t>UFPT</t>
  </si>
  <si>
    <t>UFS</t>
  </si>
  <si>
    <t>UG</t>
  </si>
  <si>
    <t>UGI</t>
  </si>
  <si>
    <t>UHAL</t>
  </si>
  <si>
    <t>UHS</t>
  </si>
  <si>
    <t>UHT</t>
  </si>
  <si>
    <t>UI</t>
  </si>
  <si>
    <t>UIHC</t>
  </si>
  <si>
    <t>UIS</t>
  </si>
  <si>
    <t>ULBI</t>
  </si>
  <si>
    <t>ULH</t>
  </si>
  <si>
    <t>ULTA</t>
  </si>
  <si>
    <t>UMBF</t>
  </si>
  <si>
    <t>UMH</t>
  </si>
  <si>
    <t>UMPQ</t>
  </si>
  <si>
    <t>UNAM</t>
  </si>
  <si>
    <t>UNB</t>
  </si>
  <si>
    <t>UNF</t>
  </si>
  <si>
    <t>UNFI</t>
  </si>
  <si>
    <t>UNH</t>
  </si>
  <si>
    <t>UNIT</t>
  </si>
  <si>
    <t>UNM</t>
  </si>
  <si>
    <t>UNP</t>
  </si>
  <si>
    <t>UNTY</t>
  </si>
  <si>
    <t>UNVR</t>
  </si>
  <si>
    <t>UONE</t>
  </si>
  <si>
    <t>UONEK</t>
  </si>
  <si>
    <t>UPLD</t>
  </si>
  <si>
    <t>UPS</t>
  </si>
  <si>
    <t>UPWK</t>
  </si>
  <si>
    <t>URBN</t>
  </si>
  <si>
    <t>URI</t>
  </si>
  <si>
    <t>UROV</t>
  </si>
  <si>
    <t>USAK</t>
  </si>
  <si>
    <t>USAP</t>
  </si>
  <si>
    <t>USAT</t>
  </si>
  <si>
    <t>USB</t>
  </si>
  <si>
    <t>USCR</t>
  </si>
  <si>
    <t>USD</t>
  </si>
  <si>
    <t>USEG</t>
  </si>
  <si>
    <t>USFD</t>
  </si>
  <si>
    <t>USIO</t>
  </si>
  <si>
    <t>USLM</t>
  </si>
  <si>
    <t>USM</t>
  </si>
  <si>
    <t>USNA</t>
  </si>
  <si>
    <t>USPH</t>
  </si>
  <si>
    <t>USWS</t>
  </si>
  <si>
    <t>USX</t>
  </si>
  <si>
    <t>UTHR</t>
  </si>
  <si>
    <t>UTI</t>
  </si>
  <si>
    <t>UTL</t>
  </si>
  <si>
    <t>UTMD</t>
  </si>
  <si>
    <t>UUU</t>
  </si>
  <si>
    <t>UVE</t>
  </si>
  <si>
    <t>UVSP</t>
  </si>
  <si>
    <t>UVV</t>
  </si>
  <si>
    <t>V</t>
  </si>
  <si>
    <t>VAC</t>
  </si>
  <si>
    <t>VAL</t>
  </si>
  <si>
    <t>VALU</t>
  </si>
  <si>
    <t>VAPO</t>
  </si>
  <si>
    <t>VAR</t>
  </si>
  <si>
    <t>VBFC</t>
  </si>
  <si>
    <t>VBIV</t>
  </si>
  <si>
    <t>VBTX</t>
  </si>
  <si>
    <t>VC</t>
  </si>
  <si>
    <t>VCEL</t>
  </si>
  <si>
    <t>VCRA</t>
  </si>
  <si>
    <t>VCTR</t>
  </si>
  <si>
    <t>VCYT</t>
  </si>
  <si>
    <t>VECO</t>
  </si>
  <si>
    <t>VEEV</t>
  </si>
  <si>
    <t>VER</t>
  </si>
  <si>
    <t>VERI</t>
  </si>
  <si>
    <t>VERU</t>
  </si>
  <si>
    <t>VFC</t>
  </si>
  <si>
    <t>VG</t>
  </si>
  <si>
    <t>VGR</t>
  </si>
  <si>
    <t>VHC</t>
  </si>
  <si>
    <t>VIA</t>
  </si>
  <si>
    <t>VIAV</t>
  </si>
  <si>
    <t>VICI</t>
  </si>
  <si>
    <t>VICR</t>
  </si>
  <si>
    <t>VIRC</t>
  </si>
  <si>
    <t>VIRT</t>
  </si>
  <si>
    <t>VISL</t>
  </si>
  <si>
    <t>VIVO</t>
  </si>
  <si>
    <t>VKTX</t>
  </si>
  <si>
    <t>VLGEA</t>
  </si>
  <si>
    <t>VLO</t>
  </si>
  <si>
    <t>VLY</t>
  </si>
  <si>
    <t>VMC</t>
  </si>
  <si>
    <t>VMI</t>
  </si>
  <si>
    <t>VMW</t>
  </si>
  <si>
    <t>VNCE</t>
  </si>
  <si>
    <t>VNDA</t>
  </si>
  <si>
    <t>VNE</t>
  </si>
  <si>
    <t>VNO</t>
  </si>
  <si>
    <t>VNRX</t>
  </si>
  <si>
    <t>VNTR</t>
  </si>
  <si>
    <t>VOXX</t>
  </si>
  <si>
    <t>VOYA</t>
  </si>
  <si>
    <t>VPG</t>
  </si>
  <si>
    <t>VRA</t>
  </si>
  <si>
    <t>VRAY</t>
  </si>
  <si>
    <t>VREX</t>
  </si>
  <si>
    <t>VRNS</t>
  </si>
  <si>
    <t>VRNT</t>
  </si>
  <si>
    <t>VRRM</t>
  </si>
  <si>
    <t>VRS</t>
  </si>
  <si>
    <t>VRSK</t>
  </si>
  <si>
    <t>VRSN</t>
  </si>
  <si>
    <t>VRTS</t>
  </si>
  <si>
    <t>VRTU</t>
  </si>
  <si>
    <t>VRTV</t>
  </si>
  <si>
    <t>VRTX</t>
  </si>
  <si>
    <t>VSAT</t>
  </si>
  <si>
    <t>VSEC</t>
  </si>
  <si>
    <t>VSH</t>
  </si>
  <si>
    <t>VST</t>
  </si>
  <si>
    <t>VSTM</t>
  </si>
  <si>
    <t>VSTO</t>
  </si>
  <si>
    <t>VTNR</t>
  </si>
  <si>
    <t>VTR</t>
  </si>
  <si>
    <t>VTVT</t>
  </si>
  <si>
    <t>VUZI</t>
  </si>
  <si>
    <t>VVI</t>
  </si>
  <si>
    <t>VVV</t>
  </si>
  <si>
    <t>VXRT</t>
  </si>
  <si>
    <t>VYGR</t>
  </si>
  <si>
    <t>VZ</t>
  </si>
  <si>
    <t>W</t>
  </si>
  <si>
    <t>WAB</t>
  </si>
  <si>
    <t>WABC</t>
  </si>
  <si>
    <t>WAFD</t>
  </si>
  <si>
    <t>WAL</t>
  </si>
  <si>
    <t>WASH</t>
  </si>
  <si>
    <t>WAT</t>
  </si>
  <si>
    <t>WATT</t>
  </si>
  <si>
    <t>WBA</t>
  </si>
  <si>
    <t>WBS</t>
  </si>
  <si>
    <t>WBT</t>
  </si>
  <si>
    <t>WCC</t>
  </si>
  <si>
    <t>WD</t>
  </si>
  <si>
    <t>WDAY</t>
  </si>
  <si>
    <t>WDC</t>
  </si>
  <si>
    <t>WDFC</t>
  </si>
  <si>
    <t>WDR</t>
  </si>
  <si>
    <t>WEC</t>
  </si>
  <si>
    <t>WELL</t>
  </si>
  <si>
    <t>WEN</t>
  </si>
  <si>
    <t>WERN</t>
  </si>
  <si>
    <t>WEX</t>
  </si>
  <si>
    <t>WEYS</t>
  </si>
  <si>
    <t>WFC</t>
  </si>
  <si>
    <t>WGO</t>
  </si>
  <si>
    <t>WH</t>
  </si>
  <si>
    <t>WHD</t>
  </si>
  <si>
    <t>WHG</t>
  </si>
  <si>
    <t>WHLM</t>
  </si>
  <si>
    <t>WHLR</t>
  </si>
  <si>
    <t>WHR</t>
  </si>
  <si>
    <t>WIFI</t>
  </si>
  <si>
    <t>WINA</t>
  </si>
  <si>
    <t>WING</t>
  </si>
  <si>
    <t>WIRE</t>
  </si>
  <si>
    <t>WK</t>
  </si>
  <si>
    <t>WKHS</t>
  </si>
  <si>
    <t>WLDN</t>
  </si>
  <si>
    <t>WLFC</t>
  </si>
  <si>
    <t>WLK</t>
  </si>
  <si>
    <t>WLL</t>
  </si>
  <si>
    <t>WM</t>
  </si>
  <si>
    <t>WMB</t>
  </si>
  <si>
    <t>WMC</t>
  </si>
  <si>
    <t>WMK</t>
  </si>
  <si>
    <t>WMS</t>
  </si>
  <si>
    <t>WMT</t>
  </si>
  <si>
    <t>WNC</t>
  </si>
  <si>
    <t>WNEB</t>
  </si>
  <si>
    <t>WOR</t>
  </si>
  <si>
    <t>WOW</t>
  </si>
  <si>
    <t>WPC</t>
  </si>
  <si>
    <t>WPG</t>
  </si>
  <si>
    <t>WPX</t>
  </si>
  <si>
    <t>WRB</t>
  </si>
  <si>
    <t>WRI</t>
  </si>
  <si>
    <t>WRK</t>
  </si>
  <si>
    <t>WRLD</t>
  </si>
  <si>
    <t>WRTC</t>
  </si>
  <si>
    <t>WSBC</t>
  </si>
  <si>
    <t>WSBF</t>
  </si>
  <si>
    <t>WSC</t>
  </si>
  <si>
    <t>WSFS</t>
  </si>
  <si>
    <t>WSM</t>
  </si>
  <si>
    <t>WSO</t>
  </si>
  <si>
    <t>WSR</t>
  </si>
  <si>
    <t>WST</t>
  </si>
  <si>
    <t>WSTL</t>
  </si>
  <si>
    <t>WTBA</t>
  </si>
  <si>
    <t>WTER</t>
  </si>
  <si>
    <t>WTFC</t>
  </si>
  <si>
    <t>WTI</t>
  </si>
  <si>
    <t>WTM</t>
  </si>
  <si>
    <t>WTS</t>
  </si>
  <si>
    <t>WTT</t>
  </si>
  <si>
    <t>WTTR</t>
  </si>
  <si>
    <t>WU</t>
  </si>
  <si>
    <t>WVE</t>
  </si>
  <si>
    <t>WVFC</t>
  </si>
  <si>
    <t>WVVI</t>
  </si>
  <si>
    <t>WW</t>
  </si>
  <si>
    <t>WWD</t>
  </si>
  <si>
    <t>WWE</t>
  </si>
  <si>
    <t>WWR</t>
  </si>
  <si>
    <t>WWW</t>
  </si>
  <si>
    <t>WY</t>
  </si>
  <si>
    <t>WYNN</t>
  </si>
  <si>
    <t>WYY</t>
  </si>
  <si>
    <t>X</t>
  </si>
  <si>
    <t>XBIT</t>
  </si>
  <si>
    <t>XEC</t>
  </si>
  <si>
    <t>XEL</t>
  </si>
  <si>
    <t>XELA</t>
  </si>
  <si>
    <t>XELB</t>
  </si>
  <si>
    <t>XENT</t>
  </si>
  <si>
    <t>XERS</t>
  </si>
  <si>
    <t>XFOR</t>
  </si>
  <si>
    <t>XHR</t>
  </si>
  <si>
    <t>XLNX</t>
  </si>
  <si>
    <t>XLRN</t>
  </si>
  <si>
    <t>XNCR</t>
  </si>
  <si>
    <t>XOG</t>
  </si>
  <si>
    <t>XOM</t>
  </si>
  <si>
    <t>XOMA</t>
  </si>
  <si>
    <t>XONE</t>
  </si>
  <si>
    <t>XPER</t>
  </si>
  <si>
    <t>XPL</t>
  </si>
  <si>
    <t>XPO</t>
  </si>
  <si>
    <t>XRAY</t>
  </si>
  <si>
    <t>XRX</t>
  </si>
  <si>
    <t>XTNT</t>
  </si>
  <si>
    <t>XXII</t>
  </si>
  <si>
    <t>XYL</t>
  </si>
  <si>
    <t>Y</t>
  </si>
  <si>
    <t>YELP</t>
  </si>
  <si>
    <t>YETI</t>
  </si>
  <si>
    <t>YEXT</t>
  </si>
  <si>
    <t>YMAB</t>
  </si>
  <si>
    <t>YORW</t>
  </si>
  <si>
    <t>YTEN</t>
  </si>
  <si>
    <t>YUM</t>
  </si>
  <si>
    <t>Z</t>
  </si>
  <si>
    <t>ZAGG</t>
  </si>
  <si>
    <t>ZBH</t>
  </si>
  <si>
    <t>ZBRA</t>
  </si>
  <si>
    <t>ZDGE</t>
  </si>
  <si>
    <t>ZEN</t>
  </si>
  <si>
    <t>ZEUS</t>
  </si>
  <si>
    <t>ZG</t>
  </si>
  <si>
    <t>ZGNX</t>
  </si>
  <si>
    <t>ZION</t>
  </si>
  <si>
    <t>ZIOP</t>
  </si>
  <si>
    <t>ZIXI</t>
  </si>
  <si>
    <t>ZM</t>
  </si>
  <si>
    <t>ZNGA</t>
  </si>
  <si>
    <t>ZS</t>
  </si>
  <si>
    <t>ZSAN</t>
  </si>
  <si>
    <t>ZTS</t>
  </si>
  <si>
    <t>ZUMZ</t>
  </si>
  <si>
    <t>ZUO</t>
  </si>
  <si>
    <t>ZVO</t>
  </si>
  <si>
    <t>ZYNE</t>
  </si>
  <si>
    <t>ZYXI</t>
  </si>
  <si>
    <t>TRUE</t>
  </si>
  <si>
    <t>BRMK</t>
  </si>
  <si>
    <t>CRT</t>
  </si>
  <si>
    <t>DREUF</t>
  </si>
  <si>
    <t>GAIN</t>
  </si>
  <si>
    <t>GLAD</t>
  </si>
  <si>
    <t>HCAP</t>
  </si>
  <si>
    <t>HRZN</t>
  </si>
  <si>
    <t>MAIN</t>
  </si>
  <si>
    <t>OXSQ</t>
  </si>
  <si>
    <t>PBA</t>
  </si>
  <si>
    <t>PBT</t>
  </si>
  <si>
    <t>PFLT</t>
  </si>
  <si>
    <t>PRT</t>
  </si>
  <si>
    <t>PSEC</t>
  </si>
  <si>
    <t>SBR</t>
  </si>
  <si>
    <t>SUNS</t>
  </si>
  <si>
    <t>Healthcare</t>
  </si>
  <si>
    <t>Basic Materials</t>
  </si>
  <si>
    <t>N/A</t>
  </si>
  <si>
    <t>Industrials</t>
  </si>
  <si>
    <t>Financial Services</t>
  </si>
  <si>
    <t>Technology</t>
  </si>
  <si>
    <t>Consumer Cyclical</t>
  </si>
  <si>
    <t>Real Estate</t>
  </si>
  <si>
    <t>Consumer Defensive</t>
  </si>
  <si>
    <t>Energy</t>
  </si>
  <si>
    <t>Utilities</t>
  </si>
  <si>
    <t>Communication Services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</si>
  <si>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</si>
  <si>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</si>
  <si>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</si>
  <si>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</si>
  <si>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</si>
  <si>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</si>
  <si>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</si>
  <si>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</si>
  <si>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</si>
  <si>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2024-06-09</t>
  </si>
</sst>
</file>

<file path=xl/styles.xml><?xml version="1.0" encoding="utf-8"?>
<styleSheet xmlns="http://schemas.openxmlformats.org/spreadsheetml/2006/main">
  <numFmts count="5">
    <numFmt numFmtId="164" formatCode="$#,##0.00"/>
    <numFmt numFmtId="165" formatCode="0.0%"/>
    <numFmt numFmtId="166" formatCode="$#,##0"/>
    <numFmt numFmtId="167" formatCode="0.0"/>
    <numFmt numFmtId="168" formatCode="0.00"/>
  </numFmts>
  <fonts count="3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DADA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164" fontId="0" fillId="2" borderId="1" xfId="0" applyNumberFormat="1" applyFill="1" applyBorder="1"/>
    <xf numFmtId="165" fontId="0" fillId="2" borderId="1" xfId="0" applyNumberFormat="1" applyFill="1" applyBorder="1"/>
    <xf numFmtId="166" fontId="0" fillId="2" borderId="1" xfId="0" applyNumberFormat="1" applyFill="1" applyBorder="1"/>
    <xf numFmtId="167" fontId="0" fillId="2" borderId="1" xfId="0" applyNumberFormat="1" applyFill="1" applyBorder="1"/>
    <xf numFmtId="168" fontId="0" fillId="2" borderId="1" xfId="0" applyNumberFormat="1" applyFill="1" applyBorder="1"/>
    <xf numFmtId="0" fontId="2" fillId="0" borderId="1" xfId="0" applyFont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8"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/>
      </font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$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8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416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style="1" customWidth="1"/>
    <col min="2" max="2" width="45.7109375" style="2" customWidth="1"/>
    <col min="3" max="3" width="25.7109375" style="1" customWidth="1"/>
    <col min="4" max="4" width="10.7109375" style="3" customWidth="1"/>
    <col min="5" max="5" width="18.7109375" style="4" customWidth="1"/>
    <col min="6" max="6" width="25.7109375" style="4" customWidth="1"/>
    <col min="7" max="7" width="34.7109375" style="4" customWidth="1"/>
    <col min="8" max="8" width="22.7109375" style="3" customWidth="1"/>
    <col min="9" max="9" width="22.7109375" style="5" customWidth="1"/>
    <col min="10" max="10" width="22.7109375" style="6" customWidth="1"/>
    <col min="11" max="11" width="20.7109375" style="4" customWidth="1"/>
    <col min="12" max="12" width="15.7109375" style="7" customWidth="1"/>
    <col min="13" max="13" width="15.7109375" style="3" customWidth="1"/>
    <col min="14" max="14" width="15.7109375" style="3" customWidth="1"/>
  </cols>
  <sheetData>
    <row r="1" spans="1:14">
      <c r="A1" s="8" t="s">
        <v>13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</row>
    <row r="2" spans="1:14">
      <c r="A2" s="8" t="s">
        <v>14</v>
      </c>
      <c r="B2" s="2">
        <f>HYPERLINK("https://www.suredividend.com/sure-analysis-research-database/","Agilent Technologies Inc.")</f>
        <v>0</v>
      </c>
      <c r="C2" s="1" t="s">
        <v>3176</v>
      </c>
      <c r="D2" s="3">
        <v>132.98</v>
      </c>
      <c r="E2" s="4">
        <v>0.006915909004056001</v>
      </c>
      <c r="F2" s="4">
        <v>0.04888888888888898</v>
      </c>
      <c r="G2" s="4">
        <v>0.07550796487558231</v>
      </c>
      <c r="H2" s="3">
        <v>0.9196775793593911</v>
      </c>
      <c r="I2" s="5">
        <v>38798.360759</v>
      </c>
      <c r="J2" s="6">
        <v>31.23861574763285</v>
      </c>
      <c r="K2" s="4">
        <v>0.2179330756775808</v>
      </c>
      <c r="L2" s="7">
        <v>0.9465262704688571</v>
      </c>
      <c r="M2" s="3">
        <v>155.35</v>
      </c>
      <c r="N2" s="3">
        <v>96.48</v>
      </c>
    </row>
    <row r="3" spans="1:14">
      <c r="A3" s="8" t="s">
        <v>15</v>
      </c>
      <c r="B3" s="2">
        <f>HYPERLINK("https://www.suredividend.com/sure-analysis-research-database/","Alcoa Corp")</f>
        <v>0</v>
      </c>
      <c r="C3" s="1" t="s">
        <v>3177</v>
      </c>
      <c r="D3" s="3">
        <v>40.91</v>
      </c>
      <c r="E3" s="4">
        <v>0.009731810477281</v>
      </c>
      <c r="F3" s="4" t="s">
        <v>3178</v>
      </c>
      <c r="G3" s="4" t="s">
        <v>3178</v>
      </c>
      <c r="H3" s="3">
        <v>0.3981283666255711</v>
      </c>
      <c r="I3" s="5">
        <v>7345.786836</v>
      </c>
      <c r="J3" s="6" t="s">
        <v>3178</v>
      </c>
      <c r="K3" s="4" t="s">
        <v>3178</v>
      </c>
      <c r="L3" s="7">
        <v>1.99473987653691</v>
      </c>
      <c r="M3" s="3">
        <v>45.48</v>
      </c>
      <c r="N3" s="3">
        <v>22.83</v>
      </c>
    </row>
    <row r="4" spans="1:14">
      <c r="A4" s="8" t="s">
        <v>16</v>
      </c>
      <c r="B4" s="2">
        <f>HYPERLINK("https://www.suredividend.com/sure-analysis-research-database/","Ares Acquisition Corporation")</f>
        <v>0</v>
      </c>
      <c r="C4" s="1" t="s">
        <v>3178</v>
      </c>
      <c r="D4" s="3">
        <v>10.79</v>
      </c>
      <c r="E4" s="4">
        <v>0</v>
      </c>
      <c r="F4" s="4" t="s">
        <v>3178</v>
      </c>
      <c r="G4" s="4" t="s">
        <v>3178</v>
      </c>
      <c r="H4" s="3">
        <v>0</v>
      </c>
      <c r="I4" s="5">
        <v>492.069965</v>
      </c>
      <c r="J4" s="6">
        <v>0</v>
      </c>
      <c r="K4" s="4" t="s">
        <v>3178</v>
      </c>
      <c r="M4" s="3">
        <v>10.8</v>
      </c>
      <c r="N4" s="3">
        <v>9.01</v>
      </c>
    </row>
    <row r="5" spans="1:14">
      <c r="A5" s="8" t="s">
        <v>17</v>
      </c>
      <c r="B5" s="2">
        <f>HYPERLINK("https://www.suredividend.com/sure-analysis-research-database/","American Airlines Group Inc")</f>
        <v>0</v>
      </c>
      <c r="C5" s="1" t="s">
        <v>3179</v>
      </c>
      <c r="D5" s="3">
        <v>11.5</v>
      </c>
      <c r="E5" s="4">
        <v>0</v>
      </c>
      <c r="F5" s="4" t="s">
        <v>3178</v>
      </c>
      <c r="G5" s="4" t="s">
        <v>3178</v>
      </c>
      <c r="H5" s="3">
        <v>0</v>
      </c>
      <c r="I5" s="5">
        <v>7545.038956</v>
      </c>
      <c r="J5" s="6">
        <v>15.090077912</v>
      </c>
      <c r="K5" s="4">
        <v>0</v>
      </c>
      <c r="L5" s="7">
        <v>1.475921323408217</v>
      </c>
      <c r="M5" s="3">
        <v>19.08</v>
      </c>
      <c r="N5" s="3">
        <v>10.86</v>
      </c>
    </row>
    <row r="6" spans="1:14">
      <c r="A6" s="8" t="s">
        <v>18</v>
      </c>
      <c r="B6" s="2">
        <f>HYPERLINK("https://www.suredividend.com/sure-analysis-research-database/","Atlantic American Corp.")</f>
        <v>0</v>
      </c>
      <c r="C6" s="1" t="s">
        <v>3180</v>
      </c>
      <c r="D6" s="3">
        <v>1.78</v>
      </c>
      <c r="E6" s="4">
        <v>0.022279630278501</v>
      </c>
      <c r="F6" s="4" t="s">
        <v>3178</v>
      </c>
      <c r="G6" s="4" t="s">
        <v>3178</v>
      </c>
      <c r="H6" s="3">
        <v>0.03965774189573201</v>
      </c>
      <c r="I6" s="5">
        <v>36.311569</v>
      </c>
      <c r="J6" s="6">
        <v>0</v>
      </c>
      <c r="K6" s="4" t="s">
        <v>3178</v>
      </c>
      <c r="M6" s="3">
        <v>2.95</v>
      </c>
      <c r="N6" s="3">
        <v>1.46</v>
      </c>
    </row>
    <row r="7" spans="1:14">
      <c r="A7" s="8" t="s">
        <v>19</v>
      </c>
      <c r="B7" s="2">
        <f>HYPERLINK("https://www.suredividend.com/sure-analysis-research-database/","Aarons Company Inc (The)")</f>
        <v>0</v>
      </c>
      <c r="C7" s="1" t="s">
        <v>3179</v>
      </c>
      <c r="D7" s="3">
        <v>8.02</v>
      </c>
      <c r="E7" s="4">
        <v>0.060953512566417</v>
      </c>
      <c r="F7" s="4" t="s">
        <v>3178</v>
      </c>
      <c r="G7" s="4" t="s">
        <v>3178</v>
      </c>
      <c r="H7" s="3">
        <v>0.488847170782672</v>
      </c>
      <c r="I7" s="5">
        <v>245.616895</v>
      </c>
      <c r="J7" s="6" t="s">
        <v>3178</v>
      </c>
      <c r="K7" s="4" t="s">
        <v>3178</v>
      </c>
      <c r="L7" s="7">
        <v>1.230347049815997</v>
      </c>
      <c r="M7" s="3">
        <v>15.49</v>
      </c>
      <c r="N7" s="3">
        <v>6.52</v>
      </c>
    </row>
    <row r="8" spans="1:14">
      <c r="A8" s="8" t="s">
        <v>20</v>
      </c>
      <c r="B8" s="2">
        <f>HYPERLINK("https://www.suredividend.com/sure-analysis-research-database/","Applied Optoelectronics Inc")</f>
        <v>0</v>
      </c>
      <c r="C8" s="1" t="s">
        <v>3181</v>
      </c>
      <c r="D8" s="3">
        <v>10.55</v>
      </c>
      <c r="E8" s="4">
        <v>0</v>
      </c>
      <c r="F8" s="4" t="s">
        <v>3178</v>
      </c>
      <c r="G8" s="4" t="s">
        <v>3178</v>
      </c>
      <c r="H8" s="3">
        <v>0</v>
      </c>
      <c r="I8" s="5">
        <v>410.478693</v>
      </c>
      <c r="J8" s="6" t="s">
        <v>3178</v>
      </c>
      <c r="K8" s="4">
        <v>-0</v>
      </c>
      <c r="L8" s="7">
        <v>3.13393205197553</v>
      </c>
      <c r="M8" s="3">
        <v>24.75</v>
      </c>
      <c r="N8" s="3">
        <v>3.15</v>
      </c>
    </row>
    <row r="9" spans="1:14">
      <c r="A9" s="8" t="s">
        <v>21</v>
      </c>
      <c r="B9" s="2">
        <f>HYPERLINK("https://www.suredividend.com/sure-analysis-research-database/","AAON Inc.")</f>
        <v>0</v>
      </c>
      <c r="C9" s="1" t="s">
        <v>3179</v>
      </c>
      <c r="D9" s="3">
        <v>71.98999999999999</v>
      </c>
      <c r="E9" s="4">
        <v>0.0044341171578</v>
      </c>
      <c r="F9" s="4" t="s">
        <v>3178</v>
      </c>
      <c r="G9" s="4" t="s">
        <v>3178</v>
      </c>
      <c r="H9" s="3">
        <v>0.319212094190083</v>
      </c>
      <c r="I9" s="5">
        <v>5918.246139</v>
      </c>
      <c r="J9" s="6">
        <v>32.91114216149034</v>
      </c>
      <c r="K9" s="4">
        <v>0.1484707414837595</v>
      </c>
      <c r="L9" s="7">
        <v>1.141658175070338</v>
      </c>
      <c r="M9" s="3">
        <v>96.13</v>
      </c>
      <c r="N9" s="3">
        <v>52.01</v>
      </c>
    </row>
    <row r="10" spans="1:14">
      <c r="A10" s="8" t="s">
        <v>22</v>
      </c>
      <c r="B10" s="2">
        <f>HYPERLINK("https://www.suredividend.com/sure-analysis-research-database/","Advance Auto Parts Inc")</f>
        <v>0</v>
      </c>
      <c r="C10" s="1" t="s">
        <v>3182</v>
      </c>
      <c r="D10" s="3">
        <v>64.58</v>
      </c>
      <c r="E10" s="4">
        <v>0.015397039535998</v>
      </c>
      <c r="F10" s="4">
        <v>-0.8333333333333334</v>
      </c>
      <c r="G10" s="4">
        <v>0.3303249971309858</v>
      </c>
      <c r="H10" s="3">
        <v>0.9943408132348081</v>
      </c>
      <c r="I10" s="5">
        <v>3850.40794</v>
      </c>
      <c r="J10" s="6">
        <v>142.1024483414526</v>
      </c>
      <c r="K10" s="4">
        <v>2.190178002719842</v>
      </c>
      <c r="L10" s="7">
        <v>1.23408068146611</v>
      </c>
      <c r="M10" s="3">
        <v>88.28</v>
      </c>
      <c r="N10" s="3">
        <v>47.38</v>
      </c>
    </row>
    <row r="11" spans="1:14">
      <c r="A11" s="8" t="s">
        <v>23</v>
      </c>
      <c r="B11" s="2">
        <f>HYPERLINK("https://www.suredividend.com/sure-analysis-AAPL/","Apple Inc")</f>
        <v>0</v>
      </c>
      <c r="C11" s="1" t="s">
        <v>3181</v>
      </c>
      <c r="D11" s="3">
        <v>196.89</v>
      </c>
      <c r="E11" s="4">
        <v>0.005078978109604348</v>
      </c>
      <c r="F11" s="4">
        <v>0.04166666666666674</v>
      </c>
      <c r="G11" s="4">
        <v>-0.201472537571676</v>
      </c>
      <c r="H11" s="3">
        <v>0.966204324874062</v>
      </c>
      <c r="I11" s="5">
        <v>3019127.40498</v>
      </c>
      <c r="J11" s="6">
        <v>30.07428508083555</v>
      </c>
      <c r="K11" s="4">
        <v>0.1502650583007873</v>
      </c>
      <c r="L11" s="7">
        <v>1.048268962437083</v>
      </c>
      <c r="M11" s="3">
        <v>198.57</v>
      </c>
      <c r="N11" s="3">
        <v>163.63</v>
      </c>
    </row>
    <row r="12" spans="1:14">
      <c r="A12" s="8" t="s">
        <v>24</v>
      </c>
      <c r="B12" s="2">
        <f>HYPERLINK("https://www.suredividend.com/sure-analysis-AAT/","American Assets Trust Inc")</f>
        <v>0</v>
      </c>
      <c r="C12" s="1" t="s">
        <v>3183</v>
      </c>
      <c r="D12" s="3">
        <v>21.41</v>
      </c>
      <c r="E12" s="4">
        <v>0.06258757589911257</v>
      </c>
      <c r="F12" s="4">
        <v>0.01515151515151514</v>
      </c>
      <c r="G12" s="4">
        <v>0.03651920946403608</v>
      </c>
      <c r="H12" s="3">
        <v>1.299730311046766</v>
      </c>
      <c r="I12" s="5">
        <v>1303.734074</v>
      </c>
      <c r="J12" s="6">
        <v>24.36795024821502</v>
      </c>
      <c r="K12" s="4">
        <v>1.500150405178631</v>
      </c>
      <c r="L12" s="7">
        <v>1.284971683709779</v>
      </c>
      <c r="M12" s="3">
        <v>23.19</v>
      </c>
      <c r="N12" s="3">
        <v>16.37</v>
      </c>
    </row>
    <row r="13" spans="1:14">
      <c r="A13" s="8" t="s">
        <v>25</v>
      </c>
      <c r="B13" s="2">
        <f>HYPERLINK("https://www.suredividend.com/sure-analysis-research-database/","Atlas Air Worldwide Holdings Inc.")</f>
        <v>0</v>
      </c>
      <c r="C13" s="1" t="s">
        <v>3179</v>
      </c>
      <c r="D13" s="3">
        <v>102.48</v>
      </c>
      <c r="E13" s="4">
        <v>0</v>
      </c>
      <c r="F13" s="4" t="s">
        <v>3178</v>
      </c>
      <c r="G13" s="4" t="s">
        <v>3178</v>
      </c>
      <c r="H13" s="3">
        <v>0</v>
      </c>
      <c r="I13" s="5">
        <v>0</v>
      </c>
      <c r="J13" s="6">
        <v>0</v>
      </c>
      <c r="K13" s="4">
        <v>0</v>
      </c>
    </row>
    <row r="14" spans="1:14">
      <c r="A14" s="8" t="s">
        <v>26</v>
      </c>
      <c r="B14" s="2">
        <f>HYPERLINK("https://www.suredividend.com/sure-analysis-ABBV/","Abbvie Inc")</f>
        <v>0</v>
      </c>
      <c r="C14" s="1" t="s">
        <v>3176</v>
      </c>
      <c r="D14" s="3">
        <v>169.42</v>
      </c>
      <c r="E14" s="4">
        <v>0.03659544327706293</v>
      </c>
      <c r="F14" s="4">
        <v>0.04729729729729737</v>
      </c>
      <c r="G14" s="4">
        <v>0.07693522935536956</v>
      </c>
      <c r="H14" s="3">
        <v>5.976122604428062</v>
      </c>
      <c r="I14" s="5">
        <v>299173.319457</v>
      </c>
      <c r="J14" s="6">
        <v>50.27278095396068</v>
      </c>
      <c r="K14" s="4">
        <v>1.778607917984542</v>
      </c>
      <c r="L14" s="7">
        <v>0.361369518689758</v>
      </c>
      <c r="M14" s="3">
        <v>181.2</v>
      </c>
      <c r="N14" s="3">
        <v>125.85</v>
      </c>
    </row>
    <row r="15" spans="1:14">
      <c r="A15" s="8" t="s">
        <v>27</v>
      </c>
      <c r="B15" s="2">
        <f>HYPERLINK("https://www.suredividend.com/sure-analysis-research-database/","Ameris Bancorp")</f>
        <v>0</v>
      </c>
      <c r="C15" s="1" t="s">
        <v>3180</v>
      </c>
      <c r="D15" s="3">
        <v>47.58</v>
      </c>
      <c r="E15" s="4">
        <v>0.012489608121914</v>
      </c>
      <c r="F15" s="4">
        <v>0</v>
      </c>
      <c r="G15" s="4">
        <v>0.08447177119769855</v>
      </c>
      <c r="H15" s="3">
        <v>0.5942555544407081</v>
      </c>
      <c r="I15" s="5">
        <v>3288.123431</v>
      </c>
      <c r="J15" s="6">
        <v>11.61897493533478</v>
      </c>
      <c r="K15" s="4">
        <v>0.14494037913188</v>
      </c>
      <c r="L15" s="7">
        <v>1.391924306399444</v>
      </c>
      <c r="M15" s="3">
        <v>53.64</v>
      </c>
      <c r="N15" s="3">
        <v>31.81</v>
      </c>
    </row>
    <row r="16" spans="1:14">
      <c r="A16" s="8" t="s">
        <v>28</v>
      </c>
      <c r="B16" s="2">
        <f>HYPERLINK("https://www.suredividend.com/sure-analysis-research-database/","Abeona Therapeutics Inc")</f>
        <v>0</v>
      </c>
      <c r="C16" s="1" t="s">
        <v>3176</v>
      </c>
      <c r="D16" s="3">
        <v>4.27</v>
      </c>
      <c r="E16" s="4">
        <v>0</v>
      </c>
      <c r="F16" s="4" t="s">
        <v>3178</v>
      </c>
      <c r="G16" s="4" t="s">
        <v>3178</v>
      </c>
      <c r="H16" s="3">
        <v>0</v>
      </c>
      <c r="I16" s="5">
        <v>175.864237</v>
      </c>
      <c r="J16" s="6">
        <v>0</v>
      </c>
      <c r="K16" s="4" t="s">
        <v>3178</v>
      </c>
      <c r="L16" s="7">
        <v>0.38279461374103</v>
      </c>
      <c r="M16" s="3">
        <v>9.01</v>
      </c>
      <c r="N16" s="3">
        <v>2.83</v>
      </c>
    </row>
    <row r="17" spans="1:14">
      <c r="A17" s="8" t="s">
        <v>29</v>
      </c>
      <c r="B17" s="2">
        <f>HYPERLINK("https://www.suredividend.com/sure-analysis-research-database/","Asbury Automotive Group Inc")</f>
        <v>0</v>
      </c>
      <c r="C17" s="1" t="s">
        <v>3182</v>
      </c>
      <c r="D17" s="3">
        <v>234.22</v>
      </c>
      <c r="E17" s="4">
        <v>0</v>
      </c>
      <c r="F17" s="4" t="s">
        <v>3178</v>
      </c>
      <c r="G17" s="4" t="s">
        <v>3178</v>
      </c>
      <c r="H17" s="3">
        <v>0</v>
      </c>
      <c r="I17" s="5">
        <v>4724.74135</v>
      </c>
      <c r="J17" s="6">
        <v>8.315278687328405</v>
      </c>
      <c r="K17" s="4">
        <v>0</v>
      </c>
      <c r="L17" s="7">
        <v>1.40126086447433</v>
      </c>
      <c r="M17" s="3">
        <v>256.39</v>
      </c>
      <c r="N17" s="3">
        <v>178.4</v>
      </c>
    </row>
    <row r="18" spans="1:14">
      <c r="A18" s="8" t="s">
        <v>30</v>
      </c>
      <c r="B18" s="2">
        <f>HYPERLINK("https://www.suredividend.com/sure-analysis-research-database/","ARCA biopharma Inc")</f>
        <v>0</v>
      </c>
      <c r="C18" s="1" t="s">
        <v>3176</v>
      </c>
      <c r="D18" s="3">
        <v>3.28</v>
      </c>
      <c r="E18" s="4">
        <v>0</v>
      </c>
      <c r="F18" s="4" t="s">
        <v>3178</v>
      </c>
      <c r="G18" s="4" t="s">
        <v>3178</v>
      </c>
      <c r="H18" s="3">
        <v>0</v>
      </c>
      <c r="I18" s="5">
        <v>47.583429</v>
      </c>
      <c r="J18" s="6">
        <v>0</v>
      </c>
      <c r="K18" s="4" t="s">
        <v>3178</v>
      </c>
      <c r="L18" s="7">
        <v>0.5803387038667021</v>
      </c>
      <c r="M18" s="3">
        <v>4.49</v>
      </c>
      <c r="N18" s="3">
        <v>1.56</v>
      </c>
    </row>
    <row r="19" spans="1:14">
      <c r="A19" s="8" t="s">
        <v>31</v>
      </c>
      <c r="B19" s="2">
        <f>HYPERLINK("https://www.suredividend.com/sure-analysis-ABM/","ABM Industries Inc.")</f>
        <v>0</v>
      </c>
      <c r="C19" s="1" t="s">
        <v>3179</v>
      </c>
      <c r="D19" s="3">
        <v>50.94</v>
      </c>
      <c r="E19" s="4">
        <v>0.0176678445229682</v>
      </c>
      <c r="F19" s="4">
        <v>0.02272727272727271</v>
      </c>
      <c r="G19" s="4">
        <v>0.04563955259127317</v>
      </c>
      <c r="H19" s="3">
        <v>0.883216354828645</v>
      </c>
      <c r="I19" s="5">
        <v>3197.178956</v>
      </c>
      <c r="J19" s="6">
        <v>12.41140898920808</v>
      </c>
      <c r="K19" s="4">
        <v>0.2247369859614873</v>
      </c>
      <c r="L19" s="7">
        <v>0.9021640240724571</v>
      </c>
      <c r="M19" s="3">
        <v>52.52</v>
      </c>
      <c r="N19" s="3">
        <v>37.02</v>
      </c>
    </row>
    <row r="20" spans="1:14">
      <c r="A20" s="8" t="s">
        <v>32</v>
      </c>
      <c r="B20" s="2">
        <f>HYPERLINK("https://www.suredividend.com/sure-analysis-research-database/","Abiomed Inc.")</f>
        <v>0</v>
      </c>
      <c r="C20" s="1" t="s">
        <v>3176</v>
      </c>
      <c r="D20" s="3">
        <v>381.02</v>
      </c>
      <c r="E20" s="4">
        <v>0</v>
      </c>
      <c r="F20" s="4" t="s">
        <v>3178</v>
      </c>
      <c r="G20" s="4" t="s">
        <v>3178</v>
      </c>
      <c r="H20" s="3">
        <v>0</v>
      </c>
      <c r="I20" s="5">
        <v>0</v>
      </c>
      <c r="J20" s="6">
        <v>0</v>
      </c>
      <c r="K20" s="4">
        <v>0</v>
      </c>
    </row>
    <row r="21" spans="1:14">
      <c r="A21" s="8" t="s">
        <v>33</v>
      </c>
      <c r="B21" s="2">
        <f>HYPERLINK("https://www.suredividend.com/sure-analysis-ABR/","Arbor Realty Trust Inc.")</f>
        <v>0</v>
      </c>
      <c r="C21" s="1" t="s">
        <v>3183</v>
      </c>
      <c r="D21" s="3">
        <v>13.52</v>
      </c>
      <c r="E21" s="4">
        <v>0.1272189349112426</v>
      </c>
      <c r="F21" s="4">
        <v>0.02380952380952372</v>
      </c>
      <c r="G21" s="4">
        <v>0.07465593169226681</v>
      </c>
      <c r="H21" s="3">
        <v>1.642874287027283</v>
      </c>
      <c r="I21" s="5">
        <v>2548.718203</v>
      </c>
      <c r="J21" s="6">
        <v>8.394462148943248</v>
      </c>
      <c r="K21" s="4">
        <v>1.199178311698747</v>
      </c>
      <c r="L21" s="7">
        <v>1.482961868709473</v>
      </c>
      <c r="M21" s="3">
        <v>15.73</v>
      </c>
      <c r="N21" s="3">
        <v>11.05</v>
      </c>
    </row>
    <row r="22" spans="1:14">
      <c r="A22" s="8" t="s">
        <v>34</v>
      </c>
      <c r="B22" s="2">
        <f>HYPERLINK("https://www.suredividend.com/sure-analysis-ABT/","Abbott Laboratories")</f>
        <v>0</v>
      </c>
      <c r="C22" s="1" t="s">
        <v>3176</v>
      </c>
      <c r="D22" s="3">
        <v>107.58</v>
      </c>
      <c r="E22" s="4">
        <v>0.02044989775051125</v>
      </c>
      <c r="F22" s="4">
        <v>0.07843137254901977</v>
      </c>
      <c r="G22" s="4">
        <v>0.1144036920167593</v>
      </c>
      <c r="H22" s="3">
        <v>2.104592395521313</v>
      </c>
      <c r="I22" s="5">
        <v>187149.799793</v>
      </c>
      <c r="J22" s="6">
        <v>33.24152749435524</v>
      </c>
      <c r="K22" s="4">
        <v>0.6536001228327059</v>
      </c>
      <c r="L22" s="7">
        <v>0.403296538115742</v>
      </c>
      <c r="M22" s="3">
        <v>121.04</v>
      </c>
      <c r="N22" s="3">
        <v>88.8</v>
      </c>
    </row>
    <row r="23" spans="1:14">
      <c r="A23" s="8" t="s">
        <v>35</v>
      </c>
      <c r="B23" s="2">
        <f>HYPERLINK("https://www.suredividend.com/sure-analysis-research-database/","Allegiance Bancshares Inc")</f>
        <v>0</v>
      </c>
      <c r="C23" s="1" t="s">
        <v>3180</v>
      </c>
      <c r="D23" s="3">
        <v>41.63</v>
      </c>
      <c r="E23" s="4">
        <v>0</v>
      </c>
      <c r="F23" s="4" t="s">
        <v>3178</v>
      </c>
      <c r="G23" s="4" t="s">
        <v>3178</v>
      </c>
      <c r="H23" s="3">
        <v>0.53999999910593</v>
      </c>
      <c r="I23" s="5">
        <v>0</v>
      </c>
      <c r="J23" s="6">
        <v>0</v>
      </c>
      <c r="K23" s="4">
        <v>0.1459459457043054</v>
      </c>
    </row>
    <row r="24" spans="1:14">
      <c r="A24" s="8" t="s">
        <v>36</v>
      </c>
      <c r="B24" s="2">
        <f>HYPERLINK("https://www.suredividend.com/sure-analysis-research-database/","Associated Capital Group Inc")</f>
        <v>0</v>
      </c>
      <c r="C24" s="1" t="s">
        <v>3180</v>
      </c>
      <c r="D24" s="3">
        <v>34.24</v>
      </c>
      <c r="E24" s="4">
        <v>0.005832427095836001</v>
      </c>
      <c r="F24" s="4" t="s">
        <v>3178</v>
      </c>
      <c r="G24" s="4" t="s">
        <v>3178</v>
      </c>
      <c r="H24" s="3">
        <v>0.19970230376143</v>
      </c>
      <c r="I24" s="5">
        <v>83.91717199999999</v>
      </c>
      <c r="J24" s="6">
        <v>2.503644981204129</v>
      </c>
      <c r="K24" s="4">
        <v>0.1288401959751161</v>
      </c>
      <c r="L24" s="7">
        <v>0.315597227790793</v>
      </c>
      <c r="M24" s="3">
        <v>38.53</v>
      </c>
      <c r="N24" s="3">
        <v>31.12</v>
      </c>
    </row>
    <row r="25" spans="1:14">
      <c r="A25" s="8" t="s">
        <v>37</v>
      </c>
      <c r="B25" s="2">
        <f>HYPERLINK("https://www.suredividend.com/sure-analysis-research-database/","Arcosa Inc")</f>
        <v>0</v>
      </c>
      <c r="C25" s="1" t="s">
        <v>3179</v>
      </c>
      <c r="D25" s="3">
        <v>83.63</v>
      </c>
      <c r="E25" s="4">
        <v>0.002389220899547</v>
      </c>
      <c r="F25" s="4">
        <v>0</v>
      </c>
      <c r="G25" s="4">
        <v>0</v>
      </c>
      <c r="H25" s="3">
        <v>0.199810543829155</v>
      </c>
      <c r="I25" s="5">
        <v>4064.418</v>
      </c>
      <c r="J25" s="6">
        <v>28.46231092436975</v>
      </c>
      <c r="K25" s="4">
        <v>0.06819472485636689</v>
      </c>
      <c r="L25" s="7">
        <v>1.14222842836478</v>
      </c>
      <c r="M25" s="3">
        <v>89.44</v>
      </c>
      <c r="N25" s="3">
        <v>61.9</v>
      </c>
    </row>
    <row r="26" spans="1:14">
      <c r="A26" s="8" t="s">
        <v>38</v>
      </c>
      <c r="B26" s="2">
        <f>HYPERLINK("https://www.suredividend.com/sure-analysis-research-database/","Acadia Pharmaceuticals Inc")</f>
        <v>0</v>
      </c>
      <c r="C26" s="1" t="s">
        <v>3176</v>
      </c>
      <c r="D26" s="3">
        <v>14.89</v>
      </c>
      <c r="E26" s="4">
        <v>0</v>
      </c>
      <c r="F26" s="4" t="s">
        <v>3178</v>
      </c>
      <c r="G26" s="4" t="s">
        <v>3178</v>
      </c>
      <c r="H26" s="3">
        <v>0</v>
      </c>
      <c r="I26" s="5">
        <v>2460.138963</v>
      </c>
      <c r="J26" s="6" t="s">
        <v>3178</v>
      </c>
      <c r="K26" s="4">
        <v>-0</v>
      </c>
      <c r="L26" s="7">
        <v>0.9850664329658581</v>
      </c>
      <c r="M26" s="3">
        <v>33.99</v>
      </c>
      <c r="N26" s="3">
        <v>14.6</v>
      </c>
    </row>
    <row r="27" spans="1:14">
      <c r="A27" s="8" t="s">
        <v>39</v>
      </c>
      <c r="B27" s="2">
        <f>HYPERLINK("https://www.suredividend.com/sure-analysis-research-database/","Atlantic Capital Bancshares Inc")</f>
        <v>0</v>
      </c>
      <c r="C27" s="1" t="s">
        <v>3180</v>
      </c>
      <c r="D27" s="3">
        <v>32.34</v>
      </c>
      <c r="E27" s="4">
        <v>0</v>
      </c>
      <c r="F27" s="4" t="s">
        <v>3178</v>
      </c>
      <c r="G27" s="4" t="s">
        <v>3178</v>
      </c>
      <c r="H27" s="3">
        <v>0</v>
      </c>
      <c r="I27" s="5">
        <v>0</v>
      </c>
      <c r="J27" s="6">
        <v>0</v>
      </c>
      <c r="K27" s="4">
        <v>0</v>
      </c>
    </row>
    <row r="28" spans="1:14">
      <c r="A28" s="8" t="s">
        <v>40</v>
      </c>
      <c r="B28" s="2">
        <f>HYPERLINK("https://www.suredividend.com/sure-analysis-research-database/","American Campus Communities Inc.")</f>
        <v>0</v>
      </c>
      <c r="C28" s="1" t="s">
        <v>3183</v>
      </c>
      <c r="D28" s="3">
        <v>65.42</v>
      </c>
      <c r="E28" s="4">
        <v>0.021362831510309</v>
      </c>
      <c r="F28" s="4" t="s">
        <v>3178</v>
      </c>
      <c r="G28" s="4" t="s">
        <v>3178</v>
      </c>
      <c r="H28" s="3">
        <v>1.397556437404415</v>
      </c>
      <c r="I28" s="5">
        <v>9124.979953</v>
      </c>
      <c r="J28" s="6">
        <v>160.6821735448767</v>
      </c>
      <c r="K28" s="4">
        <v>3.447351843622139</v>
      </c>
      <c r="L28" s="7">
        <v>0.348487309616223</v>
      </c>
      <c r="M28" s="3">
        <v>65.45999999999999</v>
      </c>
      <c r="N28" s="3">
        <v>47.08</v>
      </c>
    </row>
    <row r="29" spans="1:14">
      <c r="A29" s="8" t="s">
        <v>41</v>
      </c>
      <c r="B29" s="2">
        <f>HYPERLINK("https://www.suredividend.com/sure-analysis-research-database/","Acco Brands Corporation")</f>
        <v>0</v>
      </c>
      <c r="C29" s="1" t="s">
        <v>3179</v>
      </c>
      <c r="D29" s="3">
        <v>4.96</v>
      </c>
      <c r="E29" s="4">
        <v>0.059175709001308</v>
      </c>
      <c r="F29" s="4">
        <v>0</v>
      </c>
      <c r="G29" s="4">
        <v>0.04563955259127317</v>
      </c>
      <c r="H29" s="3">
        <v>0.293511516646488</v>
      </c>
      <c r="I29" s="5">
        <v>474.176</v>
      </c>
      <c r="J29" s="6" t="s">
        <v>3178</v>
      </c>
      <c r="K29" s="4" t="s">
        <v>3178</v>
      </c>
      <c r="L29" s="7">
        <v>1.069318204839009</v>
      </c>
      <c r="M29" s="3">
        <v>6.43</v>
      </c>
      <c r="N29" s="3">
        <v>4.44</v>
      </c>
    </row>
    <row r="30" spans="1:14">
      <c r="A30" s="8" t="s">
        <v>42</v>
      </c>
      <c r="B30" s="2">
        <f>HYPERLINK("https://www.suredividend.com/sure-analysis-research-database/","Acer Therapeutics Inc")</f>
        <v>0</v>
      </c>
      <c r="C30" s="1" t="s">
        <v>3176</v>
      </c>
      <c r="D30" s="3">
        <v>0.9</v>
      </c>
      <c r="E30" s="4">
        <v>0</v>
      </c>
      <c r="F30" s="4" t="s">
        <v>3178</v>
      </c>
      <c r="G30" s="4" t="s">
        <v>3178</v>
      </c>
      <c r="H30" s="3">
        <v>0</v>
      </c>
      <c r="I30" s="5">
        <v>0</v>
      </c>
      <c r="J30" s="6">
        <v>0</v>
      </c>
      <c r="K30" s="4" t="s">
        <v>3178</v>
      </c>
    </row>
    <row r="31" spans="1:14">
      <c r="A31" s="8" t="s">
        <v>43</v>
      </c>
      <c r="B31" s="2">
        <f>HYPERLINK("https://www.suredividend.com/sure-analysis-research-database/","Arch Capital Group Ltd")</f>
        <v>0</v>
      </c>
      <c r="C31" s="1" t="s">
        <v>3180</v>
      </c>
      <c r="D31" s="3">
        <v>100.57</v>
      </c>
      <c r="E31" s="4">
        <v>0</v>
      </c>
      <c r="F31" s="4" t="s">
        <v>3178</v>
      </c>
      <c r="G31" s="4" t="s">
        <v>3178</v>
      </c>
      <c r="H31" s="3">
        <v>0</v>
      </c>
      <c r="I31" s="5">
        <v>37763.455415</v>
      </c>
      <c r="J31" s="6">
        <v>7.85429605139143</v>
      </c>
      <c r="K31" s="4">
        <v>0</v>
      </c>
      <c r="L31" s="7">
        <v>0.273696539348672</v>
      </c>
      <c r="M31" s="3">
        <v>103.79</v>
      </c>
      <c r="N31" s="3">
        <v>69.48999999999999</v>
      </c>
    </row>
    <row r="32" spans="1:14">
      <c r="A32" s="8" t="s">
        <v>44</v>
      </c>
      <c r="B32" s="2">
        <f>HYPERLINK("https://www.suredividend.com/sure-analysis-research-database/","Acadia Healthcare Company Inc")</f>
        <v>0</v>
      </c>
      <c r="C32" s="1" t="s">
        <v>3176</v>
      </c>
      <c r="D32" s="3">
        <v>69.42</v>
      </c>
      <c r="E32" s="4">
        <v>0</v>
      </c>
      <c r="F32" s="4" t="s">
        <v>3178</v>
      </c>
      <c r="G32" s="4" t="s">
        <v>3178</v>
      </c>
      <c r="H32" s="3">
        <v>0</v>
      </c>
      <c r="I32" s="5">
        <v>6440.41301</v>
      </c>
      <c r="J32" s="6" t="s">
        <v>3178</v>
      </c>
      <c r="K32" s="4">
        <v>-0</v>
      </c>
      <c r="L32" s="7">
        <v>0.799890971710376</v>
      </c>
      <c r="M32" s="3">
        <v>87.77</v>
      </c>
      <c r="N32" s="3">
        <v>62.04</v>
      </c>
    </row>
    <row r="33" spans="1:14">
      <c r="A33" s="8" t="s">
        <v>45</v>
      </c>
      <c r="B33" s="2">
        <f>HYPERLINK("https://www.suredividend.com/sure-analysis-research-database/","Achison Inc")</f>
        <v>0</v>
      </c>
      <c r="C33" s="1" t="s">
        <v>3178</v>
      </c>
      <c r="D33" s="3">
        <v>0.7912</v>
      </c>
      <c r="E33" s="4">
        <v>0</v>
      </c>
      <c r="F33" s="4" t="s">
        <v>3178</v>
      </c>
      <c r="G33" s="4" t="s">
        <v>3178</v>
      </c>
      <c r="H33" s="3">
        <v>0</v>
      </c>
      <c r="I33" s="5">
        <v>23.732044</v>
      </c>
      <c r="J33" s="6">
        <v>0</v>
      </c>
      <c r="K33" s="4" t="s">
        <v>3178</v>
      </c>
      <c r="M33" s="3">
        <v>1.01</v>
      </c>
      <c r="N33" s="3">
        <v>0.023</v>
      </c>
    </row>
    <row r="34" spans="1:14">
      <c r="A34" s="8" t="s">
        <v>46</v>
      </c>
      <c r="B34" s="2">
        <f>HYPERLINK("https://www.suredividend.com/sure-analysis-research-database/","Achieve Life Sciences Inc.")</f>
        <v>0</v>
      </c>
      <c r="C34" s="1" t="s">
        <v>3176</v>
      </c>
      <c r="D34" s="3">
        <v>5.32</v>
      </c>
      <c r="E34" s="4">
        <v>0</v>
      </c>
      <c r="F34" s="4" t="s">
        <v>3178</v>
      </c>
      <c r="G34" s="4" t="s">
        <v>3178</v>
      </c>
      <c r="H34" s="3">
        <v>0</v>
      </c>
      <c r="I34" s="5">
        <v>182.21</v>
      </c>
      <c r="J34" s="6">
        <v>0</v>
      </c>
      <c r="K34" s="4" t="s">
        <v>3178</v>
      </c>
      <c r="L34" s="7">
        <v>0.780531743879423</v>
      </c>
      <c r="M34" s="3">
        <v>6.4</v>
      </c>
      <c r="N34" s="3">
        <v>3.03</v>
      </c>
    </row>
    <row r="35" spans="1:14">
      <c r="A35" s="8" t="s">
        <v>47</v>
      </c>
      <c r="B35" s="2">
        <f>HYPERLINK("https://www.suredividend.com/sure-analysis-research-database/","Acacia Communications Inc")</f>
        <v>0</v>
      </c>
      <c r="C35" s="1" t="s">
        <v>3181</v>
      </c>
      <c r="D35" s="3">
        <v>114.99</v>
      </c>
      <c r="E35" s="4">
        <v>0</v>
      </c>
      <c r="F35" s="4" t="s">
        <v>3178</v>
      </c>
      <c r="G35" s="4" t="s">
        <v>3178</v>
      </c>
      <c r="H35" s="3">
        <v>0</v>
      </c>
      <c r="I35" s="5">
        <v>0</v>
      </c>
      <c r="J35" s="6">
        <v>0</v>
      </c>
      <c r="K35" s="4">
        <v>0</v>
      </c>
    </row>
    <row r="36" spans="1:14">
      <c r="A36" s="8" t="s">
        <v>48</v>
      </c>
      <c r="B36" s="2">
        <f>HYPERLINK("https://www.suredividend.com/sure-analysis-research-database/","ACI Worldwide Inc")</f>
        <v>0</v>
      </c>
      <c r="C36" s="1" t="s">
        <v>3181</v>
      </c>
      <c r="D36" s="3">
        <v>34.91</v>
      </c>
      <c r="E36" s="4">
        <v>0</v>
      </c>
      <c r="F36" s="4" t="s">
        <v>3178</v>
      </c>
      <c r="G36" s="4" t="s">
        <v>3178</v>
      </c>
      <c r="H36" s="3">
        <v>0</v>
      </c>
      <c r="I36" s="5">
        <v>3680.903139</v>
      </c>
      <c r="J36" s="6">
        <v>25.2002734292717</v>
      </c>
      <c r="K36" s="4">
        <v>0</v>
      </c>
      <c r="L36" s="7">
        <v>1.332051975055043</v>
      </c>
      <c r="M36" s="3">
        <v>37.85</v>
      </c>
      <c r="N36" s="3">
        <v>19.56</v>
      </c>
    </row>
    <row r="37" spans="1:14">
      <c r="A37" s="8" t="s">
        <v>49</v>
      </c>
      <c r="B37" s="2">
        <f>HYPERLINK("https://www.suredividend.com/sure-analysis-research-database/","Axcelis Technologies Inc")</f>
        <v>0</v>
      </c>
      <c r="C37" s="1" t="s">
        <v>3181</v>
      </c>
      <c r="D37" s="3">
        <v>124.96</v>
      </c>
      <c r="E37" s="4">
        <v>0</v>
      </c>
      <c r="F37" s="4" t="s">
        <v>3178</v>
      </c>
      <c r="G37" s="4" t="s">
        <v>3178</v>
      </c>
      <c r="H37" s="3">
        <v>0</v>
      </c>
      <c r="I37" s="5">
        <v>4065.26095</v>
      </c>
      <c r="J37" s="6">
        <v>16.25057842781249</v>
      </c>
      <c r="K37" s="4">
        <v>0</v>
      </c>
      <c r="L37" s="7">
        <v>2.387443456974582</v>
      </c>
      <c r="M37" s="3">
        <v>201</v>
      </c>
      <c r="N37" s="3">
        <v>93.77</v>
      </c>
    </row>
    <row r="38" spans="1:14">
      <c r="A38" s="8" t="s">
        <v>50</v>
      </c>
      <c r="B38" s="2">
        <f>HYPERLINK("https://www.suredividend.com/sure-analysis-research-database/","AECOM")</f>
        <v>0</v>
      </c>
      <c r="C38" s="1" t="s">
        <v>3179</v>
      </c>
      <c r="D38" s="3">
        <v>85.8</v>
      </c>
      <c r="E38" s="4">
        <v>0.009293180946547</v>
      </c>
      <c r="F38" s="4" t="s">
        <v>3178</v>
      </c>
      <c r="G38" s="4" t="s">
        <v>3178</v>
      </c>
      <c r="H38" s="3">
        <v>0.7973549252137361</v>
      </c>
      <c r="I38" s="5">
        <v>11679.73092</v>
      </c>
      <c r="J38" s="6" t="s">
        <v>3178</v>
      </c>
      <c r="K38" s="4" t="s">
        <v>3178</v>
      </c>
      <c r="L38" s="7">
        <v>0.991619560236884</v>
      </c>
      <c r="M38" s="3">
        <v>98.48999999999999</v>
      </c>
      <c r="N38" s="3">
        <v>74.05</v>
      </c>
    </row>
    <row r="39" spans="1:14">
      <c r="A39" s="8" t="s">
        <v>51</v>
      </c>
      <c r="B39" s="2">
        <f>HYPERLINK("https://www.suredividend.com/sure-analysis-research-database/","ACM Research Inc")</f>
        <v>0</v>
      </c>
      <c r="C39" s="1" t="s">
        <v>3181</v>
      </c>
      <c r="D39" s="3">
        <v>22.41</v>
      </c>
      <c r="E39" s="4">
        <v>0</v>
      </c>
      <c r="F39" s="4" t="s">
        <v>3178</v>
      </c>
      <c r="G39" s="4" t="s">
        <v>3178</v>
      </c>
      <c r="H39" s="3">
        <v>0</v>
      </c>
      <c r="I39" s="5">
        <v>1277.073673</v>
      </c>
      <c r="J39" s="6">
        <v>14.57231161005055</v>
      </c>
      <c r="K39" s="4">
        <v>0</v>
      </c>
      <c r="L39" s="7">
        <v>2.91967420086621</v>
      </c>
      <c r="M39" s="3">
        <v>34.4</v>
      </c>
      <c r="N39" s="3">
        <v>10.32</v>
      </c>
    </row>
    <row r="40" spans="1:14">
      <c r="A40" s="8" t="s">
        <v>52</v>
      </c>
      <c r="B40" s="2">
        <f>HYPERLINK("https://www.suredividend.com/sure-analysis-ACN/","Accenture plc")</f>
        <v>0</v>
      </c>
      <c r="C40" s="1" t="s">
        <v>3181</v>
      </c>
      <c r="D40" s="3">
        <v>288.4</v>
      </c>
      <c r="E40" s="4">
        <v>0.01789181692094314</v>
      </c>
      <c r="F40" s="4">
        <v>0.1517857142857142</v>
      </c>
      <c r="G40" s="4">
        <v>0.100271705097241</v>
      </c>
      <c r="H40" s="3">
        <v>4.962402681965731</v>
      </c>
      <c r="I40" s="5">
        <v>193349.630393</v>
      </c>
      <c r="J40" s="6">
        <v>27.49856716942136</v>
      </c>
      <c r="K40" s="4">
        <v>0.4503087733181244</v>
      </c>
      <c r="L40" s="7">
        <v>0.9624315230224111</v>
      </c>
      <c r="M40" s="3">
        <v>386.02</v>
      </c>
      <c r="N40" s="3">
        <v>278.69</v>
      </c>
    </row>
    <row r="41" spans="1:14">
      <c r="A41" s="8" t="s">
        <v>53</v>
      </c>
      <c r="B41" s="2">
        <f>HYPERLINK("https://www.suredividend.com/sure-analysis-research-database/","ACNB Corp.")</f>
        <v>0</v>
      </c>
      <c r="C41" s="1" t="s">
        <v>3180</v>
      </c>
      <c r="D41" s="3">
        <v>31</v>
      </c>
      <c r="E41" s="4">
        <v>0.037710051683111</v>
      </c>
      <c r="F41" s="4">
        <v>0.1428571428571428</v>
      </c>
      <c r="G41" s="4">
        <v>0.05061112176150684</v>
      </c>
      <c r="H41" s="3">
        <v>1.169011602176441</v>
      </c>
      <c r="I41" s="5">
        <v>264.726825</v>
      </c>
      <c r="J41" s="6">
        <v>0</v>
      </c>
      <c r="K41" s="4" t="s">
        <v>3178</v>
      </c>
      <c r="L41" s="7">
        <v>0.872686477993854</v>
      </c>
      <c r="M41" s="3">
        <v>46.8</v>
      </c>
      <c r="N41" s="3">
        <v>28.92</v>
      </c>
    </row>
    <row r="42" spans="1:14">
      <c r="A42" s="8" t="s">
        <v>54</v>
      </c>
      <c r="B42" s="2">
        <f>HYPERLINK("https://www.suredividend.com/sure-analysis-research-database/","Acorda Therapeutics Inc")</f>
        <v>0</v>
      </c>
      <c r="C42" s="1" t="s">
        <v>3176</v>
      </c>
      <c r="D42" s="3">
        <v>0.661</v>
      </c>
      <c r="E42" s="4">
        <v>0</v>
      </c>
      <c r="F42" s="4" t="s">
        <v>3178</v>
      </c>
      <c r="G42" s="4" t="s">
        <v>3178</v>
      </c>
      <c r="H42" s="3">
        <v>0</v>
      </c>
      <c r="I42" s="5">
        <v>0</v>
      </c>
      <c r="J42" s="6">
        <v>0</v>
      </c>
      <c r="K42" s="4">
        <v>-0</v>
      </c>
    </row>
    <row r="43" spans="1:14">
      <c r="A43" s="8" t="s">
        <v>55</v>
      </c>
      <c r="B43" s="2">
        <f>HYPERLINK("https://www.suredividend.com/sure-analysis-ACRE/","Ares Commercial Real Estate Corp")</f>
        <v>0</v>
      </c>
      <c r="C43" s="1" t="s">
        <v>3183</v>
      </c>
      <c r="D43" s="3">
        <v>7.01</v>
      </c>
      <c r="E43" s="4">
        <v>0.1426533523537803</v>
      </c>
      <c r="F43" s="4">
        <v>11.5</v>
      </c>
      <c r="G43" s="4">
        <v>0.6572270086699934</v>
      </c>
      <c r="H43" s="3">
        <v>1.19574176838795</v>
      </c>
      <c r="I43" s="5">
        <v>382.092745</v>
      </c>
      <c r="J43" s="6" t="s">
        <v>3178</v>
      </c>
      <c r="K43" s="4" t="s">
        <v>3178</v>
      </c>
      <c r="L43" s="7">
        <v>1.315979637057595</v>
      </c>
      <c r="M43" s="3">
        <v>10.54</v>
      </c>
      <c r="N43" s="3">
        <v>6.36</v>
      </c>
    </row>
    <row r="44" spans="1:14">
      <c r="A44" s="8" t="s">
        <v>56</v>
      </c>
      <c r="B44" s="2">
        <f>HYPERLINK("https://www.suredividend.com/sure-analysis-research-database/","Aclaris Therapeutics Inc")</f>
        <v>0</v>
      </c>
      <c r="C44" s="1" t="s">
        <v>3176</v>
      </c>
      <c r="D44" s="3">
        <v>1.01</v>
      </c>
      <c r="E44" s="4">
        <v>0</v>
      </c>
      <c r="F44" s="4" t="s">
        <v>3178</v>
      </c>
      <c r="G44" s="4" t="s">
        <v>3178</v>
      </c>
      <c r="H44" s="3">
        <v>0</v>
      </c>
      <c r="I44" s="5">
        <v>71.977434</v>
      </c>
      <c r="J44" s="6" t="s">
        <v>3178</v>
      </c>
      <c r="K44" s="4">
        <v>-0</v>
      </c>
      <c r="L44" s="7">
        <v>1.45242226427274</v>
      </c>
      <c r="M44" s="3">
        <v>11.12</v>
      </c>
      <c r="N44" s="3">
        <v>0.5902000000000001</v>
      </c>
    </row>
    <row r="45" spans="1:14">
      <c r="A45" s="8" t="s">
        <v>57</v>
      </c>
      <c r="B45" s="2">
        <f>HYPERLINK("https://www.suredividend.com/sure-analysis-research-database/","Acacia Research Corp")</f>
        <v>0</v>
      </c>
      <c r="C45" s="1" t="s">
        <v>3179</v>
      </c>
      <c r="D45" s="3">
        <v>5.19</v>
      </c>
      <c r="E45" s="4">
        <v>0</v>
      </c>
      <c r="F45" s="4" t="s">
        <v>3178</v>
      </c>
      <c r="G45" s="4" t="s">
        <v>3178</v>
      </c>
      <c r="H45" s="3">
        <v>0</v>
      </c>
      <c r="I45" s="5">
        <v>519.113926</v>
      </c>
      <c r="J45" s="6">
        <v>9.414470904787812</v>
      </c>
      <c r="K45" s="4">
        <v>0</v>
      </c>
      <c r="L45" s="7">
        <v>0.8881543142012891</v>
      </c>
      <c r="M45" s="3">
        <v>5.74</v>
      </c>
      <c r="N45" s="3">
        <v>3.43</v>
      </c>
    </row>
    <row r="46" spans="1:14">
      <c r="A46" s="8" t="s">
        <v>58</v>
      </c>
      <c r="B46" s="2">
        <f>HYPERLINK("https://www.suredividend.com/sure-analysis-research-database/","Acme United Corp.")</f>
        <v>0</v>
      </c>
      <c r="C46" s="1" t="s">
        <v>3184</v>
      </c>
      <c r="D46" s="3">
        <v>36.41</v>
      </c>
      <c r="E46" s="4">
        <v>0.015758180230164</v>
      </c>
      <c r="F46" s="4">
        <v>0.0714285714285714</v>
      </c>
      <c r="G46" s="4">
        <v>0.04563955259127317</v>
      </c>
      <c r="H46" s="3">
        <v>0.573755342180294</v>
      </c>
      <c r="I46" s="5">
        <v>133.329051</v>
      </c>
      <c r="J46" s="6">
        <v>0</v>
      </c>
      <c r="K46" s="4" t="s">
        <v>3178</v>
      </c>
      <c r="L46" s="7">
        <v>0.4132944848961591</v>
      </c>
      <c r="M46" s="3">
        <v>50.65</v>
      </c>
      <c r="N46" s="3">
        <v>23.2</v>
      </c>
    </row>
    <row r="47" spans="1:14">
      <c r="A47" s="8" t="s">
        <v>59</v>
      </c>
      <c r="B47" s="2">
        <f>HYPERLINK("https://www.suredividend.com/sure-analysis-research-database/","Adobe Inc")</f>
        <v>0</v>
      </c>
      <c r="C47" s="1" t="s">
        <v>3181</v>
      </c>
      <c r="D47" s="3">
        <v>465.43</v>
      </c>
      <c r="E47" s="4">
        <v>0</v>
      </c>
      <c r="F47" s="4" t="s">
        <v>3178</v>
      </c>
      <c r="G47" s="4" t="s">
        <v>3178</v>
      </c>
      <c r="H47" s="3">
        <v>0</v>
      </c>
      <c r="I47" s="5">
        <v>208512.64</v>
      </c>
      <c r="J47" s="6">
        <v>43.43108519058529</v>
      </c>
      <c r="K47" s="4">
        <v>0</v>
      </c>
      <c r="L47" s="7">
        <v>1.513829527852247</v>
      </c>
      <c r="M47" s="3">
        <v>638.25</v>
      </c>
      <c r="N47" s="3">
        <v>433.97</v>
      </c>
    </row>
    <row r="48" spans="1:14">
      <c r="A48" s="8" t="s">
        <v>60</v>
      </c>
      <c r="B48" s="2">
        <f>HYPERLINK("https://www.suredividend.com/sure-analysis-ADC/","Agree Realty Corp.")</f>
        <v>0</v>
      </c>
      <c r="C48" s="1" t="s">
        <v>3183</v>
      </c>
      <c r="D48" s="3">
        <v>61.15</v>
      </c>
      <c r="E48" s="4">
        <v>0.04971381847914964</v>
      </c>
      <c r="F48" s="4">
        <v>0.01214574898785425</v>
      </c>
      <c r="G48" s="4">
        <v>0.008197818497166498</v>
      </c>
      <c r="H48" s="3">
        <v>2.886447941081606</v>
      </c>
      <c r="I48" s="5">
        <v>6153.27672</v>
      </c>
      <c r="J48" s="6">
        <v>37.21409826668602</v>
      </c>
      <c r="K48" s="4">
        <v>1.707957361586749</v>
      </c>
      <c r="L48" s="7">
        <v>0.5915937030363521</v>
      </c>
      <c r="M48" s="3">
        <v>66.14</v>
      </c>
      <c r="N48" s="3">
        <v>51.15</v>
      </c>
    </row>
    <row r="49" spans="1:14">
      <c r="A49" s="8" t="s">
        <v>61</v>
      </c>
      <c r="B49" s="2">
        <f>HYPERLINK("https://www.suredividend.com/sure-analysis-research-database/","")</f>
        <v>0</v>
      </c>
      <c r="C49" s="1" t="s">
        <v>3179</v>
      </c>
      <c r="D49" s="3">
        <v>3.36</v>
      </c>
      <c r="E49" s="4">
        <v>0</v>
      </c>
      <c r="F49" s="4" t="s">
        <v>3178</v>
      </c>
      <c r="G49" s="4" t="s">
        <v>3178</v>
      </c>
      <c r="H49" s="3">
        <v>0</v>
      </c>
      <c r="I49" s="5">
        <v>119.69667</v>
      </c>
      <c r="J49" s="6" t="s">
        <v>3178</v>
      </c>
      <c r="K49" s="4">
        <v>-0</v>
      </c>
      <c r="L49" s="7">
        <v>1.113107776115896</v>
      </c>
      <c r="M49" s="3">
        <v>3.78</v>
      </c>
      <c r="N49" s="3">
        <v>1.17</v>
      </c>
    </row>
    <row r="50" spans="1:14">
      <c r="A50" s="8" t="s">
        <v>62</v>
      </c>
      <c r="B50" s="2">
        <f>HYPERLINK("https://www.suredividend.com/sure-analysis-ADI/","Analog Devices Inc.")</f>
        <v>0</v>
      </c>
      <c r="C50" s="1" t="s">
        <v>3181</v>
      </c>
      <c r="D50" s="3">
        <v>234.77</v>
      </c>
      <c r="E50" s="4">
        <v>0.01567491587511181</v>
      </c>
      <c r="F50" s="4">
        <v>0.06976744186046524</v>
      </c>
      <c r="G50" s="4">
        <v>0.1124456791067754</v>
      </c>
      <c r="H50" s="3">
        <v>3.525574733674683</v>
      </c>
      <c r="I50" s="5">
        <v>116496.831518</v>
      </c>
      <c r="J50" s="6">
        <v>54.42714064163635</v>
      </c>
      <c r="K50" s="4">
        <v>0.8237324144099726</v>
      </c>
      <c r="L50" s="7">
        <v>1.390872530089871</v>
      </c>
      <c r="M50" s="3">
        <v>240.92</v>
      </c>
      <c r="N50" s="3">
        <v>151.5</v>
      </c>
    </row>
    <row r="51" spans="1:14">
      <c r="A51" s="8" t="s">
        <v>63</v>
      </c>
      <c r="B51" s="2">
        <f>HYPERLINK("https://www.suredividend.com/sure-analysis-ADM/","Archer Daniels Midland Co.")</f>
        <v>0</v>
      </c>
      <c r="C51" s="1" t="s">
        <v>3184</v>
      </c>
      <c r="D51" s="3">
        <v>61.27</v>
      </c>
      <c r="E51" s="4">
        <v>0.03264240248082258</v>
      </c>
      <c r="F51" s="4">
        <v>0.1111111111111112</v>
      </c>
      <c r="G51" s="4">
        <v>0.07394092378577932</v>
      </c>
      <c r="H51" s="3">
        <v>1.877562012083733</v>
      </c>
      <c r="I51" s="5">
        <v>30294.203332</v>
      </c>
      <c r="J51" s="6">
        <v>9.958646723218278</v>
      </c>
      <c r="K51" s="4">
        <v>0.3288199670899707</v>
      </c>
      <c r="L51" s="7">
        <v>0.5746661437666291</v>
      </c>
      <c r="M51" s="3">
        <v>84.8</v>
      </c>
      <c r="N51" s="3">
        <v>49.84</v>
      </c>
    </row>
    <row r="52" spans="1:14">
      <c r="A52" s="8" t="s">
        <v>64</v>
      </c>
      <c r="B52" s="2">
        <f>HYPERLINK("https://www.suredividend.com/sure-analysis-research-database/","Adma Biologics Inc")</f>
        <v>0</v>
      </c>
      <c r="C52" s="1" t="s">
        <v>3176</v>
      </c>
      <c r="D52" s="3">
        <v>10.47</v>
      </c>
      <c r="E52" s="4">
        <v>0</v>
      </c>
      <c r="F52" s="4" t="s">
        <v>3178</v>
      </c>
      <c r="G52" s="4" t="s">
        <v>3178</v>
      </c>
      <c r="H52" s="3">
        <v>0</v>
      </c>
      <c r="I52" s="5">
        <v>2427.042293</v>
      </c>
      <c r="J52" s="6">
        <v>0</v>
      </c>
      <c r="K52" s="4" t="s">
        <v>3178</v>
      </c>
      <c r="L52" s="7">
        <v>1.209553827428596</v>
      </c>
      <c r="M52" s="3">
        <v>10.86</v>
      </c>
      <c r="N52" s="3">
        <v>3.06</v>
      </c>
    </row>
    <row r="53" spans="1:14">
      <c r="A53" s="8" t="s">
        <v>65</v>
      </c>
      <c r="B53" s="2">
        <f>HYPERLINK("https://www.suredividend.com/sure-analysis-research-database/","Adamis Pharmaceuticals Corp")</f>
        <v>0</v>
      </c>
      <c r="C53" s="1" t="s">
        <v>3176</v>
      </c>
      <c r="D53" s="3">
        <v>0.06</v>
      </c>
      <c r="E53" s="4">
        <v>0</v>
      </c>
      <c r="F53" s="4" t="s">
        <v>3178</v>
      </c>
      <c r="G53" s="4" t="s">
        <v>3178</v>
      </c>
      <c r="H53" s="3">
        <v>0</v>
      </c>
      <c r="I53" s="5">
        <v>7.254264</v>
      </c>
      <c r="J53" s="6" t="s">
        <v>3178</v>
      </c>
      <c r="K53" s="4">
        <v>-0</v>
      </c>
      <c r="M53" s="3">
        <v>26.18</v>
      </c>
      <c r="N53" s="3">
        <v>0.75</v>
      </c>
    </row>
    <row r="54" spans="1:14">
      <c r="A54" s="8" t="s">
        <v>66</v>
      </c>
      <c r="B54" s="2">
        <f>HYPERLINK("https://www.suredividend.com/sure-analysis-research-database/","Adamas Pharmaceuticals Inc")</f>
        <v>0</v>
      </c>
      <c r="C54" s="1" t="s">
        <v>3176</v>
      </c>
      <c r="D54" s="3">
        <v>8.220000000000001</v>
      </c>
      <c r="E54" s="4">
        <v>0</v>
      </c>
      <c r="F54" s="4" t="s">
        <v>3178</v>
      </c>
      <c r="G54" s="4" t="s">
        <v>3178</v>
      </c>
      <c r="H54" s="3">
        <v>0</v>
      </c>
      <c r="I54" s="5">
        <v>0</v>
      </c>
      <c r="J54" s="6">
        <v>0</v>
      </c>
      <c r="K54" s="4">
        <v>-0</v>
      </c>
    </row>
    <row r="55" spans="1:14">
      <c r="A55" s="8" t="s">
        <v>67</v>
      </c>
      <c r="B55" s="2">
        <f>HYPERLINK("https://www.suredividend.com/sure-analysis-research-database/","Adient plc")</f>
        <v>0</v>
      </c>
      <c r="C55" s="1" t="s">
        <v>3182</v>
      </c>
      <c r="D55" s="3">
        <v>27.88</v>
      </c>
      <c r="E55" s="4">
        <v>0</v>
      </c>
      <c r="F55" s="4" t="s">
        <v>3178</v>
      </c>
      <c r="G55" s="4" t="s">
        <v>3178</v>
      </c>
      <c r="H55" s="3">
        <v>0</v>
      </c>
      <c r="I55" s="5">
        <v>2504.283</v>
      </c>
      <c r="J55" s="6">
        <v>15.84989240227848</v>
      </c>
      <c r="K55" s="4">
        <v>0</v>
      </c>
      <c r="L55" s="7">
        <v>1.30347280966761</v>
      </c>
      <c r="M55" s="3">
        <v>46.51</v>
      </c>
      <c r="N55" s="3">
        <v>26.78</v>
      </c>
    </row>
    <row r="56" spans="1:14">
      <c r="A56" s="8" t="s">
        <v>68</v>
      </c>
      <c r="B56" s="2">
        <f>HYPERLINK("https://www.suredividend.com/sure-analysis-ADP/","Automatic Data Processing Inc.")</f>
        <v>0</v>
      </c>
      <c r="C56" s="1" t="s">
        <v>3179</v>
      </c>
      <c r="D56" s="3">
        <v>252.32</v>
      </c>
      <c r="E56" s="4">
        <v>0.02219403931515536</v>
      </c>
      <c r="F56" s="4">
        <v>0.1199999999999999</v>
      </c>
      <c r="G56" s="4">
        <v>0.1212441466839236</v>
      </c>
      <c r="H56" s="3">
        <v>4.019842458096161</v>
      </c>
      <c r="I56" s="5">
        <v>103272.38889</v>
      </c>
      <c r="J56" s="6">
        <v>27.91522878503582</v>
      </c>
      <c r="K56" s="4">
        <v>0.4486431314839465</v>
      </c>
      <c r="L56" s="7">
        <v>0.5767475806312671</v>
      </c>
      <c r="M56" s="3">
        <v>255.1</v>
      </c>
      <c r="N56" s="3">
        <v>201.89</v>
      </c>
    </row>
    <row r="57" spans="1:14">
      <c r="A57" s="8" t="s">
        <v>69</v>
      </c>
      <c r="B57" s="2">
        <f>HYPERLINK("https://www.suredividend.com/sure-analysis-research-database/","Autodesk Inc.")</f>
        <v>0</v>
      </c>
      <c r="C57" s="1" t="s">
        <v>3181</v>
      </c>
      <c r="D57" s="3">
        <v>216.05</v>
      </c>
      <c r="E57" s="4">
        <v>0</v>
      </c>
      <c r="F57" s="4" t="s">
        <v>3178</v>
      </c>
      <c r="G57" s="4" t="s">
        <v>3178</v>
      </c>
      <c r="H57" s="3">
        <v>0</v>
      </c>
      <c r="I57" s="5">
        <v>46553.638627</v>
      </c>
      <c r="J57" s="6">
        <v>50.76732674732825</v>
      </c>
      <c r="K57" s="4">
        <v>0</v>
      </c>
      <c r="L57" s="7">
        <v>1.518652193284057</v>
      </c>
      <c r="M57" s="3">
        <v>279.53</v>
      </c>
      <c r="N57" s="3">
        <v>192.01</v>
      </c>
    </row>
    <row r="58" spans="1:14">
      <c r="A58" s="8" t="s">
        <v>70</v>
      </c>
      <c r="B58" s="2">
        <f>HYPERLINK("https://www.suredividend.com/sure-analysis-research-database/","ADT Inc")</f>
        <v>0</v>
      </c>
      <c r="C58" s="1" t="s">
        <v>3179</v>
      </c>
      <c r="D58" s="3">
        <v>7.35</v>
      </c>
      <c r="E58" s="4">
        <v>0.021570449638557</v>
      </c>
      <c r="F58" s="4">
        <v>0.5714285714285714</v>
      </c>
      <c r="G58" s="4">
        <v>0.09460878422315755</v>
      </c>
      <c r="H58" s="3">
        <v>0.158542804843398</v>
      </c>
      <c r="I58" s="5">
        <v>6288.876112</v>
      </c>
      <c r="J58" s="6">
        <v>9.33903197081365</v>
      </c>
      <c r="K58" s="4">
        <v>0.2184086028976416</v>
      </c>
      <c r="L58" s="7">
        <v>1.297259544565997</v>
      </c>
      <c r="M58" s="3">
        <v>7.54</v>
      </c>
      <c r="N58" s="3">
        <v>5.45</v>
      </c>
    </row>
    <row r="59" spans="1:14">
      <c r="A59" s="8" t="s">
        <v>71</v>
      </c>
      <c r="B59" s="2">
        <f>HYPERLINK("https://www.suredividend.com/sure-analysis-research-database/","ADTRAN Holdings Inc")</f>
        <v>0</v>
      </c>
      <c r="C59" s="1" t="s">
        <v>3181</v>
      </c>
      <c r="D59" s="3">
        <v>5.34</v>
      </c>
      <c r="E59" s="4">
        <v>0.016853933253984</v>
      </c>
      <c r="F59" s="4" t="s">
        <v>3178</v>
      </c>
      <c r="G59" s="4" t="s">
        <v>3178</v>
      </c>
      <c r="H59" s="3">
        <v>0.09000000357627801</v>
      </c>
      <c r="I59" s="5">
        <v>422.482297</v>
      </c>
      <c r="J59" s="6">
        <v>0</v>
      </c>
      <c r="K59" s="4" t="s">
        <v>3178</v>
      </c>
      <c r="L59" s="7">
        <v>1.333042663656807</v>
      </c>
      <c r="M59" s="3">
        <v>10.9</v>
      </c>
      <c r="N59" s="3">
        <v>4.34</v>
      </c>
    </row>
    <row r="60" spans="1:14">
      <c r="A60" s="8" t="s">
        <v>72</v>
      </c>
      <c r="B60" s="2">
        <f>HYPERLINK("https://www.suredividend.com/sure-analysis-research-database/","Addus HomeCare Corporation")</f>
        <v>0</v>
      </c>
      <c r="C60" s="1" t="s">
        <v>3176</v>
      </c>
      <c r="D60" s="3">
        <v>114.54</v>
      </c>
      <c r="E60" s="4">
        <v>0</v>
      </c>
      <c r="F60" s="4" t="s">
        <v>3178</v>
      </c>
      <c r="G60" s="4" t="s">
        <v>3178</v>
      </c>
      <c r="H60" s="3">
        <v>0</v>
      </c>
      <c r="I60" s="5">
        <v>1875.058285</v>
      </c>
      <c r="J60" s="6">
        <v>28.55230292579678</v>
      </c>
      <c r="K60" s="4">
        <v>0</v>
      </c>
      <c r="L60" s="7">
        <v>0.8396586112871011</v>
      </c>
      <c r="M60" s="3">
        <v>116.89</v>
      </c>
      <c r="N60" s="3">
        <v>78.34999999999999</v>
      </c>
    </row>
    <row r="61" spans="1:14">
      <c r="A61" s="8" t="s">
        <v>73</v>
      </c>
      <c r="B61" s="2">
        <f>HYPERLINK("https://www.suredividend.com/sure-analysis-research-database/","Adverum Biotechnologies Inc")</f>
        <v>0</v>
      </c>
      <c r="C61" s="1" t="s">
        <v>3176</v>
      </c>
      <c r="D61" s="3">
        <v>7.35</v>
      </c>
      <c r="E61" s="4">
        <v>0</v>
      </c>
      <c r="F61" s="4" t="s">
        <v>3178</v>
      </c>
      <c r="G61" s="4" t="s">
        <v>3178</v>
      </c>
      <c r="H61" s="3">
        <v>0</v>
      </c>
      <c r="I61" s="5">
        <v>152.562848</v>
      </c>
      <c r="J61" s="6">
        <v>0</v>
      </c>
      <c r="K61" s="4" t="s">
        <v>3178</v>
      </c>
      <c r="L61" s="7">
        <v>0.675079153006353</v>
      </c>
      <c r="M61" s="3">
        <v>29.7</v>
      </c>
      <c r="N61" s="3">
        <v>7.24</v>
      </c>
    </row>
    <row r="62" spans="1:14">
      <c r="A62" s="8" t="s">
        <v>74</v>
      </c>
      <c r="B62" s="2">
        <f>HYPERLINK("https://www.suredividend.com/sure-analysis-research-database/","Ayala Pharmaceuticals Inc.")</f>
        <v>0</v>
      </c>
      <c r="C62" s="1" t="s">
        <v>3176</v>
      </c>
      <c r="D62" s="3">
        <v>0.25</v>
      </c>
      <c r="E62" s="4">
        <v>0</v>
      </c>
      <c r="F62" s="4" t="s">
        <v>3178</v>
      </c>
      <c r="G62" s="4" t="s">
        <v>3178</v>
      </c>
      <c r="H62" s="3">
        <v>0</v>
      </c>
      <c r="I62" s="5">
        <v>10.65835</v>
      </c>
      <c r="J62" s="6" t="s">
        <v>3178</v>
      </c>
      <c r="K62" s="4">
        <v>-0</v>
      </c>
      <c r="M62" s="3">
        <v>1.95</v>
      </c>
      <c r="N62" s="3">
        <v>0.135</v>
      </c>
    </row>
    <row r="63" spans="1:14">
      <c r="A63" s="8" t="s">
        <v>75</v>
      </c>
      <c r="B63" s="2">
        <f>HYPERLINK("https://www.suredividend.com/sure-analysis-research-database/","Adams Resources &amp; Energy Inc.")</f>
        <v>0</v>
      </c>
      <c r="C63" s="1" t="s">
        <v>3185</v>
      </c>
      <c r="D63" s="3">
        <v>26.65</v>
      </c>
      <c r="E63" s="4">
        <v>0.026560119334065</v>
      </c>
      <c r="F63" s="4">
        <v>0</v>
      </c>
      <c r="G63" s="4">
        <v>0</v>
      </c>
      <c r="H63" s="3">
        <v>0.7078271802528571</v>
      </c>
      <c r="I63" s="5">
        <v>68.41332199999999</v>
      </c>
      <c r="J63" s="6">
        <v>0</v>
      </c>
      <c r="K63" s="4" t="s">
        <v>3178</v>
      </c>
      <c r="L63" s="7">
        <v>0.213134277241095</v>
      </c>
      <c r="M63" s="3">
        <v>35.77</v>
      </c>
      <c r="N63" s="3">
        <v>22.28</v>
      </c>
    </row>
    <row r="64" spans="1:14">
      <c r="A64" s="8" t="s">
        <v>76</v>
      </c>
      <c r="B64" s="2">
        <f>HYPERLINK("https://www.suredividend.com/sure-analysis-AEE/","Ameren Corp.")</f>
        <v>0</v>
      </c>
      <c r="C64" s="1" t="s">
        <v>3186</v>
      </c>
      <c r="D64" s="3">
        <v>71.06999999999999</v>
      </c>
      <c r="E64" s="4">
        <v>0.0377093006894611</v>
      </c>
      <c r="F64" s="4">
        <v>0.06349206349206349</v>
      </c>
      <c r="G64" s="4">
        <v>0.07121399668548811</v>
      </c>
      <c r="H64" s="3">
        <v>2.527824337129977</v>
      </c>
      <c r="I64" s="5">
        <v>18952.26348</v>
      </c>
      <c r="J64" s="6">
        <v>16.4945722194778</v>
      </c>
      <c r="K64" s="4">
        <v>0.5811090430183856</v>
      </c>
      <c r="L64" s="7">
        <v>0.418948540920231</v>
      </c>
      <c r="M64" s="3">
        <v>86.51000000000001</v>
      </c>
      <c r="N64" s="3">
        <v>66.42</v>
      </c>
    </row>
    <row r="65" spans="1:14">
      <c r="A65" s="8" t="s">
        <v>77</v>
      </c>
      <c r="B65" s="2">
        <f>HYPERLINK("https://www.suredividend.com/sure-analysis-research-database/","Aegion Corp")</f>
        <v>0</v>
      </c>
      <c r="C65" s="1" t="s">
        <v>3179</v>
      </c>
      <c r="D65" s="3">
        <v>29.99</v>
      </c>
      <c r="E65" s="4">
        <v>0</v>
      </c>
      <c r="F65" s="4" t="s">
        <v>3178</v>
      </c>
      <c r="G65" s="4" t="s">
        <v>3178</v>
      </c>
      <c r="H65" s="3">
        <v>0</v>
      </c>
      <c r="I65" s="5">
        <v>0</v>
      </c>
      <c r="J65" s="6">
        <v>0</v>
      </c>
      <c r="K65" s="4">
        <v>-0</v>
      </c>
    </row>
    <row r="66" spans="1:14">
      <c r="A66" s="8" t="s">
        <v>78</v>
      </c>
      <c r="B66" s="2">
        <f>HYPERLINK("https://www.suredividend.com/sure-analysis-research-database/","Aehr Test Systems")</f>
        <v>0</v>
      </c>
      <c r="C66" s="1" t="s">
        <v>3181</v>
      </c>
      <c r="D66" s="3">
        <v>13.02</v>
      </c>
      <c r="E66" s="4">
        <v>0</v>
      </c>
      <c r="F66" s="4" t="s">
        <v>3178</v>
      </c>
      <c r="G66" s="4" t="s">
        <v>3178</v>
      </c>
      <c r="H66" s="3">
        <v>0</v>
      </c>
      <c r="I66" s="5">
        <v>376.469772</v>
      </c>
      <c r="J66" s="6">
        <v>0</v>
      </c>
      <c r="K66" s="4" t="s">
        <v>3178</v>
      </c>
      <c r="L66" s="7">
        <v>2.321781199690464</v>
      </c>
      <c r="M66" s="3">
        <v>54.1</v>
      </c>
      <c r="N66" s="3">
        <v>10.19</v>
      </c>
    </row>
    <row r="67" spans="1:14">
      <c r="A67" s="8" t="s">
        <v>79</v>
      </c>
      <c r="B67" s="2">
        <f>HYPERLINK("https://www.suredividend.com/sure-analysis-research-database/","Advanced Energy Industries Inc.")</f>
        <v>0</v>
      </c>
      <c r="C67" s="1" t="s">
        <v>3179</v>
      </c>
      <c r="D67" s="3">
        <v>105.39</v>
      </c>
      <c r="E67" s="4">
        <v>0.003786356443971</v>
      </c>
      <c r="F67" s="4" t="s">
        <v>3178</v>
      </c>
      <c r="G67" s="4" t="s">
        <v>3178</v>
      </c>
      <c r="H67" s="3">
        <v>0.399044105630105</v>
      </c>
      <c r="I67" s="5">
        <v>3946.081937</v>
      </c>
      <c r="J67" s="6">
        <v>38.46871130933232</v>
      </c>
      <c r="K67" s="4">
        <v>0.1467073917757739</v>
      </c>
      <c r="L67" s="7">
        <v>1.835056574556658</v>
      </c>
      <c r="M67" s="3">
        <v>125.64</v>
      </c>
      <c r="N67" s="3">
        <v>81.45999999999999</v>
      </c>
    </row>
    <row r="68" spans="1:14">
      <c r="A68" s="8" t="s">
        <v>80</v>
      </c>
      <c r="B68" s="2">
        <f>HYPERLINK("https://www.suredividend.com/sure-analysis-research-database/","American Equity Investment Life Holding Co")</f>
        <v>0</v>
      </c>
      <c r="C68" s="1" t="s">
        <v>3180</v>
      </c>
      <c r="D68" s="3">
        <v>56.47</v>
      </c>
      <c r="E68" s="4">
        <v>0</v>
      </c>
      <c r="F68" s="4" t="s">
        <v>3178</v>
      </c>
      <c r="G68" s="4" t="s">
        <v>3178</v>
      </c>
      <c r="H68" s="3">
        <v>0</v>
      </c>
      <c r="I68" s="5">
        <v>4493.440553</v>
      </c>
      <c r="J68" s="6">
        <v>26.93021217727967</v>
      </c>
      <c r="K68" s="4">
        <v>0</v>
      </c>
      <c r="L68" s="7">
        <v>0.347043120180401</v>
      </c>
      <c r="M68" s="3">
        <v>57.29</v>
      </c>
      <c r="N68" s="3">
        <v>37.77</v>
      </c>
    </row>
    <row r="69" spans="1:14">
      <c r="A69" s="8" t="s">
        <v>81</v>
      </c>
      <c r="B69" s="2">
        <f>HYPERLINK("https://www.suredividend.com/sure-analysis-research-database/","Aethlon Medical Inc")</f>
        <v>0</v>
      </c>
      <c r="C69" s="1" t="s">
        <v>3176</v>
      </c>
      <c r="D69" s="3">
        <v>0.5859</v>
      </c>
      <c r="E69" s="4">
        <v>0</v>
      </c>
      <c r="F69" s="4" t="s">
        <v>3178</v>
      </c>
      <c r="G69" s="4" t="s">
        <v>3178</v>
      </c>
      <c r="H69" s="3">
        <v>0</v>
      </c>
      <c r="I69" s="5">
        <v>1.535292</v>
      </c>
      <c r="J69" s="6">
        <v>0</v>
      </c>
      <c r="K69" s="4" t="s">
        <v>3178</v>
      </c>
      <c r="L69" s="7">
        <v>-0.245225301971138</v>
      </c>
      <c r="M69" s="3">
        <v>5</v>
      </c>
      <c r="N69" s="3">
        <v>0.3704</v>
      </c>
    </row>
    <row r="70" spans="1:14">
      <c r="A70" s="8" t="s">
        <v>82</v>
      </c>
      <c r="B70" s="2">
        <f>HYPERLINK("https://www.suredividend.com/sure-analysis-research-database/","American Eagle Outfitters Inc.")</f>
        <v>0</v>
      </c>
      <c r="C70" s="1" t="s">
        <v>3182</v>
      </c>
      <c r="D70" s="3">
        <v>21.39</v>
      </c>
      <c r="E70" s="4">
        <v>0.020872771264172</v>
      </c>
      <c r="F70" s="4" t="s">
        <v>3178</v>
      </c>
      <c r="G70" s="4" t="s">
        <v>3178</v>
      </c>
      <c r="H70" s="3">
        <v>0.446468577340654</v>
      </c>
      <c r="I70" s="5">
        <v>4201.646149</v>
      </c>
      <c r="J70" s="6">
        <v>19.15612116993485</v>
      </c>
      <c r="K70" s="4">
        <v>0.4022239435501387</v>
      </c>
      <c r="L70" s="7">
        <v>1.171752608395381</v>
      </c>
      <c r="M70" s="3">
        <v>26.3</v>
      </c>
      <c r="N70" s="3">
        <v>11.08</v>
      </c>
    </row>
    <row r="71" spans="1:14">
      <c r="A71" s="8" t="s">
        <v>83</v>
      </c>
      <c r="B71" s="2">
        <f>HYPERLINK("https://www.suredividend.com/sure-analysis-AEP/","American Electric Power Company Inc.")</f>
        <v>0</v>
      </c>
      <c r="C71" s="1" t="s">
        <v>3186</v>
      </c>
      <c r="D71" s="3">
        <v>88.3</v>
      </c>
      <c r="E71" s="4">
        <v>0.03986409966024915</v>
      </c>
      <c r="F71" s="4">
        <v>0.06024096385542155</v>
      </c>
      <c r="G71" s="4">
        <v>0.05604293121509873</v>
      </c>
      <c r="H71" s="3">
        <v>3.364164227595334</v>
      </c>
      <c r="I71" s="5">
        <v>46544.85132</v>
      </c>
      <c r="J71" s="6">
        <v>16.53928339126572</v>
      </c>
      <c r="K71" s="4">
        <v>0.6253093359842629</v>
      </c>
      <c r="L71" s="7">
        <v>0.5240098187645851</v>
      </c>
      <c r="M71" s="3">
        <v>93.44</v>
      </c>
      <c r="N71" s="3">
        <v>65.01000000000001</v>
      </c>
    </row>
    <row r="72" spans="1:14">
      <c r="A72" s="8" t="s">
        <v>84</v>
      </c>
      <c r="B72" s="2">
        <f>HYPERLINK("https://www.suredividend.com/sure-analysis-research-database/","Aerie Pharmaceuticals Inc")</f>
        <v>0</v>
      </c>
      <c r="C72" s="1" t="s">
        <v>3176</v>
      </c>
      <c r="D72" s="3">
        <v>15.25</v>
      </c>
      <c r="E72" s="4">
        <v>0</v>
      </c>
      <c r="F72" s="4" t="s">
        <v>3178</v>
      </c>
      <c r="G72" s="4" t="s">
        <v>3178</v>
      </c>
      <c r="H72" s="3">
        <v>0</v>
      </c>
      <c r="I72" s="5">
        <v>0</v>
      </c>
      <c r="J72" s="6">
        <v>0</v>
      </c>
      <c r="K72" s="4">
        <v>-0</v>
      </c>
    </row>
    <row r="73" spans="1:14">
      <c r="A73" s="8" t="s">
        <v>85</v>
      </c>
      <c r="B73" s="2">
        <f>HYPERLINK("https://www.suredividend.com/sure-analysis-AES/","AES Corp.")</f>
        <v>0</v>
      </c>
      <c r="C73" s="1" t="s">
        <v>3186</v>
      </c>
      <c r="D73" s="3">
        <v>19.87</v>
      </c>
      <c r="E73" s="4">
        <v>0.03472571716155007</v>
      </c>
      <c r="F73" s="4">
        <v>0.03978300180831829</v>
      </c>
      <c r="G73" s="4">
        <v>0.04792762601616807</v>
      </c>
      <c r="H73" s="3">
        <v>0.666784134696607</v>
      </c>
      <c r="I73" s="5">
        <v>14120.946276</v>
      </c>
      <c r="J73" s="6">
        <v>26.64329486016981</v>
      </c>
      <c r="K73" s="4">
        <v>0.8957336575720136</v>
      </c>
      <c r="L73" s="7">
        <v>1.368756938110136</v>
      </c>
      <c r="M73" s="3">
        <v>22.21</v>
      </c>
      <c r="N73" s="3">
        <v>11.08</v>
      </c>
    </row>
    <row r="74" spans="1:14">
      <c r="A74" s="8" t="s">
        <v>86</v>
      </c>
      <c r="B74" s="2">
        <f>HYPERLINK("https://www.suredividend.com/sure-analysis-research-database/","Addvantage Technologies Group")</f>
        <v>0</v>
      </c>
      <c r="C74" s="1" t="s">
        <v>3181</v>
      </c>
      <c r="D74" s="3">
        <v>0.36</v>
      </c>
      <c r="E74" s="4">
        <v>0</v>
      </c>
      <c r="F74" s="4" t="s">
        <v>3178</v>
      </c>
      <c r="G74" s="4" t="s">
        <v>3178</v>
      </c>
      <c r="H74" s="3">
        <v>0</v>
      </c>
      <c r="I74" s="5">
        <v>0</v>
      </c>
      <c r="J74" s="6">
        <v>0</v>
      </c>
      <c r="K74" s="4" t="s">
        <v>3178</v>
      </c>
    </row>
    <row r="75" spans="1:14">
      <c r="A75" s="8" t="s">
        <v>87</v>
      </c>
      <c r="B75" s="2">
        <f>HYPERLINK("https://www.suredividend.com/sure-analysis-AFG/","American Financial Group Inc")</f>
        <v>0</v>
      </c>
      <c r="C75" s="1" t="s">
        <v>3180</v>
      </c>
      <c r="D75" s="3">
        <v>128.15</v>
      </c>
      <c r="E75" s="4">
        <v>0.0221615294576668</v>
      </c>
      <c r="F75" s="4">
        <v>0</v>
      </c>
      <c r="G75" s="4">
        <v>0.04861016738492974</v>
      </c>
      <c r="H75" s="3">
        <v>2.677629938571569</v>
      </c>
      <c r="I75" s="5">
        <v>10747.552462</v>
      </c>
      <c r="J75" s="6">
        <v>12.18543363015873</v>
      </c>
      <c r="K75" s="4">
        <v>0.2562325300068487</v>
      </c>
      <c r="L75" s="7">
        <v>0.524985634698625</v>
      </c>
      <c r="M75" s="3">
        <v>136.96</v>
      </c>
      <c r="N75" s="3">
        <v>100.49</v>
      </c>
    </row>
    <row r="76" spans="1:14">
      <c r="A76" s="8" t="s">
        <v>88</v>
      </c>
      <c r="B76" s="2">
        <f>HYPERLINK("https://www.suredividend.com/sure-analysis-research-database/","Armstrong Flooring Inc")</f>
        <v>0</v>
      </c>
      <c r="C76" s="1" t="s">
        <v>3179</v>
      </c>
      <c r="D76" s="3">
        <v>0.3512</v>
      </c>
      <c r="E76" s="4">
        <v>0</v>
      </c>
      <c r="F76" s="4" t="s">
        <v>3178</v>
      </c>
      <c r="G76" s="4" t="s">
        <v>3178</v>
      </c>
      <c r="H76" s="3">
        <v>0</v>
      </c>
      <c r="I76" s="5">
        <v>7.648987</v>
      </c>
      <c r="J76" s="6" t="s">
        <v>3178</v>
      </c>
      <c r="K76" s="4">
        <v>-0</v>
      </c>
      <c r="L76" s="7">
        <v>-0.9879426906717531</v>
      </c>
      <c r="M76" s="3">
        <v>6.62</v>
      </c>
      <c r="N76" s="3">
        <v>0.1337</v>
      </c>
    </row>
    <row r="77" spans="1:14">
      <c r="A77" s="8" t="s">
        <v>89</v>
      </c>
      <c r="B77" s="2">
        <f>HYPERLINK("https://www.suredividend.com/sure-analysis-AFL/","Aflac Inc.")</f>
        <v>0</v>
      </c>
      <c r="C77" s="1" t="s">
        <v>3180</v>
      </c>
      <c r="D77" s="3">
        <v>88.79000000000001</v>
      </c>
      <c r="E77" s="4">
        <v>0.02252505912828021</v>
      </c>
      <c r="F77" s="4">
        <v>0.1904761904761905</v>
      </c>
      <c r="G77" s="4">
        <v>0.1311527300905295</v>
      </c>
      <c r="H77" s="3">
        <v>1.824957993950003</v>
      </c>
      <c r="I77" s="5">
        <v>50452.471069</v>
      </c>
      <c r="J77" s="6">
        <v>9.43036842413645</v>
      </c>
      <c r="K77" s="4">
        <v>0.201208158098126</v>
      </c>
      <c r="L77" s="7">
        <v>0.331779269839948</v>
      </c>
      <c r="M77" s="3">
        <v>89.91</v>
      </c>
      <c r="N77" s="3">
        <v>65.06999999999999</v>
      </c>
    </row>
    <row r="78" spans="1:14">
      <c r="A78" s="8" t="s">
        <v>90</v>
      </c>
      <c r="B78" s="2">
        <f>HYPERLINK("https://www.suredividend.com/sure-analysis-research-database/","AGCO Corp.")</f>
        <v>0</v>
      </c>
      <c r="C78" s="1" t="s">
        <v>3179</v>
      </c>
      <c r="D78" s="3">
        <v>103.1</v>
      </c>
      <c r="E78" s="4">
        <v>0.010958507240919</v>
      </c>
      <c r="F78" s="4">
        <v>7.620689655172415</v>
      </c>
      <c r="G78" s="4">
        <v>0.7328621078878661</v>
      </c>
      <c r="H78" s="3">
        <v>1.129822096538771</v>
      </c>
      <c r="I78" s="5">
        <v>7693.270553</v>
      </c>
      <c r="J78" s="6">
        <v>6.9509130403867</v>
      </c>
      <c r="K78" s="4">
        <v>0.07639094635150583</v>
      </c>
      <c r="L78" s="7">
        <v>0.99691737607061</v>
      </c>
      <c r="M78" s="3">
        <v>135.97</v>
      </c>
      <c r="N78" s="3">
        <v>101.89</v>
      </c>
    </row>
    <row r="79" spans="1:14">
      <c r="A79" s="8" t="s">
        <v>91</v>
      </c>
      <c r="B79" s="2">
        <f>HYPERLINK("https://www.suredividend.com/sure-analysis-research-database/","AgeX Therapeutics Inc")</f>
        <v>0</v>
      </c>
      <c r="C79" s="1" t="s">
        <v>3176</v>
      </c>
      <c r="D79" s="3">
        <v>11.1</v>
      </c>
      <c r="E79" s="4">
        <v>0</v>
      </c>
      <c r="F79" s="4" t="s">
        <v>3178</v>
      </c>
      <c r="G79" s="4" t="s">
        <v>3178</v>
      </c>
      <c r="H79" s="3">
        <v>0</v>
      </c>
      <c r="I79" s="5">
        <v>27.75737</v>
      </c>
      <c r="J79" s="6" t="s">
        <v>3178</v>
      </c>
      <c r="K79" s="4">
        <v>-0</v>
      </c>
      <c r="L79" s="7">
        <v>-0.896712281490152</v>
      </c>
      <c r="M79" s="3">
        <v>35.17</v>
      </c>
      <c r="N79" s="3">
        <v>10.9</v>
      </c>
    </row>
    <row r="80" spans="1:14">
      <c r="A80" s="8" t="s">
        <v>92</v>
      </c>
      <c r="B80" s="2">
        <f>HYPERLINK("https://www.suredividend.com/sure-analysis-research-database/","Agenus Inc")</f>
        <v>0</v>
      </c>
      <c r="C80" s="1" t="s">
        <v>3176</v>
      </c>
      <c r="D80" s="3">
        <v>16.6</v>
      </c>
      <c r="E80" s="4">
        <v>0</v>
      </c>
      <c r="F80" s="4" t="s">
        <v>3178</v>
      </c>
      <c r="G80" s="4" t="s">
        <v>3178</v>
      </c>
      <c r="H80" s="3">
        <v>0</v>
      </c>
      <c r="I80" s="5">
        <v>348.587733</v>
      </c>
      <c r="J80" s="6" t="s">
        <v>3178</v>
      </c>
      <c r="K80" s="4">
        <v>-0</v>
      </c>
      <c r="M80" s="3">
        <v>41.2</v>
      </c>
      <c r="N80" s="3">
        <v>4.78</v>
      </c>
    </row>
    <row r="81" spans="1:14">
      <c r="A81" s="8" t="s">
        <v>93</v>
      </c>
      <c r="B81" s="2">
        <f>HYPERLINK("https://www.suredividend.com/sure-analysis-research-database/","AgroFresh Solutions Inc")</f>
        <v>0</v>
      </c>
      <c r="C81" s="1" t="s">
        <v>3184</v>
      </c>
      <c r="D81" s="3">
        <v>3</v>
      </c>
      <c r="E81" s="4">
        <v>0</v>
      </c>
      <c r="F81" s="4" t="s">
        <v>3178</v>
      </c>
      <c r="G81" s="4" t="s">
        <v>3178</v>
      </c>
      <c r="H81" s="3">
        <v>0</v>
      </c>
      <c r="I81" s="5">
        <v>0</v>
      </c>
      <c r="J81" s="6">
        <v>0</v>
      </c>
      <c r="K81" s="4" t="s">
        <v>3178</v>
      </c>
    </row>
    <row r="82" spans="1:14">
      <c r="A82" s="8" t="s">
        <v>94</v>
      </c>
      <c r="B82" s="2">
        <f>HYPERLINK("https://www.suredividend.com/sure-analysis-research-database/","Agios Pharmaceuticals Inc")</f>
        <v>0</v>
      </c>
      <c r="C82" s="1" t="s">
        <v>3176</v>
      </c>
      <c r="D82" s="3">
        <v>47.61</v>
      </c>
      <c r="E82" s="4">
        <v>0</v>
      </c>
      <c r="F82" s="4" t="s">
        <v>3178</v>
      </c>
      <c r="G82" s="4" t="s">
        <v>3178</v>
      </c>
      <c r="H82" s="3">
        <v>0</v>
      </c>
      <c r="I82" s="5">
        <v>2702.960911</v>
      </c>
      <c r="J82" s="6">
        <v>1.687573343859747</v>
      </c>
      <c r="K82" s="4">
        <v>0</v>
      </c>
      <c r="L82" s="7">
        <v>1.128998965931114</v>
      </c>
      <c r="M82" s="3">
        <v>49.06</v>
      </c>
      <c r="N82" s="3">
        <v>19.8</v>
      </c>
    </row>
    <row r="83" spans="1:14">
      <c r="A83" s="8" t="s">
        <v>95</v>
      </c>
      <c r="B83" s="2">
        <f>HYPERLINK("https://www.suredividend.com/sure-analysis-AGM/","Federal Agricultural Mortgage Corp.")</f>
        <v>0</v>
      </c>
      <c r="C83" s="1" t="s">
        <v>3180</v>
      </c>
      <c r="D83" s="3">
        <v>174.13</v>
      </c>
      <c r="E83" s="4">
        <v>0.0321598805490151</v>
      </c>
      <c r="F83" s="4">
        <v>0.2727272727272725</v>
      </c>
      <c r="G83" s="4">
        <v>0.1486983549970351</v>
      </c>
      <c r="H83" s="3">
        <v>4.655482171841724</v>
      </c>
      <c r="I83" s="5">
        <v>1776.763724</v>
      </c>
      <c r="J83" s="6">
        <v>9.89570381232978</v>
      </c>
      <c r="K83" s="4">
        <v>0.2838708641366905</v>
      </c>
      <c r="L83" s="7">
        <v>1.002133273700667</v>
      </c>
      <c r="M83" s="3">
        <v>197.96</v>
      </c>
      <c r="N83" s="3">
        <v>134.44</v>
      </c>
    </row>
    <row r="84" spans="1:14">
      <c r="A84" s="8" t="s">
        <v>96</v>
      </c>
      <c r="B84" s="2">
        <f>HYPERLINK("https://www.suredividend.com/sure-analysis-AGNC/","AGNC Investment Corp")</f>
        <v>0</v>
      </c>
      <c r="C84" s="1" t="s">
        <v>3183</v>
      </c>
      <c r="D84" s="3">
        <v>9.66</v>
      </c>
      <c r="E84" s="4">
        <v>0.1490683229813665</v>
      </c>
      <c r="F84" s="4">
        <v>0</v>
      </c>
      <c r="G84" s="4">
        <v>0</v>
      </c>
      <c r="H84" s="3">
        <v>1.273651002109835</v>
      </c>
      <c r="I84" s="5">
        <v>7022.136236</v>
      </c>
      <c r="J84" s="6">
        <v>11.235417977952</v>
      </c>
      <c r="K84" s="4">
        <v>1.326305323450833</v>
      </c>
      <c r="L84" s="7">
        <v>1.300832706515444</v>
      </c>
      <c r="M84" s="3">
        <v>9.82</v>
      </c>
      <c r="N84" s="3">
        <v>5.79</v>
      </c>
    </row>
    <row r="85" spans="1:14">
      <c r="A85" s="8" t="s">
        <v>97</v>
      </c>
      <c r="B85" s="2">
        <f>HYPERLINK("https://www.suredividend.com/sure-analysis-AGO/","Assured Guaranty Ltd")</f>
        <v>0</v>
      </c>
      <c r="C85" s="1" t="s">
        <v>3180</v>
      </c>
      <c r="D85" s="3">
        <v>76.98999999999999</v>
      </c>
      <c r="E85" s="4">
        <v>0.01558643979737628</v>
      </c>
      <c r="F85" s="4">
        <v>0.107142857142857</v>
      </c>
      <c r="G85" s="4">
        <v>0.1148535927253609</v>
      </c>
      <c r="H85" s="3">
        <v>1.173468127510068</v>
      </c>
      <c r="I85" s="5">
        <v>4191.559025</v>
      </c>
      <c r="J85" s="6">
        <v>5.507961925072273</v>
      </c>
      <c r="K85" s="4">
        <v>0.09061529942162688</v>
      </c>
      <c r="L85" s="7">
        <v>0.5132913810289881</v>
      </c>
      <c r="M85" s="3">
        <v>95.89</v>
      </c>
      <c r="N85" s="3">
        <v>52.13</v>
      </c>
    </row>
    <row r="86" spans="1:14">
      <c r="A86" s="8" t="s">
        <v>98</v>
      </c>
      <c r="B86" s="2">
        <f>HYPERLINK("https://www.suredividend.com/sure-analysis-research-database/","Avangrid Inc")</f>
        <v>0</v>
      </c>
      <c r="C86" s="1" t="s">
        <v>3186</v>
      </c>
      <c r="D86" s="3">
        <v>35.6</v>
      </c>
      <c r="E86" s="4">
        <v>0.04847428797956201</v>
      </c>
      <c r="F86" s="4">
        <v>0</v>
      </c>
      <c r="G86" s="4">
        <v>0</v>
      </c>
      <c r="H86" s="3">
        <v>1.725684652072421</v>
      </c>
      <c r="I86" s="5">
        <v>13773.862856</v>
      </c>
      <c r="J86" s="6">
        <v>15.44155028699552</v>
      </c>
      <c r="K86" s="4">
        <v>0.7502976748140963</v>
      </c>
      <c r="L86" s="7">
        <v>0.9070062506791611</v>
      </c>
      <c r="M86" s="3">
        <v>37.24</v>
      </c>
      <c r="N86" s="3">
        <v>26.37</v>
      </c>
    </row>
    <row r="87" spans="1:14">
      <c r="A87" s="8" t="s">
        <v>99</v>
      </c>
      <c r="B87" s="2">
        <f>HYPERLINK("https://www.suredividend.com/sure-analysis-research-database/","Agile Therapeutics Inc")</f>
        <v>0</v>
      </c>
      <c r="C87" s="1" t="s">
        <v>3176</v>
      </c>
      <c r="D87" s="3">
        <v>0.3719</v>
      </c>
      <c r="E87" s="4">
        <v>0</v>
      </c>
      <c r="F87" s="4" t="s">
        <v>3178</v>
      </c>
      <c r="G87" s="4" t="s">
        <v>3178</v>
      </c>
      <c r="H87" s="3">
        <v>0</v>
      </c>
      <c r="I87" s="5">
        <v>0</v>
      </c>
      <c r="J87" s="6">
        <v>0</v>
      </c>
      <c r="K87" s="4" t="s">
        <v>3178</v>
      </c>
    </row>
    <row r="88" spans="1:14">
      <c r="A88" s="8" t="s">
        <v>100</v>
      </c>
      <c r="B88" s="2">
        <f>HYPERLINK("https://www.suredividend.com/sure-analysis-research-database/","PlayAGS Inc")</f>
        <v>0</v>
      </c>
      <c r="C88" s="1" t="s">
        <v>3182</v>
      </c>
      <c r="D88" s="3">
        <v>11.58</v>
      </c>
      <c r="E88" s="4">
        <v>0</v>
      </c>
      <c r="F88" s="4" t="s">
        <v>3178</v>
      </c>
      <c r="G88" s="4" t="s">
        <v>3178</v>
      </c>
      <c r="H88" s="3">
        <v>0</v>
      </c>
      <c r="I88" s="5">
        <v>456.883654</v>
      </c>
      <c r="J88" s="6">
        <v>89.46223893871158</v>
      </c>
      <c r="K88" s="4">
        <v>0</v>
      </c>
      <c r="L88" s="7">
        <v>1.265144427272633</v>
      </c>
      <c r="M88" s="3">
        <v>11.75</v>
      </c>
      <c r="N88" s="3">
        <v>5.1</v>
      </c>
    </row>
    <row r="89" spans="1:14">
      <c r="A89" s="8" t="s">
        <v>101</v>
      </c>
      <c r="B89" s="2">
        <f>HYPERLINK("https://www.suredividend.com/sure-analysis-research-database/","Applied Genetic Technologies Corp")</f>
        <v>0</v>
      </c>
      <c r="C89" s="1" t="s">
        <v>3176</v>
      </c>
      <c r="D89" s="3">
        <v>0.3936</v>
      </c>
      <c r="E89" s="4">
        <v>0</v>
      </c>
      <c r="F89" s="4" t="s">
        <v>3178</v>
      </c>
      <c r="G89" s="4" t="s">
        <v>3178</v>
      </c>
      <c r="H89" s="3">
        <v>0</v>
      </c>
      <c r="I89" s="5">
        <v>0</v>
      </c>
      <c r="J89" s="6">
        <v>0</v>
      </c>
      <c r="K89" s="4" t="s">
        <v>3178</v>
      </c>
    </row>
    <row r="90" spans="1:14">
      <c r="A90" s="8" t="s">
        <v>102</v>
      </c>
      <c r="B90" s="2">
        <f>HYPERLINK("https://www.suredividend.com/sure-analysis-research-database/","Argan, Inc.")</f>
        <v>0</v>
      </c>
      <c r="C90" s="1" t="s">
        <v>3179</v>
      </c>
      <c r="D90" s="3">
        <v>76.34999999999999</v>
      </c>
      <c r="E90" s="4">
        <v>0.014938795906216</v>
      </c>
      <c r="F90" s="4">
        <v>0.2000000000000002</v>
      </c>
      <c r="G90" s="4">
        <v>0.03713728933664817</v>
      </c>
      <c r="H90" s="3">
        <v>1.140577067439666</v>
      </c>
      <c r="I90" s="5">
        <v>1019.603248</v>
      </c>
      <c r="J90" s="6">
        <v>31.51008245874281</v>
      </c>
      <c r="K90" s="4">
        <v>0.4772288985103205</v>
      </c>
      <c r="L90" s="7">
        <v>0.19223543306965</v>
      </c>
      <c r="M90" s="3">
        <v>78.06999999999999</v>
      </c>
      <c r="N90" s="3">
        <v>36.69</v>
      </c>
    </row>
    <row r="91" spans="1:14">
      <c r="A91" s="8" t="s">
        <v>103</v>
      </c>
      <c r="B91" s="2">
        <f>HYPERLINK("https://www.suredividend.com/sure-analysis-research-database/","Agilysys, Inc")</f>
        <v>0</v>
      </c>
      <c r="C91" s="1" t="s">
        <v>3181</v>
      </c>
      <c r="D91" s="3">
        <v>95.03</v>
      </c>
      <c r="E91" s="4">
        <v>0</v>
      </c>
      <c r="F91" s="4" t="s">
        <v>3178</v>
      </c>
      <c r="G91" s="4" t="s">
        <v>3178</v>
      </c>
      <c r="H91" s="3">
        <v>0</v>
      </c>
      <c r="I91" s="5">
        <v>2608.973861</v>
      </c>
      <c r="J91" s="6">
        <v>30.69706041098469</v>
      </c>
      <c r="K91" s="4">
        <v>0</v>
      </c>
      <c r="L91" s="7">
        <v>1.361103549429721</v>
      </c>
      <c r="M91" s="3">
        <v>105</v>
      </c>
      <c r="N91" s="3">
        <v>63.08</v>
      </c>
    </row>
    <row r="92" spans="1:14">
      <c r="A92" s="8" t="s">
        <v>104</v>
      </c>
      <c r="B92" s="2">
        <f>HYPERLINK("https://www.suredividend.com/sure-analysis-research-database/","A.H. Belo Corp")</f>
        <v>0</v>
      </c>
      <c r="C92" s="1" t="s">
        <v>3187</v>
      </c>
      <c r="D92" s="3">
        <v>3.8</v>
      </c>
      <c r="E92" s="4">
        <v>0.08214878876362301</v>
      </c>
      <c r="F92" s="4" t="s">
        <v>3178</v>
      </c>
      <c r="G92" s="4" t="s">
        <v>3178</v>
      </c>
      <c r="H92" s="3">
        <v>0.62104484305299</v>
      </c>
      <c r="I92" s="5">
        <v>143.197135</v>
      </c>
      <c r="J92" s="6" t="s">
        <v>3178</v>
      </c>
      <c r="K92" s="4" t="s">
        <v>3178</v>
      </c>
      <c r="L92" s="7">
        <v>-0.07341366974298701</v>
      </c>
      <c r="M92" s="3">
        <v>12.18</v>
      </c>
      <c r="N92" s="3">
        <v>4.95</v>
      </c>
    </row>
    <row r="93" spans="1:14">
      <c r="A93" s="8" t="s">
        <v>105</v>
      </c>
      <c r="B93" s="2">
        <f>HYPERLINK("https://www.suredividend.com/sure-analysis-research-database/","Armada Hoffler Properties Inc")</f>
        <v>0</v>
      </c>
      <c r="C93" s="1" t="s">
        <v>3183</v>
      </c>
      <c r="D93" s="3">
        <v>10.93</v>
      </c>
      <c r="E93" s="4">
        <v>0.070376081151321</v>
      </c>
      <c r="F93" s="4" t="s">
        <v>3178</v>
      </c>
      <c r="G93" s="4" t="s">
        <v>3178</v>
      </c>
      <c r="H93" s="3">
        <v>0.7692105669839481</v>
      </c>
      <c r="I93" s="5">
        <v>733.0751</v>
      </c>
      <c r="J93" s="6" t="s">
        <v>3178</v>
      </c>
      <c r="K93" s="4" t="s">
        <v>3178</v>
      </c>
      <c r="L93" s="7">
        <v>0.9987923879147811</v>
      </c>
      <c r="M93" s="3">
        <v>12.66</v>
      </c>
      <c r="N93" s="3">
        <v>9.470000000000001</v>
      </c>
    </row>
    <row r="94" spans="1:14">
      <c r="A94" s="8" t="s">
        <v>106</v>
      </c>
      <c r="B94" s="2">
        <f>HYPERLINK("https://www.suredividend.com/sure-analysis-research-database/","Ashford Hospitality Trust Inc")</f>
        <v>0</v>
      </c>
      <c r="C94" s="1" t="s">
        <v>3183</v>
      </c>
      <c r="D94" s="3">
        <v>1.09</v>
      </c>
      <c r="E94" s="4">
        <v>0</v>
      </c>
      <c r="F94" s="4" t="s">
        <v>3178</v>
      </c>
      <c r="G94" s="4" t="s">
        <v>3178</v>
      </c>
      <c r="H94" s="3">
        <v>0</v>
      </c>
      <c r="I94" s="5">
        <v>46.222952</v>
      </c>
      <c r="J94" s="6" t="s">
        <v>3178</v>
      </c>
      <c r="K94" s="4">
        <v>-0</v>
      </c>
      <c r="L94" s="7">
        <v>1.92702130232285</v>
      </c>
      <c r="M94" s="3">
        <v>4.44</v>
      </c>
      <c r="N94" s="3">
        <v>1.07</v>
      </c>
    </row>
    <row r="95" spans="1:14">
      <c r="A95" s="8" t="s">
        <v>107</v>
      </c>
      <c r="B95" s="2">
        <f>HYPERLINK("https://www.suredividend.com/sure-analysis-research-database/","American International Group Inc")</f>
        <v>0</v>
      </c>
      <c r="C95" s="1" t="s">
        <v>3180</v>
      </c>
      <c r="D95" s="3">
        <v>76.02</v>
      </c>
      <c r="E95" s="4">
        <v>0.018796482621123</v>
      </c>
      <c r="F95" s="4">
        <v>0.125</v>
      </c>
      <c r="G95" s="4">
        <v>0.02383625553960966</v>
      </c>
      <c r="H95" s="3">
        <v>1.428908608857839</v>
      </c>
      <c r="I95" s="5">
        <v>50452.042044</v>
      </c>
      <c r="J95" s="6">
        <v>10.54379144078997</v>
      </c>
      <c r="K95" s="4">
        <v>0.2123192583741217</v>
      </c>
      <c r="L95" s="7">
        <v>0.5861505318019801</v>
      </c>
      <c r="M95" s="3">
        <v>80.83</v>
      </c>
      <c r="N95" s="3">
        <v>53.96</v>
      </c>
    </row>
    <row r="96" spans="1:14">
      <c r="A96" s="8" t="s">
        <v>108</v>
      </c>
      <c r="B96" s="2">
        <f>HYPERLINK("https://www.suredividend.com/sure-analysis-research-database/","Altra Industrial Motion Corp")</f>
        <v>0</v>
      </c>
      <c r="C96" s="1" t="s">
        <v>3179</v>
      </c>
      <c r="D96" s="3">
        <v>61.98</v>
      </c>
      <c r="E96" s="4">
        <v>0</v>
      </c>
      <c r="F96" s="4" t="s">
        <v>3178</v>
      </c>
      <c r="G96" s="4" t="s">
        <v>3178</v>
      </c>
      <c r="H96" s="3">
        <v>0.360000014305114</v>
      </c>
      <c r="I96" s="5">
        <v>0</v>
      </c>
      <c r="J96" s="6">
        <v>0</v>
      </c>
      <c r="K96" s="4">
        <v>0.1855670176830485</v>
      </c>
    </row>
    <row r="97" spans="1:14">
      <c r="A97" s="8" t="s">
        <v>109</v>
      </c>
      <c r="B97" s="2">
        <f>HYPERLINK("https://www.suredividend.com/sure-analysis-research-database/","Aimmune Therapeutics Inc")</f>
        <v>0</v>
      </c>
      <c r="C97" s="1" t="s">
        <v>3176</v>
      </c>
      <c r="D97" s="3">
        <v>34.49</v>
      </c>
      <c r="E97" s="4">
        <v>0</v>
      </c>
      <c r="F97" s="4" t="s">
        <v>3178</v>
      </c>
      <c r="G97" s="4" t="s">
        <v>3178</v>
      </c>
      <c r="H97" s="3">
        <v>0</v>
      </c>
      <c r="I97" s="5">
        <v>0</v>
      </c>
      <c r="J97" s="6">
        <v>0</v>
      </c>
      <c r="K97" s="4" t="s">
        <v>3178</v>
      </c>
    </row>
    <row r="98" spans="1:14">
      <c r="A98" s="8" t="s">
        <v>110</v>
      </c>
      <c r="B98" s="2">
        <f>HYPERLINK("https://www.suredividend.com/sure-analysis-research-database/","Albany International Corp.")</f>
        <v>0</v>
      </c>
      <c r="C98" s="1" t="s">
        <v>3182</v>
      </c>
      <c r="D98" s="3">
        <v>84.37</v>
      </c>
      <c r="E98" s="4">
        <v>0.01215573081572</v>
      </c>
      <c r="F98" s="4">
        <v>0.04000000000000004</v>
      </c>
      <c r="G98" s="4">
        <v>0.07631692251481081</v>
      </c>
      <c r="H98" s="3">
        <v>1.025579008922343</v>
      </c>
      <c r="I98" s="5">
        <v>2632.344</v>
      </c>
      <c r="J98" s="6">
        <v>23.60380911389681</v>
      </c>
      <c r="K98" s="4">
        <v>0.2880839912703211</v>
      </c>
      <c r="L98" s="7">
        <v>1.159903709861102</v>
      </c>
      <c r="M98" s="3">
        <v>98.83</v>
      </c>
      <c r="N98" s="3">
        <v>77.53</v>
      </c>
    </row>
    <row r="99" spans="1:14">
      <c r="A99" s="8" t="s">
        <v>111</v>
      </c>
      <c r="B99" s="2">
        <f>HYPERLINK("https://www.suredividend.com/sure-analysis-research-database/","Ashford Inc")</f>
        <v>0</v>
      </c>
      <c r="C99" s="1" t="s">
        <v>3180</v>
      </c>
      <c r="D99" s="3">
        <v>4.8</v>
      </c>
      <c r="E99" s="4">
        <v>0</v>
      </c>
      <c r="F99" s="4" t="s">
        <v>3178</v>
      </c>
      <c r="G99" s="4" t="s">
        <v>3178</v>
      </c>
      <c r="H99" s="3">
        <v>0</v>
      </c>
      <c r="I99" s="5">
        <v>16.4664</v>
      </c>
      <c r="J99" s="6">
        <v>0</v>
      </c>
      <c r="K99" s="4" t="s">
        <v>3178</v>
      </c>
      <c r="M99" s="3">
        <v>10.85</v>
      </c>
      <c r="N99" s="3">
        <v>1.91</v>
      </c>
    </row>
    <row r="100" spans="1:14">
      <c r="A100" s="8" t="s">
        <v>112</v>
      </c>
      <c r="B100" s="2">
        <f>HYPERLINK("https://www.suredividend.com/sure-analysis-research-database/","AAR Corp.")</f>
        <v>0</v>
      </c>
      <c r="C100" s="1" t="s">
        <v>3179</v>
      </c>
      <c r="D100" s="3">
        <v>66.95999999999999</v>
      </c>
      <c r="E100" s="4">
        <v>0</v>
      </c>
      <c r="F100" s="4" t="s">
        <v>3178</v>
      </c>
      <c r="G100" s="4" t="s">
        <v>3178</v>
      </c>
      <c r="H100" s="3">
        <v>0</v>
      </c>
      <c r="I100" s="5">
        <v>2372.19567</v>
      </c>
      <c r="J100" s="6">
        <v>39.27476274437086</v>
      </c>
      <c r="K100" s="4">
        <v>0</v>
      </c>
      <c r="L100" s="7">
        <v>0.8440150886296071</v>
      </c>
      <c r="M100" s="3">
        <v>73.95</v>
      </c>
      <c r="N100" s="3">
        <v>54.41</v>
      </c>
    </row>
    <row r="101" spans="1:14">
      <c r="A101" s="8" t="s">
        <v>113</v>
      </c>
      <c r="B101" s="2">
        <f>HYPERLINK("https://www.suredividend.com/sure-analysis-research-database/","Airgain Inc")</f>
        <v>0</v>
      </c>
      <c r="C101" s="1" t="s">
        <v>3181</v>
      </c>
      <c r="D101" s="3">
        <v>5.365</v>
      </c>
      <c r="E101" s="4">
        <v>0</v>
      </c>
      <c r="F101" s="4" t="s">
        <v>3178</v>
      </c>
      <c r="G101" s="4" t="s">
        <v>3178</v>
      </c>
      <c r="H101" s="3">
        <v>0</v>
      </c>
      <c r="I101" s="5">
        <v>57.82089</v>
      </c>
      <c r="J101" s="6" t="s">
        <v>3178</v>
      </c>
      <c r="K101" s="4">
        <v>-0</v>
      </c>
      <c r="L101" s="7">
        <v>-0.05586997926488901</v>
      </c>
      <c r="M101" s="3">
        <v>6</v>
      </c>
      <c r="N101" s="3">
        <v>1.63</v>
      </c>
    </row>
    <row r="102" spans="1:14">
      <c r="A102" s="8" t="s">
        <v>114</v>
      </c>
      <c r="B102" s="2">
        <f>HYPERLINK("https://www.suredividend.com/sure-analysis-research-database/","Air Industries Group")</f>
        <v>0</v>
      </c>
      <c r="C102" s="1" t="s">
        <v>3179</v>
      </c>
      <c r="D102" s="3">
        <v>3.75</v>
      </c>
      <c r="E102" s="4">
        <v>0</v>
      </c>
      <c r="F102" s="4" t="s">
        <v>3178</v>
      </c>
      <c r="G102" s="4" t="s">
        <v>3178</v>
      </c>
      <c r="H102" s="3">
        <v>0</v>
      </c>
      <c r="I102" s="5">
        <v>12.467944</v>
      </c>
      <c r="J102" s="6">
        <v>0</v>
      </c>
      <c r="K102" s="4" t="s">
        <v>3178</v>
      </c>
      <c r="M102" s="3">
        <v>7.77</v>
      </c>
      <c r="N102" s="3">
        <v>2.6</v>
      </c>
    </row>
    <row r="103" spans="1:14">
      <c r="A103" s="8" t="s">
        <v>115</v>
      </c>
      <c r="B103" s="2">
        <f>HYPERLINK("https://www.suredividend.com/sure-analysis-research-database/","Air T Inc")</f>
        <v>0</v>
      </c>
      <c r="C103" s="1" t="s">
        <v>3179</v>
      </c>
      <c r="D103" s="3">
        <v>25.2</v>
      </c>
      <c r="E103" s="4">
        <v>0</v>
      </c>
      <c r="F103" s="4" t="s">
        <v>3178</v>
      </c>
      <c r="G103" s="4" t="s">
        <v>3178</v>
      </c>
      <c r="H103" s="3">
        <v>0</v>
      </c>
      <c r="I103" s="5">
        <v>43.519745</v>
      </c>
      <c r="J103" s="6" t="s">
        <v>3178</v>
      </c>
      <c r="K103" s="4">
        <v>-0</v>
      </c>
      <c r="M103" s="3">
        <v>27.75</v>
      </c>
      <c r="N103" s="3">
        <v>12.53</v>
      </c>
    </row>
    <row r="104" spans="1:14">
      <c r="A104" s="8" t="s">
        <v>116</v>
      </c>
      <c r="B104" s="2">
        <f>HYPERLINK("https://www.suredividend.com/sure-analysis-AIT/","Applied Industrial Technologies Inc.")</f>
        <v>0</v>
      </c>
      <c r="C104" s="1" t="s">
        <v>3179</v>
      </c>
      <c r="D104" s="3">
        <v>187.16</v>
      </c>
      <c r="E104" s="4">
        <v>0.007907672579611029</v>
      </c>
      <c r="F104" s="4">
        <v>0.05714285714285694</v>
      </c>
      <c r="G104" s="4">
        <v>0.03601968190208304</v>
      </c>
      <c r="H104" s="3">
        <v>1.436551207944465</v>
      </c>
      <c r="I104" s="5">
        <v>7224.865798</v>
      </c>
      <c r="J104" s="6">
        <v>19.29275272699113</v>
      </c>
      <c r="K104" s="4">
        <v>0.1507398959018326</v>
      </c>
      <c r="L104" s="7">
        <v>1.059033699047207</v>
      </c>
      <c r="M104" s="3">
        <v>201.66</v>
      </c>
      <c r="N104" s="3">
        <v>133.29</v>
      </c>
    </row>
    <row r="105" spans="1:14">
      <c r="A105" s="8" t="s">
        <v>117</v>
      </c>
      <c r="B105" s="2">
        <f>HYPERLINK("https://www.suredividend.com/sure-analysis-research-database/","Apartment Investment &amp; Management Co.")</f>
        <v>0</v>
      </c>
      <c r="C105" s="1" t="s">
        <v>3183</v>
      </c>
      <c r="D105" s="3">
        <v>7.99</v>
      </c>
      <c r="E105" s="4">
        <v>0</v>
      </c>
      <c r="F105" s="4" t="s">
        <v>3178</v>
      </c>
      <c r="G105" s="4" t="s">
        <v>3178</v>
      </c>
      <c r="H105" s="3">
        <v>0</v>
      </c>
      <c r="I105" s="5">
        <v>1157.168729</v>
      </c>
      <c r="J105" s="6" t="s">
        <v>3178</v>
      </c>
      <c r="K105" s="4">
        <v>-0</v>
      </c>
      <c r="L105" s="7">
        <v>1.031452588878411</v>
      </c>
      <c r="M105" s="3">
        <v>8.93</v>
      </c>
      <c r="N105" s="3">
        <v>5.63</v>
      </c>
    </row>
    <row r="106" spans="1:14">
      <c r="A106" s="8" t="s">
        <v>118</v>
      </c>
      <c r="B106" s="2">
        <f>HYPERLINK("https://www.suredividend.com/sure-analysis-AIZ/","Assurant Inc")</f>
        <v>0</v>
      </c>
      <c r="C106" s="1" t="s">
        <v>3180</v>
      </c>
      <c r="D106" s="3">
        <v>173.34</v>
      </c>
      <c r="E106" s="4">
        <v>0.0166147455867082</v>
      </c>
      <c r="F106" s="4" t="s">
        <v>3178</v>
      </c>
      <c r="G106" s="4" t="s">
        <v>3178</v>
      </c>
      <c r="H106" s="3">
        <v>2.130899815331549</v>
      </c>
      <c r="I106" s="5">
        <v>9011.219265</v>
      </c>
      <c r="J106" s="6">
        <v>11.7747540381027</v>
      </c>
      <c r="K106" s="4">
        <v>0.1492226761436659</v>
      </c>
      <c r="L106" s="7">
        <v>0.332064024877832</v>
      </c>
      <c r="M106" s="3">
        <v>189.48</v>
      </c>
      <c r="N106" s="3">
        <v>119.86</v>
      </c>
    </row>
    <row r="107" spans="1:14">
      <c r="A107" s="8" t="s">
        <v>119</v>
      </c>
      <c r="B107" s="2">
        <f>HYPERLINK("https://www.suredividend.com/sure-analysis-AJG/","Arthur J. Gallagher &amp; Co.")</f>
        <v>0</v>
      </c>
      <c r="C107" s="1" t="s">
        <v>3180</v>
      </c>
      <c r="D107" s="3">
        <v>253.53</v>
      </c>
      <c r="E107" s="4">
        <v>0.009466335344929593</v>
      </c>
      <c r="F107" s="4">
        <v>0.09090909090909105</v>
      </c>
      <c r="G107" s="4">
        <v>0.06889872481155268</v>
      </c>
      <c r="H107" s="3">
        <v>2.292035788953092</v>
      </c>
      <c r="I107" s="5">
        <v>55396.305</v>
      </c>
      <c r="J107" s="6">
        <v>50.75710555250138</v>
      </c>
      <c r="K107" s="4">
        <v>0.4538684730600183</v>
      </c>
      <c r="L107" s="7">
        <v>0.441844145910216</v>
      </c>
      <c r="M107" s="3">
        <v>258.73</v>
      </c>
      <c r="N107" s="3">
        <v>203.47</v>
      </c>
    </row>
    <row r="108" spans="1:14">
      <c r="A108" s="8" t="s">
        <v>120</v>
      </c>
      <c r="B108" s="2">
        <f>HYPERLINK("https://www.suredividend.com/sure-analysis-research-database/","Aerojet Rocketdyne Holdings Inc")</f>
        <v>0</v>
      </c>
      <c r="C108" s="1" t="s">
        <v>3179</v>
      </c>
      <c r="D108" s="3">
        <v>57.99</v>
      </c>
      <c r="E108" s="4">
        <v>0</v>
      </c>
      <c r="F108" s="4" t="s">
        <v>3178</v>
      </c>
      <c r="G108" s="4" t="s">
        <v>3178</v>
      </c>
      <c r="H108" s="3">
        <v>0</v>
      </c>
      <c r="I108" s="5">
        <v>4683.208089</v>
      </c>
      <c r="J108" s="6">
        <v>63.45810418821138</v>
      </c>
      <c r="K108" s="4">
        <v>0</v>
      </c>
      <c r="L108" s="7">
        <v>0.4693327369242961</v>
      </c>
      <c r="M108" s="3">
        <v>58.01</v>
      </c>
      <c r="N108" s="3">
        <v>39.18</v>
      </c>
    </row>
    <row r="109" spans="1:14">
      <c r="A109" s="8" t="s">
        <v>121</v>
      </c>
      <c r="B109" s="2">
        <f>HYPERLINK("https://www.suredividend.com/sure-analysis-research-database/","Great Ajax Corp")</f>
        <v>0</v>
      </c>
      <c r="C109" s="1" t="s">
        <v>3183</v>
      </c>
      <c r="D109" s="3">
        <v>3.31</v>
      </c>
      <c r="E109" s="4">
        <v>0.136268472757525</v>
      </c>
      <c r="F109" s="4" t="s">
        <v>3178</v>
      </c>
      <c r="G109" s="4" t="s">
        <v>3178</v>
      </c>
      <c r="H109" s="3">
        <v>0.45104864482741</v>
      </c>
      <c r="I109" s="5">
        <v>122.413617</v>
      </c>
      <c r="J109" s="6" t="s">
        <v>3178</v>
      </c>
      <c r="K109" s="4" t="s">
        <v>3178</v>
      </c>
      <c r="L109" s="7">
        <v>1.01653614281711</v>
      </c>
      <c r="M109" s="3">
        <v>6.54</v>
      </c>
      <c r="N109" s="3">
        <v>3.11</v>
      </c>
    </row>
    <row r="110" spans="1:14">
      <c r="A110" s="8" t="s">
        <v>122</v>
      </c>
      <c r="B110" s="2">
        <f>HYPERLINK("https://www.suredividend.com/sure-analysis-research-database/","Akamai Technologies Inc")</f>
        <v>0</v>
      </c>
      <c r="C110" s="1" t="s">
        <v>3181</v>
      </c>
      <c r="D110" s="3">
        <v>89.18000000000001</v>
      </c>
      <c r="E110" s="4">
        <v>0</v>
      </c>
      <c r="F110" s="4" t="s">
        <v>3178</v>
      </c>
      <c r="G110" s="4" t="s">
        <v>3178</v>
      </c>
      <c r="H110" s="3">
        <v>0</v>
      </c>
      <c r="I110" s="5">
        <v>13583.589751</v>
      </c>
      <c r="J110" s="6">
        <v>21.70107046932539</v>
      </c>
      <c r="K110" s="4">
        <v>0</v>
      </c>
      <c r="L110" s="7">
        <v>0.683504683765438</v>
      </c>
      <c r="M110" s="3">
        <v>129.17</v>
      </c>
      <c r="N110" s="3">
        <v>86.94</v>
      </c>
    </row>
    <row r="111" spans="1:14">
      <c r="A111" s="8" t="s">
        <v>123</v>
      </c>
      <c r="B111" s="2">
        <f>HYPERLINK("https://www.suredividend.com/sure-analysis-research-database/","Akebia Therapeutics Inc.")</f>
        <v>0</v>
      </c>
      <c r="C111" s="1" t="s">
        <v>3176</v>
      </c>
      <c r="D111" s="3">
        <v>1.06</v>
      </c>
      <c r="E111" s="4">
        <v>0</v>
      </c>
      <c r="F111" s="4" t="s">
        <v>3178</v>
      </c>
      <c r="G111" s="4" t="s">
        <v>3178</v>
      </c>
      <c r="H111" s="3">
        <v>0</v>
      </c>
      <c r="I111" s="5">
        <v>222.172161</v>
      </c>
      <c r="J111" s="6" t="s">
        <v>3178</v>
      </c>
      <c r="K111" s="4">
        <v>-0</v>
      </c>
      <c r="L111" s="7">
        <v>1.351466565237293</v>
      </c>
      <c r="M111" s="3">
        <v>2.48</v>
      </c>
      <c r="N111" s="3">
        <v>0.7801</v>
      </c>
    </row>
    <row r="112" spans="1:14">
      <c r="A112" s="8" t="s">
        <v>124</v>
      </c>
      <c r="B112" s="2">
        <f>HYPERLINK("https://www.suredividend.com/sure-analysis-research-database/","Akcea Therapeutics Inc")</f>
        <v>0</v>
      </c>
      <c r="C112" s="1" t="s">
        <v>3176</v>
      </c>
      <c r="D112" s="3">
        <v>18.17</v>
      </c>
      <c r="E112" s="4">
        <v>0</v>
      </c>
      <c r="F112" s="4" t="s">
        <v>3178</v>
      </c>
      <c r="G112" s="4" t="s">
        <v>3178</v>
      </c>
      <c r="H112" s="3">
        <v>0</v>
      </c>
      <c r="I112" s="5">
        <v>0</v>
      </c>
      <c r="J112" s="6">
        <v>0</v>
      </c>
      <c r="K112" s="4" t="s">
        <v>3178</v>
      </c>
    </row>
    <row r="113" spans="1:14">
      <c r="A113" s="8" t="s">
        <v>125</v>
      </c>
      <c r="B113" s="2">
        <f>HYPERLINK("https://www.suredividend.com/sure-analysis-AKR/","Acadia Realty Trust")</f>
        <v>0</v>
      </c>
      <c r="C113" s="1" t="s">
        <v>3183</v>
      </c>
      <c r="D113" s="3">
        <v>17.03</v>
      </c>
      <c r="E113" s="4">
        <v>0.04227833235466823</v>
      </c>
      <c r="F113" s="4" t="s">
        <v>3178</v>
      </c>
      <c r="G113" s="4" t="s">
        <v>3178</v>
      </c>
      <c r="H113" s="3">
        <v>0.7080971094885451</v>
      </c>
      <c r="I113" s="5">
        <v>1757.1804</v>
      </c>
      <c r="J113" s="6">
        <v>200.6142710400731</v>
      </c>
      <c r="K113" s="4">
        <v>7.841606971080233</v>
      </c>
      <c r="L113" s="7">
        <v>1.013491418108847</v>
      </c>
      <c r="M113" s="3">
        <v>17.9</v>
      </c>
      <c r="N113" s="3">
        <v>12.77</v>
      </c>
    </row>
    <row r="114" spans="1:14">
      <c r="A114" s="8" t="s">
        <v>126</v>
      </c>
      <c r="B114" s="2">
        <f>HYPERLINK("https://www.suredividend.com/sure-analysis-research-database/","Akoustis Technologies Inc")</f>
        <v>0</v>
      </c>
      <c r="C114" s="1" t="s">
        <v>3181</v>
      </c>
      <c r="D114" s="3">
        <v>0.169</v>
      </c>
      <c r="E114" s="4">
        <v>0</v>
      </c>
      <c r="F114" s="4" t="s">
        <v>3178</v>
      </c>
      <c r="G114" s="4" t="s">
        <v>3178</v>
      </c>
      <c r="H114" s="3">
        <v>0</v>
      </c>
      <c r="I114" s="5">
        <v>16.675109</v>
      </c>
      <c r="J114" s="6" t="s">
        <v>3178</v>
      </c>
      <c r="K114" s="4">
        <v>-0</v>
      </c>
      <c r="M114" s="3">
        <v>3.36</v>
      </c>
      <c r="N114" s="3">
        <v>0.1309</v>
      </c>
    </row>
    <row r="115" spans="1:14">
      <c r="A115" s="8" t="s">
        <v>127</v>
      </c>
      <c r="B115" s="2">
        <f>HYPERLINK("https://www.suredividend.com/sure-analysis-research-database/","Air Lease Corp")</f>
        <v>0</v>
      </c>
      <c r="C115" s="1" t="s">
        <v>3179</v>
      </c>
      <c r="D115" s="3">
        <v>45.94</v>
      </c>
      <c r="E115" s="4">
        <v>0.017944470881689</v>
      </c>
      <c r="F115" s="4">
        <v>0.04999999999999982</v>
      </c>
      <c r="G115" s="4">
        <v>0.06961037572506878</v>
      </c>
      <c r="H115" s="3">
        <v>0.8243689923048141</v>
      </c>
      <c r="I115" s="5">
        <v>5116.177056</v>
      </c>
      <c r="J115" s="6">
        <v>9.267295072237475</v>
      </c>
      <c r="K115" s="4">
        <v>0.1665391903646089</v>
      </c>
      <c r="L115" s="7">
        <v>1.091602756583235</v>
      </c>
      <c r="M115" s="3">
        <v>52.08</v>
      </c>
      <c r="N115" s="3">
        <v>32.86</v>
      </c>
    </row>
    <row r="116" spans="1:14">
      <c r="A116" s="8" t="s">
        <v>128</v>
      </c>
      <c r="B116" s="2">
        <f>HYPERLINK("https://www.suredividend.com/sure-analysis-ALB/","Albemarle Corp.")</f>
        <v>0</v>
      </c>
      <c r="C116" s="1" t="s">
        <v>3177</v>
      </c>
      <c r="D116" s="3">
        <v>114.94</v>
      </c>
      <c r="E116" s="4">
        <v>0.01392030624673743</v>
      </c>
      <c r="F116" s="4">
        <v>0</v>
      </c>
      <c r="G116" s="4">
        <v>0.01709268203414238</v>
      </c>
      <c r="H116" s="3">
        <v>1.593045066644777</v>
      </c>
      <c r="I116" s="5">
        <v>13508.607632</v>
      </c>
      <c r="J116" s="6">
        <v>41.46797529371317</v>
      </c>
      <c r="K116" s="4">
        <v>0.5751065222544322</v>
      </c>
      <c r="L116" s="7">
        <v>2.181430248519202</v>
      </c>
      <c r="M116" s="3">
        <v>245.42</v>
      </c>
      <c r="N116" s="3">
        <v>106.35</v>
      </c>
    </row>
    <row r="117" spans="1:14">
      <c r="A117" s="8" t="s">
        <v>129</v>
      </c>
      <c r="B117" s="2">
        <f>HYPERLINK("https://www.suredividend.com/sure-analysis-research-database/","Albireo Pharma Inc")</f>
        <v>0</v>
      </c>
      <c r="C117" s="1" t="s">
        <v>3176</v>
      </c>
      <c r="D117" s="3">
        <v>44.15</v>
      </c>
      <c r="E117" s="4">
        <v>0</v>
      </c>
      <c r="F117" s="4" t="s">
        <v>3178</v>
      </c>
      <c r="G117" s="4" t="s">
        <v>3178</v>
      </c>
      <c r="H117" s="3">
        <v>0</v>
      </c>
      <c r="I117" s="5">
        <v>0</v>
      </c>
      <c r="J117" s="6">
        <v>0</v>
      </c>
      <c r="K117" s="4">
        <v>-0</v>
      </c>
    </row>
    <row r="118" spans="1:14">
      <c r="A118" s="8" t="s">
        <v>130</v>
      </c>
      <c r="B118" s="2">
        <f>HYPERLINK("https://www.suredividend.com/sure-analysis-research-database/","Alico Inc.")</f>
        <v>0</v>
      </c>
      <c r="C118" s="1" t="s">
        <v>3184</v>
      </c>
      <c r="D118" s="3">
        <v>25.86</v>
      </c>
      <c r="E118" s="4">
        <v>0.00769157601637</v>
      </c>
      <c r="F118" s="4">
        <v>0</v>
      </c>
      <c r="G118" s="4">
        <v>-0.03580749599737276</v>
      </c>
      <c r="H118" s="3">
        <v>0.198904155783348</v>
      </c>
      <c r="I118" s="5">
        <v>197.161424</v>
      </c>
      <c r="J118" s="6">
        <v>4.939779623180417</v>
      </c>
      <c r="K118" s="4">
        <v>0.03795880835560077</v>
      </c>
      <c r="L118" s="7">
        <v>0.6663528692631521</v>
      </c>
      <c r="M118" s="3">
        <v>30.78</v>
      </c>
      <c r="N118" s="3">
        <v>22.96</v>
      </c>
    </row>
    <row r="119" spans="1:14">
      <c r="A119" s="8" t="s">
        <v>131</v>
      </c>
      <c r="B119" s="2">
        <f>HYPERLINK("https://www.suredividend.com/sure-analysis-research-database/","Aldeyra Therapeutics Inc")</f>
        <v>0</v>
      </c>
      <c r="C119" s="1" t="s">
        <v>3176</v>
      </c>
      <c r="D119" s="3">
        <v>3.86</v>
      </c>
      <c r="E119" s="4">
        <v>0</v>
      </c>
      <c r="F119" s="4" t="s">
        <v>3178</v>
      </c>
      <c r="G119" s="4" t="s">
        <v>3178</v>
      </c>
      <c r="H119" s="3">
        <v>0</v>
      </c>
      <c r="I119" s="5">
        <v>229.339928</v>
      </c>
      <c r="J119" s="6">
        <v>0</v>
      </c>
      <c r="K119" s="4" t="s">
        <v>3178</v>
      </c>
      <c r="L119" s="7">
        <v>1.340899681986252</v>
      </c>
      <c r="M119" s="3">
        <v>11.97</v>
      </c>
      <c r="N119" s="3">
        <v>1.42</v>
      </c>
    </row>
    <row r="120" spans="1:14">
      <c r="A120" s="8" t="s">
        <v>132</v>
      </c>
      <c r="B120" s="2">
        <f>HYPERLINK("https://www.suredividend.com/sure-analysis-ALE/","Allete, Inc.")</f>
        <v>0</v>
      </c>
      <c r="C120" s="1" t="s">
        <v>3186</v>
      </c>
      <c r="D120" s="3">
        <v>62.9</v>
      </c>
      <c r="E120" s="4">
        <v>0.04483306836248013</v>
      </c>
      <c r="F120" s="4">
        <v>0.04059040590405893</v>
      </c>
      <c r="G120" s="4">
        <v>0.03713728933664817</v>
      </c>
      <c r="H120" s="3">
        <v>2.717203595096632</v>
      </c>
      <c r="I120" s="5">
        <v>3621.670164</v>
      </c>
      <c r="J120" s="6">
        <v>15.11548482387312</v>
      </c>
      <c r="K120" s="4">
        <v>0.6516075767617823</v>
      </c>
      <c r="L120" s="7">
        <v>0.526239658922201</v>
      </c>
      <c r="M120" s="3">
        <v>65.13</v>
      </c>
      <c r="N120" s="3">
        <v>47.53</v>
      </c>
    </row>
    <row r="121" spans="1:14">
      <c r="A121" s="8" t="s">
        <v>133</v>
      </c>
      <c r="B121" s="2">
        <f>HYPERLINK("https://www.suredividend.com/sure-analysis-research-database/","Alector Inc")</f>
        <v>0</v>
      </c>
      <c r="C121" s="1" t="s">
        <v>3176</v>
      </c>
      <c r="D121" s="3">
        <v>4.36</v>
      </c>
      <c r="E121" s="4">
        <v>0</v>
      </c>
      <c r="F121" s="4" t="s">
        <v>3178</v>
      </c>
      <c r="G121" s="4" t="s">
        <v>3178</v>
      </c>
      <c r="H121" s="3">
        <v>0</v>
      </c>
      <c r="I121" s="5">
        <v>420.23669</v>
      </c>
      <c r="J121" s="6" t="s">
        <v>3178</v>
      </c>
      <c r="K121" s="4">
        <v>-0</v>
      </c>
      <c r="L121" s="7">
        <v>1.728522960134319</v>
      </c>
      <c r="M121" s="3">
        <v>9.07</v>
      </c>
      <c r="N121" s="3">
        <v>3.66</v>
      </c>
    </row>
    <row r="122" spans="1:14">
      <c r="A122" s="8" t="s">
        <v>134</v>
      </c>
      <c r="B122" s="2">
        <f>HYPERLINK("https://www.suredividend.com/sure-analysis-research-database/","Alexander &amp; Baldwin Inc.")</f>
        <v>0</v>
      </c>
      <c r="C122" s="1" t="s">
        <v>3183</v>
      </c>
      <c r="D122" s="3">
        <v>16.58</v>
      </c>
      <c r="E122" s="4">
        <v>0.05236265453383301</v>
      </c>
      <c r="F122" s="4" t="s">
        <v>3178</v>
      </c>
      <c r="G122" s="4" t="s">
        <v>3178</v>
      </c>
      <c r="H122" s="3">
        <v>0.8681728121709661</v>
      </c>
      <c r="I122" s="5">
        <v>1203.577797</v>
      </c>
      <c r="J122" s="6">
        <v>27.05763673530866</v>
      </c>
      <c r="K122" s="4">
        <v>1.421137358276258</v>
      </c>
      <c r="L122" s="7">
        <v>0.918838812937644</v>
      </c>
      <c r="M122" s="3">
        <v>19.24</v>
      </c>
      <c r="N122" s="3">
        <v>15.17</v>
      </c>
    </row>
    <row r="123" spans="1:14">
      <c r="A123" s="8" t="s">
        <v>135</v>
      </c>
      <c r="B123" s="2">
        <f>HYPERLINK("https://www.suredividend.com/sure-analysis-research-database/","Alamo Group Inc.")</f>
        <v>0</v>
      </c>
      <c r="C123" s="1" t="s">
        <v>3179</v>
      </c>
      <c r="D123" s="3">
        <v>184.99</v>
      </c>
      <c r="E123" s="4">
        <v>0.005180292599883</v>
      </c>
      <c r="F123" s="4">
        <v>0.1818181818181819</v>
      </c>
      <c r="G123" s="4">
        <v>0.1672353193296932</v>
      </c>
      <c r="H123" s="3">
        <v>0.958302328052523</v>
      </c>
      <c r="I123" s="5">
        <v>2229.626938</v>
      </c>
      <c r="J123" s="6">
        <v>16.52407833656953</v>
      </c>
      <c r="K123" s="4">
        <v>0.08525821423954831</v>
      </c>
      <c r="L123" s="7">
        <v>1.157926789707677</v>
      </c>
      <c r="M123" s="3">
        <v>231.12</v>
      </c>
      <c r="N123" s="3">
        <v>157.34</v>
      </c>
    </row>
    <row r="124" spans="1:14">
      <c r="A124" s="8" t="s">
        <v>136</v>
      </c>
      <c r="B124" s="2">
        <f>HYPERLINK("https://www.suredividend.com/sure-analysis-research-database/","Align Technology, Inc.")</f>
        <v>0</v>
      </c>
      <c r="C124" s="1" t="s">
        <v>3176</v>
      </c>
      <c r="D124" s="3">
        <v>255.54</v>
      </c>
      <c r="E124" s="4">
        <v>0</v>
      </c>
      <c r="F124" s="4" t="s">
        <v>3178</v>
      </c>
      <c r="G124" s="4" t="s">
        <v>3178</v>
      </c>
      <c r="H124" s="3">
        <v>0</v>
      </c>
      <c r="I124" s="5">
        <v>19237.482296</v>
      </c>
      <c r="J124" s="6">
        <v>41.61408119264606</v>
      </c>
      <c r="K124" s="4">
        <v>0</v>
      </c>
      <c r="L124" s="7">
        <v>1.887267418387438</v>
      </c>
      <c r="M124" s="3">
        <v>413.2</v>
      </c>
      <c r="N124" s="3">
        <v>176.34</v>
      </c>
    </row>
    <row r="125" spans="1:14">
      <c r="A125" s="8" t="s">
        <v>137</v>
      </c>
      <c r="B125" s="2">
        <f>HYPERLINK("https://www.suredividend.com/sure-analysis-research-database/","Allegiant Travel")</f>
        <v>0</v>
      </c>
      <c r="C125" s="1" t="s">
        <v>3179</v>
      </c>
      <c r="D125" s="3">
        <v>52.29</v>
      </c>
      <c r="E125" s="4">
        <v>0.04478826505181401</v>
      </c>
      <c r="F125" s="4" t="s">
        <v>3178</v>
      </c>
      <c r="G125" s="4" t="s">
        <v>3178</v>
      </c>
      <c r="H125" s="3">
        <v>2.341978379559358</v>
      </c>
      <c r="I125" s="5">
        <v>953.36613</v>
      </c>
      <c r="J125" s="6">
        <v>16.65559277358491</v>
      </c>
      <c r="K125" s="4">
        <v>0.7364711885406785</v>
      </c>
      <c r="L125" s="7">
        <v>1.239085455566302</v>
      </c>
      <c r="M125" s="3">
        <v>123.27</v>
      </c>
      <c r="N125" s="3">
        <v>46.9</v>
      </c>
    </row>
    <row r="126" spans="1:14">
      <c r="A126" s="8" t="s">
        <v>138</v>
      </c>
      <c r="B126" s="2">
        <f>HYPERLINK("https://www.suredividend.com/sure-analysis-research-database/","Alimera Sciences Inc.")</f>
        <v>0</v>
      </c>
      <c r="C126" s="1" t="s">
        <v>3176</v>
      </c>
      <c r="D126" s="3">
        <v>3.01</v>
      </c>
      <c r="E126" s="4">
        <v>0</v>
      </c>
      <c r="F126" s="4" t="s">
        <v>3178</v>
      </c>
      <c r="G126" s="4" t="s">
        <v>3178</v>
      </c>
      <c r="H126" s="3">
        <v>0</v>
      </c>
      <c r="I126" s="5">
        <v>157.689424</v>
      </c>
      <c r="J126" s="6">
        <v>0</v>
      </c>
      <c r="K126" s="4" t="s">
        <v>3178</v>
      </c>
      <c r="L126" s="7">
        <v>0.9527727985917611</v>
      </c>
      <c r="M126" s="3">
        <v>4.38</v>
      </c>
      <c r="N126" s="3">
        <v>2.6</v>
      </c>
    </row>
    <row r="127" spans="1:14">
      <c r="A127" s="8" t="s">
        <v>139</v>
      </c>
      <c r="B127" s="2">
        <f>HYPERLINK("https://www.suredividend.com/sure-analysis-research-database/","Alj Regional Holdings Inc")</f>
        <v>0</v>
      </c>
      <c r="C127" s="1" t="s">
        <v>3179</v>
      </c>
      <c r="D127" s="3">
        <v>1.92</v>
      </c>
      <c r="E127" s="4">
        <v>0</v>
      </c>
      <c r="F127" s="4" t="s">
        <v>3178</v>
      </c>
      <c r="G127" s="4" t="s">
        <v>3178</v>
      </c>
      <c r="H127" s="3">
        <v>0</v>
      </c>
      <c r="I127" s="5">
        <v>70.261404</v>
      </c>
      <c r="J127" s="6">
        <v>0</v>
      </c>
      <c r="K127" s="4" t="s">
        <v>3178</v>
      </c>
      <c r="M127" s="3">
        <v>2.1</v>
      </c>
      <c r="N127" s="3">
        <v>1.4</v>
      </c>
    </row>
    <row r="128" spans="1:14">
      <c r="A128" s="8" t="s">
        <v>140</v>
      </c>
      <c r="B128" s="2">
        <f>HYPERLINK("https://www.suredividend.com/sure-analysis-research-database/","Alaska Air Group Inc.")</f>
        <v>0</v>
      </c>
      <c r="C128" s="1" t="s">
        <v>3179</v>
      </c>
      <c r="D128" s="3">
        <v>40.74</v>
      </c>
      <c r="E128" s="4">
        <v>0</v>
      </c>
      <c r="F128" s="4" t="s">
        <v>3178</v>
      </c>
      <c r="G128" s="4" t="s">
        <v>3178</v>
      </c>
      <c r="H128" s="3">
        <v>0</v>
      </c>
      <c r="I128" s="5">
        <v>5169.57348</v>
      </c>
      <c r="J128" s="6">
        <v>21.10029991885714</v>
      </c>
      <c r="K128" s="4">
        <v>0</v>
      </c>
      <c r="L128" s="7">
        <v>1.21201573204963</v>
      </c>
      <c r="M128" s="3">
        <v>57.18</v>
      </c>
      <c r="N128" s="3">
        <v>30.75</v>
      </c>
    </row>
    <row r="129" spans="1:14">
      <c r="A129" s="8" t="s">
        <v>141</v>
      </c>
      <c r="B129" s="2">
        <f>HYPERLINK("https://www.suredividend.com/sure-analysis-research-database/","Alkermes plc")</f>
        <v>0</v>
      </c>
      <c r="C129" s="1" t="s">
        <v>3176</v>
      </c>
      <c r="D129" s="3">
        <v>23.91</v>
      </c>
      <c r="E129" s="4">
        <v>0</v>
      </c>
      <c r="F129" s="4" t="s">
        <v>3178</v>
      </c>
      <c r="G129" s="4" t="s">
        <v>3178</v>
      </c>
      <c r="H129" s="3">
        <v>0</v>
      </c>
      <c r="I129" s="5">
        <v>4046.081546</v>
      </c>
      <c r="J129" s="6">
        <v>9.313540837442163</v>
      </c>
      <c r="K129" s="4">
        <v>0</v>
      </c>
      <c r="M129" s="3">
        <v>33.71</v>
      </c>
      <c r="N129" s="3">
        <v>22.01</v>
      </c>
    </row>
    <row r="130" spans="1:14">
      <c r="A130" s="8" t="s">
        <v>142</v>
      </c>
      <c r="B130" s="2">
        <f>HYPERLINK("https://www.suredividend.com/sure-analysis-ALL/","Allstate Corp (The)")</f>
        <v>0</v>
      </c>
      <c r="C130" s="1" t="s">
        <v>3180</v>
      </c>
      <c r="D130" s="3">
        <v>165.06</v>
      </c>
      <c r="E130" s="4">
        <v>0.02229492305828184</v>
      </c>
      <c r="F130" s="4">
        <v>0.03370786516853941</v>
      </c>
      <c r="G130" s="4">
        <v>0.129701133737476</v>
      </c>
      <c r="H130" s="3">
        <v>3.58899476245876</v>
      </c>
      <c r="I130" s="5">
        <v>43561.8647</v>
      </c>
      <c r="J130" s="6">
        <v>35.73573806392125</v>
      </c>
      <c r="K130" s="4">
        <v>0.7751608558226264</v>
      </c>
      <c r="L130" s="7">
        <v>0.246318985500176</v>
      </c>
      <c r="M130" s="3">
        <v>176.38</v>
      </c>
      <c r="N130" s="3">
        <v>97.95999999999999</v>
      </c>
    </row>
    <row r="131" spans="1:14">
      <c r="A131" s="8" t="s">
        <v>143</v>
      </c>
      <c r="B131" s="2">
        <f>HYPERLINK("https://www.suredividend.com/sure-analysis-research-database/","Allegion plc")</f>
        <v>0</v>
      </c>
      <c r="C131" s="1" t="s">
        <v>3179</v>
      </c>
      <c r="D131" s="3">
        <v>116.93</v>
      </c>
      <c r="E131" s="4">
        <v>0.01556337348743</v>
      </c>
      <c r="F131" s="4">
        <v>0.06666666666666665</v>
      </c>
      <c r="G131" s="4">
        <v>0.1219551454461996</v>
      </c>
      <c r="H131" s="3">
        <v>1.819825261885279</v>
      </c>
      <c r="I131" s="5">
        <v>10224.440583</v>
      </c>
      <c r="J131" s="6">
        <v>18.90963673623081</v>
      </c>
      <c r="K131" s="4">
        <v>0.2968719839943359</v>
      </c>
      <c r="L131" s="7">
        <v>1.119527371116026</v>
      </c>
      <c r="M131" s="3">
        <v>136.42</v>
      </c>
      <c r="N131" s="3">
        <v>95.23</v>
      </c>
    </row>
    <row r="132" spans="1:14">
      <c r="A132" s="8" t="s">
        <v>144</v>
      </c>
      <c r="B132" s="2">
        <f>HYPERLINK("https://www.suredividend.com/sure-analysis-research-database/","Allakos Inc")</f>
        <v>0</v>
      </c>
      <c r="C132" s="1" t="s">
        <v>3176</v>
      </c>
      <c r="D132" s="3">
        <v>1.16</v>
      </c>
      <c r="E132" s="4">
        <v>0</v>
      </c>
      <c r="F132" s="4" t="s">
        <v>3178</v>
      </c>
      <c r="G132" s="4" t="s">
        <v>3178</v>
      </c>
      <c r="H132" s="3">
        <v>0</v>
      </c>
      <c r="I132" s="5">
        <v>102.71159</v>
      </c>
      <c r="J132" s="6">
        <v>0</v>
      </c>
      <c r="K132" s="4" t="s">
        <v>3178</v>
      </c>
      <c r="L132" s="7">
        <v>2.122484872667684</v>
      </c>
      <c r="M132" s="3">
        <v>5.64</v>
      </c>
      <c r="N132" s="3">
        <v>0.9799</v>
      </c>
    </row>
    <row r="133" spans="1:14">
      <c r="A133" s="8" t="s">
        <v>145</v>
      </c>
      <c r="B133" s="2">
        <f>HYPERLINK("https://www.suredividend.com/sure-analysis-research-database/","Allogene Therapeutics Inc")</f>
        <v>0</v>
      </c>
      <c r="C133" s="1" t="s">
        <v>3176</v>
      </c>
      <c r="D133" s="3">
        <v>2.32</v>
      </c>
      <c r="E133" s="4">
        <v>0</v>
      </c>
      <c r="F133" s="4" t="s">
        <v>3178</v>
      </c>
      <c r="G133" s="4" t="s">
        <v>3178</v>
      </c>
      <c r="H133" s="3">
        <v>0</v>
      </c>
      <c r="I133" s="5">
        <v>396.379839</v>
      </c>
      <c r="J133" s="6" t="s">
        <v>3178</v>
      </c>
      <c r="K133" s="4">
        <v>-0</v>
      </c>
      <c r="L133" s="7">
        <v>1.884023466280034</v>
      </c>
      <c r="M133" s="3">
        <v>6.05</v>
      </c>
      <c r="N133" s="3">
        <v>2.23</v>
      </c>
    </row>
    <row r="134" spans="1:14">
      <c r="A134" s="8" t="s">
        <v>146</v>
      </c>
      <c r="B134" s="2">
        <f>HYPERLINK("https://www.suredividend.com/sure-analysis-ALLY/","Ally Financial Inc")</f>
        <v>0</v>
      </c>
      <c r="C134" s="1" t="s">
        <v>3180</v>
      </c>
      <c r="D134" s="3">
        <v>38.64</v>
      </c>
      <c r="E134" s="4">
        <v>0.03105590062111801</v>
      </c>
      <c r="F134" s="4">
        <v>0</v>
      </c>
      <c r="G134" s="4">
        <v>0.1203003371416174</v>
      </c>
      <c r="H134" s="3">
        <v>1.184644442211852</v>
      </c>
      <c r="I134" s="5">
        <v>11745.834418</v>
      </c>
      <c r="J134" s="6">
        <v>15.70298718994652</v>
      </c>
      <c r="K134" s="4">
        <v>0.4855100172999394</v>
      </c>
      <c r="L134" s="7">
        <v>1.380954305947452</v>
      </c>
      <c r="M134" s="3">
        <v>41.77</v>
      </c>
      <c r="N134" s="3">
        <v>21.91</v>
      </c>
    </row>
    <row r="135" spans="1:14">
      <c r="A135" s="8" t="s">
        <v>147</v>
      </c>
      <c r="B135" s="2">
        <f>HYPERLINK("https://www.suredividend.com/sure-analysis-research-database/","Allena Pharmaceuticals Inc")</f>
        <v>0</v>
      </c>
      <c r="C135" s="1" t="s">
        <v>3176</v>
      </c>
      <c r="D135" s="3">
        <v>0.075</v>
      </c>
      <c r="E135" s="4">
        <v>0</v>
      </c>
      <c r="F135" s="4" t="s">
        <v>3178</v>
      </c>
      <c r="G135" s="4" t="s">
        <v>3178</v>
      </c>
      <c r="H135" s="3">
        <v>0</v>
      </c>
      <c r="I135" s="5">
        <v>0</v>
      </c>
      <c r="J135" s="6">
        <v>0</v>
      </c>
      <c r="K135" s="4" t="s">
        <v>3178</v>
      </c>
    </row>
    <row r="136" spans="1:14">
      <c r="A136" s="8" t="s">
        <v>148</v>
      </c>
      <c r="B136" s="2">
        <f>HYPERLINK("https://www.suredividend.com/sure-analysis-research-database/","Alnylam Pharmaceuticals Inc")</f>
        <v>0</v>
      </c>
      <c r="C136" s="1" t="s">
        <v>3176</v>
      </c>
      <c r="D136" s="3">
        <v>152.78</v>
      </c>
      <c r="E136" s="4">
        <v>0</v>
      </c>
      <c r="F136" s="4" t="s">
        <v>3178</v>
      </c>
      <c r="G136" s="4" t="s">
        <v>3178</v>
      </c>
      <c r="H136" s="3">
        <v>0</v>
      </c>
      <c r="I136" s="5">
        <v>19325.413843</v>
      </c>
      <c r="J136" s="6" t="s">
        <v>3178</v>
      </c>
      <c r="K136" s="4">
        <v>-0</v>
      </c>
      <c r="M136" s="3">
        <v>218.88</v>
      </c>
      <c r="N136" s="3">
        <v>141.98</v>
      </c>
    </row>
    <row r="137" spans="1:14">
      <c r="A137" s="8" t="s">
        <v>149</v>
      </c>
      <c r="B137" s="2">
        <f>HYPERLINK("https://www.suredividend.com/sure-analysis-research-database/","AstroNova Inc")</f>
        <v>0</v>
      </c>
      <c r="C137" s="1" t="s">
        <v>3181</v>
      </c>
      <c r="D137" s="3">
        <v>17.27</v>
      </c>
      <c r="E137" s="4">
        <v>0</v>
      </c>
      <c r="F137" s="4" t="s">
        <v>3178</v>
      </c>
      <c r="G137" s="4" t="s">
        <v>3178</v>
      </c>
      <c r="H137" s="3">
        <v>0</v>
      </c>
      <c r="I137" s="5">
        <v>129.75925</v>
      </c>
      <c r="J137" s="6">
        <v>0</v>
      </c>
      <c r="K137" s="4" t="s">
        <v>3178</v>
      </c>
      <c r="M137" s="3">
        <v>18.83</v>
      </c>
      <c r="N137" s="3">
        <v>11.79</v>
      </c>
    </row>
    <row r="138" spans="1:14">
      <c r="A138" s="8" t="s">
        <v>150</v>
      </c>
      <c r="B138" s="2">
        <f>HYPERLINK("https://www.suredividend.com/sure-analysis-research-database/","Alpine Immune Sciences Inc")</f>
        <v>0</v>
      </c>
      <c r="C138" s="1" t="s">
        <v>3176</v>
      </c>
      <c r="D138" s="3">
        <v>64.97</v>
      </c>
      <c r="E138" s="4">
        <v>0</v>
      </c>
      <c r="F138" s="4" t="s">
        <v>3178</v>
      </c>
      <c r="G138" s="4" t="s">
        <v>3178</v>
      </c>
      <c r="H138" s="3">
        <v>0</v>
      </c>
      <c r="I138" s="5">
        <v>0</v>
      </c>
      <c r="J138" s="6">
        <v>0</v>
      </c>
      <c r="K138" s="4">
        <v>-0</v>
      </c>
    </row>
    <row r="139" spans="1:14">
      <c r="A139" s="8" t="s">
        <v>151</v>
      </c>
      <c r="B139" s="2">
        <f>HYPERLINK("https://www.suredividend.com/sure-analysis-research-database/","Alarm.com Holdings Inc")</f>
        <v>0</v>
      </c>
      <c r="C139" s="1" t="s">
        <v>3181</v>
      </c>
      <c r="D139" s="3">
        <v>62.29</v>
      </c>
      <c r="E139" s="4">
        <v>0</v>
      </c>
      <c r="F139" s="4" t="s">
        <v>3178</v>
      </c>
      <c r="G139" s="4" t="s">
        <v>3178</v>
      </c>
      <c r="H139" s="3">
        <v>0</v>
      </c>
      <c r="I139" s="5">
        <v>3126.25512</v>
      </c>
      <c r="J139" s="6">
        <v>38.57526399121454</v>
      </c>
      <c r="K139" s="4">
        <v>0</v>
      </c>
      <c r="L139" s="7">
        <v>1.247799863694734</v>
      </c>
      <c r="M139" s="3">
        <v>77.29000000000001</v>
      </c>
      <c r="N139" s="3">
        <v>48.01</v>
      </c>
    </row>
    <row r="140" spans="1:14">
      <c r="A140" s="8" t="s">
        <v>152</v>
      </c>
      <c r="B140" s="2">
        <f>HYPERLINK("https://www.suredividend.com/sure-analysis-research-database/","Alaska Communications Systems Group Inc")</f>
        <v>0</v>
      </c>
      <c r="C140" s="1" t="s">
        <v>3187</v>
      </c>
      <c r="D140" s="3">
        <v>3.4</v>
      </c>
      <c r="E140" s="4">
        <v>0</v>
      </c>
      <c r="F140" s="4" t="s">
        <v>3178</v>
      </c>
      <c r="G140" s="4" t="s">
        <v>3178</v>
      </c>
      <c r="H140" s="3">
        <v>0</v>
      </c>
      <c r="I140" s="5">
        <v>0</v>
      </c>
      <c r="J140" s="6">
        <v>0</v>
      </c>
      <c r="K140" s="4">
        <v>-0</v>
      </c>
    </row>
    <row r="141" spans="1:14">
      <c r="A141" s="8" t="s">
        <v>153</v>
      </c>
      <c r="B141" s="2">
        <f>HYPERLINK("https://www.suredividend.com/sure-analysis-research-database/","Allison Transmission Holdings Inc")</f>
        <v>0</v>
      </c>
      <c r="C141" s="1" t="s">
        <v>3182</v>
      </c>
      <c r="D141" s="3">
        <v>73.61</v>
      </c>
      <c r="E141" s="4">
        <v>0.012975334385462</v>
      </c>
      <c r="F141" s="4">
        <v>0.08695652173913038</v>
      </c>
      <c r="G141" s="4">
        <v>0.1075663432482901</v>
      </c>
      <c r="H141" s="3">
        <v>0.9551143641138841</v>
      </c>
      <c r="I141" s="5">
        <v>6439.267946</v>
      </c>
      <c r="J141" s="6">
        <v>9.58224396797619</v>
      </c>
      <c r="K141" s="4">
        <v>0.1265052137899184</v>
      </c>
      <c r="L141" s="7">
        <v>1.102834926701129</v>
      </c>
      <c r="M141" s="3">
        <v>83.15000000000001</v>
      </c>
      <c r="N141" s="3">
        <v>49.58</v>
      </c>
    </row>
    <row r="142" spans="1:14">
      <c r="A142" s="8" t="s">
        <v>154</v>
      </c>
      <c r="B142" s="2">
        <f>HYPERLINK("https://www.suredividend.com/sure-analysis-research-database/","Altimmune Inc")</f>
        <v>0</v>
      </c>
      <c r="C142" s="1" t="s">
        <v>3176</v>
      </c>
      <c r="D142" s="3">
        <v>6.455</v>
      </c>
      <c r="E142" s="4">
        <v>0</v>
      </c>
      <c r="F142" s="4" t="s">
        <v>3178</v>
      </c>
      <c r="G142" s="4" t="s">
        <v>3178</v>
      </c>
      <c r="H142" s="3">
        <v>0</v>
      </c>
      <c r="I142" s="5">
        <v>457.673643</v>
      </c>
      <c r="J142" s="6">
        <v>0</v>
      </c>
      <c r="K142" s="4" t="s">
        <v>3178</v>
      </c>
      <c r="L142" s="7">
        <v>2.002006385896384</v>
      </c>
      <c r="M142" s="3">
        <v>14.84</v>
      </c>
      <c r="N142" s="3">
        <v>2.09</v>
      </c>
    </row>
    <row r="143" spans="1:14">
      <c r="A143" s="8" t="s">
        <v>155</v>
      </c>
      <c r="B143" s="2">
        <f>HYPERLINK("https://www.suredividend.com/sure-analysis-research-database/","Arcadium Lithium PLC")</f>
        <v>0</v>
      </c>
      <c r="C143" s="1" t="s">
        <v>3185</v>
      </c>
      <c r="D143" s="3">
        <v>4.14</v>
      </c>
      <c r="E143" s="4">
        <v>0</v>
      </c>
      <c r="F143" s="4" t="s">
        <v>3178</v>
      </c>
      <c r="G143" s="4" t="s">
        <v>3178</v>
      </c>
      <c r="H143" s="3">
        <v>0</v>
      </c>
      <c r="I143" s="5">
        <v>4451.29341</v>
      </c>
      <c r="J143" s="6">
        <v>0</v>
      </c>
      <c r="K143" s="4" t="s">
        <v>3178</v>
      </c>
      <c r="L143" s="7">
        <v>1.701338889767007</v>
      </c>
      <c r="M143" s="3">
        <v>7.27</v>
      </c>
      <c r="N143" s="3">
        <v>3.67</v>
      </c>
    </row>
    <row r="144" spans="1:14">
      <c r="A144" s="8" t="s">
        <v>156</v>
      </c>
      <c r="B144" s="2">
        <f>HYPERLINK("https://www.suredividend.com/sure-analysis-research-database/","Altair Engineering Inc")</f>
        <v>0</v>
      </c>
      <c r="C144" s="1" t="s">
        <v>3181</v>
      </c>
      <c r="D144" s="3">
        <v>85.45999999999999</v>
      </c>
      <c r="E144" s="4">
        <v>0</v>
      </c>
      <c r="F144" s="4" t="s">
        <v>3178</v>
      </c>
      <c r="G144" s="4" t="s">
        <v>3178</v>
      </c>
      <c r="H144" s="3">
        <v>0</v>
      </c>
      <c r="I144" s="5">
        <v>4666.116</v>
      </c>
      <c r="J144" s="6">
        <v>487.0684759916493</v>
      </c>
      <c r="K144" s="4">
        <v>0</v>
      </c>
      <c r="L144" s="7">
        <v>1.41215863008437</v>
      </c>
      <c r="M144" s="3">
        <v>93.69</v>
      </c>
      <c r="N144" s="3">
        <v>57.59</v>
      </c>
    </row>
    <row r="145" spans="1:14">
      <c r="A145" s="8" t="s">
        <v>157</v>
      </c>
      <c r="B145" s="2">
        <f>HYPERLINK("https://www.suredividend.com/sure-analysis-ALV/","Autoliv Inc.")</f>
        <v>0</v>
      </c>
      <c r="C145" s="1" t="s">
        <v>3182</v>
      </c>
      <c r="D145" s="3">
        <v>119.51</v>
      </c>
      <c r="E145" s="4">
        <v>0.02275960170697013</v>
      </c>
      <c r="F145" s="4" t="s">
        <v>3178</v>
      </c>
      <c r="G145" s="4" t="s">
        <v>3178</v>
      </c>
      <c r="H145" s="3">
        <v>2.67705128720024</v>
      </c>
      <c r="I145" s="5">
        <v>9725.076534</v>
      </c>
      <c r="J145" s="6">
        <v>18.04281360638219</v>
      </c>
      <c r="K145" s="4">
        <v>0.4189438634116182</v>
      </c>
      <c r="L145" s="7">
        <v>1.019167972697327</v>
      </c>
      <c r="M145" s="3">
        <v>129.38</v>
      </c>
      <c r="N145" s="3">
        <v>80.20999999999999</v>
      </c>
    </row>
    <row r="146" spans="1:14">
      <c r="A146" s="8" t="s">
        <v>158</v>
      </c>
      <c r="B146" s="2">
        <f>HYPERLINK("https://www.suredividend.com/sure-analysis-research-database/","Alexander`s Inc.")</f>
        <v>0</v>
      </c>
      <c r="C146" s="1" t="s">
        <v>3183</v>
      </c>
      <c r="D146" s="3">
        <v>213.69</v>
      </c>
      <c r="E146" s="4">
        <v>0.08175720285226101</v>
      </c>
      <c r="F146" s="4">
        <v>0</v>
      </c>
      <c r="G146" s="4">
        <v>0</v>
      </c>
      <c r="H146" s="3">
        <v>17.47069667749976</v>
      </c>
      <c r="I146" s="5">
        <v>1091.3768</v>
      </c>
      <c r="J146" s="6">
        <v>10.17164479663734</v>
      </c>
      <c r="K146" s="4">
        <v>0.8355187315877456</v>
      </c>
      <c r="L146" s="7">
        <v>0.8890571539981531</v>
      </c>
      <c r="M146" s="3">
        <v>234.28</v>
      </c>
      <c r="N146" s="3">
        <v>152.71</v>
      </c>
    </row>
    <row r="147" spans="1:14">
      <c r="A147" s="8" t="s">
        <v>159</v>
      </c>
      <c r="B147" s="2">
        <f>HYPERLINK("https://www.suredividend.com/sure-analysis-research-database/","Alexion Pharmaceuticals Inc.")</f>
        <v>0</v>
      </c>
      <c r="C147" s="1" t="s">
        <v>3176</v>
      </c>
      <c r="D147" s="3">
        <v>182.5</v>
      </c>
      <c r="E147" s="4">
        <v>0</v>
      </c>
      <c r="F147" s="4" t="s">
        <v>3178</v>
      </c>
      <c r="G147" s="4" t="s">
        <v>3178</v>
      </c>
      <c r="H147" s="3">
        <v>0</v>
      </c>
      <c r="I147" s="5">
        <v>0</v>
      </c>
      <c r="J147" s="6">
        <v>0</v>
      </c>
      <c r="K147" s="4">
        <v>0</v>
      </c>
    </row>
    <row r="148" spans="1:14">
      <c r="A148" s="8" t="s">
        <v>160</v>
      </c>
      <c r="B148" s="2">
        <f>HYPERLINK("https://www.suredividend.com/sure-analysis-AM/","Antero Midstream Corp")</f>
        <v>0</v>
      </c>
      <c r="C148" s="1" t="s">
        <v>3185</v>
      </c>
      <c r="D148" s="3">
        <v>14.48</v>
      </c>
      <c r="E148" s="4">
        <v>0.06215469613259669</v>
      </c>
      <c r="F148" s="4">
        <v>0</v>
      </c>
      <c r="G148" s="4">
        <v>-0.06056339238980035</v>
      </c>
      <c r="H148" s="3">
        <v>0.877162504055446</v>
      </c>
      <c r="I148" s="5">
        <v>6968.36968</v>
      </c>
      <c r="J148" s="6">
        <v>17.92944817383026</v>
      </c>
      <c r="K148" s="4">
        <v>1.090320079621437</v>
      </c>
      <c r="L148" s="7">
        <v>0.610340667425878</v>
      </c>
      <c r="M148" s="3">
        <v>15.1</v>
      </c>
      <c r="N148" s="3">
        <v>9.94</v>
      </c>
    </row>
    <row r="149" spans="1:14">
      <c r="A149" s="8" t="s">
        <v>161</v>
      </c>
      <c r="B149" s="2">
        <f>HYPERLINK("https://www.suredividend.com/sure-analysis-research-database/","Amalgamated Financial Corp")</f>
        <v>0</v>
      </c>
      <c r="C149" s="1" t="s">
        <v>3180</v>
      </c>
      <c r="D149" s="3">
        <v>24.99</v>
      </c>
      <c r="E149" s="4">
        <v>0.01659217512619</v>
      </c>
      <c r="F149" s="4">
        <v>0.2</v>
      </c>
      <c r="G149" s="4">
        <v>0.1486983549970351</v>
      </c>
      <c r="H149" s="3">
        <v>0.4146384564034991</v>
      </c>
      <c r="I149" s="5">
        <v>762.795735</v>
      </c>
      <c r="J149" s="6">
        <v>8.124441996506512</v>
      </c>
      <c r="K149" s="4">
        <v>0.1359470348863931</v>
      </c>
      <c r="L149" s="7">
        <v>0.9277622455264771</v>
      </c>
      <c r="M149" s="3">
        <v>27.3</v>
      </c>
      <c r="N149" s="3">
        <v>14.78</v>
      </c>
    </row>
    <row r="150" spans="1:14">
      <c r="A150" s="8" t="s">
        <v>162</v>
      </c>
      <c r="B150" s="2">
        <f>HYPERLINK("https://www.suredividend.com/sure-analysis-AMAT/","Applied Materials Inc.")</f>
        <v>0</v>
      </c>
      <c r="C150" s="1" t="s">
        <v>3181</v>
      </c>
      <c r="D150" s="3">
        <v>221.73</v>
      </c>
      <c r="E150" s="4">
        <v>0.007215983403238173</v>
      </c>
      <c r="F150" s="4">
        <v>0.25</v>
      </c>
      <c r="G150" s="4">
        <v>0.137543830351883</v>
      </c>
      <c r="H150" s="3">
        <v>1.35472955779956</v>
      </c>
      <c r="I150" s="5">
        <v>183586.858612</v>
      </c>
      <c r="J150" s="6">
        <v>25.13167126795893</v>
      </c>
      <c r="K150" s="4">
        <v>0.1557160411263862</v>
      </c>
      <c r="L150" s="7">
        <v>1.750451723879483</v>
      </c>
      <c r="M150" s="3">
        <v>225.07</v>
      </c>
      <c r="N150" s="3">
        <v>127.99</v>
      </c>
    </row>
    <row r="151" spans="1:14">
      <c r="A151" s="8" t="s">
        <v>163</v>
      </c>
      <c r="B151" s="2">
        <f>HYPERLINK("https://www.suredividend.com/sure-analysis-research-database/","AMBAC Financial Group Inc.")</f>
        <v>0</v>
      </c>
      <c r="C151" s="1" t="s">
        <v>3180</v>
      </c>
      <c r="D151" s="3">
        <v>12.97</v>
      </c>
      <c r="E151" s="4">
        <v>0</v>
      </c>
      <c r="F151" s="4" t="s">
        <v>3178</v>
      </c>
      <c r="G151" s="4" t="s">
        <v>3178</v>
      </c>
      <c r="H151" s="3">
        <v>0</v>
      </c>
      <c r="I151" s="5">
        <v>586.567887</v>
      </c>
      <c r="J151" s="6">
        <v>10.29066468140351</v>
      </c>
      <c r="K151" s="4">
        <v>0</v>
      </c>
      <c r="L151" s="7">
        <v>0.325807501696659</v>
      </c>
      <c r="M151" s="3">
        <v>18.45</v>
      </c>
      <c r="N151" s="3">
        <v>11.26</v>
      </c>
    </row>
    <row r="152" spans="1:14">
      <c r="A152" s="8" t="s">
        <v>164</v>
      </c>
      <c r="B152" s="2">
        <f>HYPERLINK("https://www.suredividend.com/sure-analysis-research-database/","AMC Entertainment Holdings Inc")</f>
        <v>0</v>
      </c>
      <c r="C152" s="1" t="s">
        <v>3187</v>
      </c>
      <c r="D152" s="3">
        <v>4.91</v>
      </c>
      <c r="E152" s="4">
        <v>0</v>
      </c>
      <c r="F152" s="4" t="s">
        <v>3178</v>
      </c>
      <c r="G152" s="4" t="s">
        <v>3178</v>
      </c>
      <c r="H152" s="3">
        <v>0</v>
      </c>
      <c r="I152" s="5">
        <v>1451.335838</v>
      </c>
      <c r="J152" s="6" t="s">
        <v>3178</v>
      </c>
      <c r="K152" s="4">
        <v>-0</v>
      </c>
      <c r="M152" s="3">
        <v>54.97</v>
      </c>
      <c r="N152" s="3">
        <v>2.38</v>
      </c>
    </row>
    <row r="153" spans="1:14">
      <c r="A153" s="8" t="s">
        <v>165</v>
      </c>
      <c r="B153" s="2">
        <f>HYPERLINK("https://www.suredividend.com/sure-analysis-AMCR/","Amcor Plc")</f>
        <v>0</v>
      </c>
      <c r="C153" s="1" t="s">
        <v>3182</v>
      </c>
      <c r="D153" s="3">
        <v>10.01</v>
      </c>
      <c r="E153" s="4">
        <v>0.04995004995004995</v>
      </c>
      <c r="F153" s="4">
        <v>0.02040816326530592</v>
      </c>
      <c r="G153" s="4">
        <v>0.008197818497166498</v>
      </c>
      <c r="H153" s="3">
        <v>0.487941661489718</v>
      </c>
      <c r="I153" s="5">
        <v>14467.885552</v>
      </c>
      <c r="J153" s="6">
        <v>22.22409455010753</v>
      </c>
      <c r="K153" s="4">
        <v>1.082390553437706</v>
      </c>
      <c r="L153" s="7">
        <v>0.7956483777929231</v>
      </c>
      <c r="M153" s="3">
        <v>10.38</v>
      </c>
      <c r="N153" s="3">
        <v>8.119999999999999</v>
      </c>
    </row>
    <row r="154" spans="1:14">
      <c r="A154" s="8" t="s">
        <v>166</v>
      </c>
      <c r="B154" s="2">
        <f>HYPERLINK("https://www.suredividend.com/sure-analysis-research-database/","AMC Networks Inc")</f>
        <v>0</v>
      </c>
      <c r="C154" s="1" t="s">
        <v>3187</v>
      </c>
      <c r="D154" s="3">
        <v>17.25</v>
      </c>
      <c r="E154" s="4">
        <v>0</v>
      </c>
      <c r="F154" s="4" t="s">
        <v>3178</v>
      </c>
      <c r="G154" s="4" t="s">
        <v>3178</v>
      </c>
      <c r="H154" s="3">
        <v>0</v>
      </c>
      <c r="I154" s="5">
        <v>561.64037</v>
      </c>
      <c r="J154" s="6">
        <v>2.606655262596072</v>
      </c>
      <c r="K154" s="4">
        <v>0</v>
      </c>
      <c r="L154" s="7">
        <v>1.766519585991024</v>
      </c>
      <c r="M154" s="3">
        <v>20.97</v>
      </c>
      <c r="N154" s="3">
        <v>9.869999999999999</v>
      </c>
    </row>
    <row r="155" spans="1:14">
      <c r="A155" s="8" t="s">
        <v>167</v>
      </c>
      <c r="B155" s="2">
        <f>HYPERLINK("https://www.suredividend.com/sure-analysis-research-database/","Advanced Micro Devices Inc.")</f>
        <v>0</v>
      </c>
      <c r="C155" s="1" t="s">
        <v>3181</v>
      </c>
      <c r="D155" s="3">
        <v>167.87</v>
      </c>
      <c r="E155" s="4">
        <v>0</v>
      </c>
      <c r="F155" s="4" t="s">
        <v>3178</v>
      </c>
      <c r="G155" s="4" t="s">
        <v>3178</v>
      </c>
      <c r="H155" s="3">
        <v>0</v>
      </c>
      <c r="I155" s="5">
        <v>271330.609525</v>
      </c>
      <c r="J155" s="6">
        <v>243.1277863125179</v>
      </c>
      <c r="K155" s="4">
        <v>0</v>
      </c>
      <c r="L155" s="7">
        <v>2.352277094994502</v>
      </c>
      <c r="M155" s="3">
        <v>227.3</v>
      </c>
      <c r="N155" s="3">
        <v>93.12</v>
      </c>
    </row>
    <row r="156" spans="1:14">
      <c r="A156" s="8" t="s">
        <v>168</v>
      </c>
      <c r="B156" s="2">
        <f>HYPERLINK("https://www.suredividend.com/sure-analysis-research-database/","Ametek Inc")</f>
        <v>0</v>
      </c>
      <c r="C156" s="1" t="s">
        <v>3179</v>
      </c>
      <c r="D156" s="3">
        <v>170</v>
      </c>
      <c r="E156" s="4">
        <v>0.006044866679308001</v>
      </c>
      <c r="F156" s="4">
        <v>0.1200000000000001</v>
      </c>
      <c r="G156" s="4">
        <v>0.1486983549970351</v>
      </c>
      <c r="H156" s="3">
        <v>1.027627335482515</v>
      </c>
      <c r="I156" s="5">
        <v>39349.82877</v>
      </c>
      <c r="J156" s="6">
        <v>29.8462239773547</v>
      </c>
      <c r="K156" s="4">
        <v>0.1806023436700378</v>
      </c>
      <c r="L156" s="7">
        <v>0.775712255088132</v>
      </c>
      <c r="M156" s="3">
        <v>186.33</v>
      </c>
      <c r="N156" s="3">
        <v>136.46</v>
      </c>
    </row>
    <row r="157" spans="1:14">
      <c r="A157" s="8" t="s">
        <v>169</v>
      </c>
      <c r="B157" s="2">
        <f>HYPERLINK("https://www.suredividend.com/sure-analysis-research-database/","Amedisys Inc.")</f>
        <v>0</v>
      </c>
      <c r="C157" s="1" t="s">
        <v>3176</v>
      </c>
      <c r="D157" s="3">
        <v>91.75</v>
      </c>
      <c r="E157" s="4">
        <v>0</v>
      </c>
      <c r="F157" s="4" t="s">
        <v>3178</v>
      </c>
      <c r="G157" s="4" t="s">
        <v>3178</v>
      </c>
      <c r="H157" s="3">
        <v>0</v>
      </c>
      <c r="I157" s="5">
        <v>2998.103648</v>
      </c>
      <c r="J157" s="6" t="s">
        <v>3178</v>
      </c>
      <c r="K157" s="4">
        <v>-0</v>
      </c>
      <c r="L157" s="7">
        <v>0.09651546109912301</v>
      </c>
      <c r="M157" s="3">
        <v>97.36</v>
      </c>
      <c r="N157" s="3">
        <v>89.55</v>
      </c>
    </row>
    <row r="158" spans="1:14">
      <c r="A158" s="8" t="s">
        <v>170</v>
      </c>
      <c r="B158" s="2">
        <f>HYPERLINK("https://www.suredividend.com/sure-analysis-research-database/","Apollo Medical Holdings Inc")</f>
        <v>0</v>
      </c>
      <c r="C158" s="1" t="s">
        <v>3176</v>
      </c>
      <c r="D158" s="3">
        <v>40.82</v>
      </c>
      <c r="E158" s="4">
        <v>0</v>
      </c>
      <c r="F158" s="4" t="s">
        <v>3178</v>
      </c>
      <c r="G158" s="4" t="s">
        <v>3178</v>
      </c>
      <c r="H158" s="3">
        <v>0</v>
      </c>
      <c r="I158" s="5">
        <v>2379.136103</v>
      </c>
      <c r="J158" s="6">
        <v>56.8043383468233</v>
      </c>
      <c r="K158" s="4">
        <v>0</v>
      </c>
      <c r="L158" s="7">
        <v>1.547350798453516</v>
      </c>
      <c r="M158" s="3">
        <v>43.12</v>
      </c>
      <c r="N158" s="3">
        <v>28.87</v>
      </c>
    </row>
    <row r="159" spans="1:14">
      <c r="A159" s="8" t="s">
        <v>171</v>
      </c>
      <c r="B159" s="2">
        <f>HYPERLINK("https://www.suredividend.com/sure-analysis-research-database/","Affiliated Managers Group Inc.")</f>
        <v>0</v>
      </c>
      <c r="C159" s="1" t="s">
        <v>3180</v>
      </c>
      <c r="D159" s="3">
        <v>155.63</v>
      </c>
      <c r="E159" s="4">
        <v>0.000256994666339</v>
      </c>
      <c r="F159" s="4">
        <v>0</v>
      </c>
      <c r="G159" s="4">
        <v>-0.5</v>
      </c>
      <c r="H159" s="3">
        <v>0.039996079922453</v>
      </c>
      <c r="I159" s="5">
        <v>4959.065287</v>
      </c>
      <c r="J159" s="6">
        <v>7.205849007962801</v>
      </c>
      <c r="K159" s="4">
        <v>0.002455253525012462</v>
      </c>
      <c r="L159" s="7">
        <v>0.882541384636593</v>
      </c>
      <c r="M159" s="3">
        <v>169.64</v>
      </c>
      <c r="N159" s="3">
        <v>120.2</v>
      </c>
    </row>
    <row r="160" spans="1:14">
      <c r="A160" s="8" t="s">
        <v>172</v>
      </c>
      <c r="B160" s="2">
        <f>HYPERLINK("https://www.suredividend.com/sure-analysis-AMGN/","AMGEN Inc.")</f>
        <v>0</v>
      </c>
      <c r="C160" s="1" t="s">
        <v>3176</v>
      </c>
      <c r="D160" s="3">
        <v>305.02</v>
      </c>
      <c r="E160" s="4">
        <v>0.02950626188446659</v>
      </c>
      <c r="F160" s="4">
        <v>0.05633802816901423</v>
      </c>
      <c r="G160" s="4">
        <v>0.07056368416916192</v>
      </c>
      <c r="H160" s="3">
        <v>8.571462124685617</v>
      </c>
      <c r="I160" s="5">
        <v>163623.309754</v>
      </c>
      <c r="J160" s="6">
        <v>43.48214450009036</v>
      </c>
      <c r="K160" s="4">
        <v>1.224494589240802</v>
      </c>
      <c r="L160" s="7">
        <v>0.7172676426842041</v>
      </c>
      <c r="M160" s="3">
        <v>320.06</v>
      </c>
      <c r="N160" s="3">
        <v>204.11</v>
      </c>
    </row>
    <row r="161" spans="1:14">
      <c r="A161" s="8" t="s">
        <v>173</v>
      </c>
      <c r="B161" s="2">
        <f>HYPERLINK("https://www.suredividend.com/sure-analysis-AMH/","American Homes 4 Rent")</f>
        <v>0</v>
      </c>
      <c r="C161" s="1" t="s">
        <v>3183</v>
      </c>
      <c r="D161" s="3">
        <v>35.65</v>
      </c>
      <c r="E161" s="4">
        <v>0.02917251051893408</v>
      </c>
      <c r="F161" s="4">
        <v>0.1818181818181819</v>
      </c>
      <c r="G161" s="4">
        <v>0.3905950167030172</v>
      </c>
      <c r="H161" s="3">
        <v>0.9113907584429841</v>
      </c>
      <c r="I161" s="5">
        <v>13037.205</v>
      </c>
      <c r="J161" s="6">
        <v>36.52758087382394</v>
      </c>
      <c r="K161" s="4">
        <v>0.92961113672275</v>
      </c>
      <c r="L161" s="7">
        <v>0.8726182519466831</v>
      </c>
      <c r="M161" s="3">
        <v>37.49</v>
      </c>
      <c r="N161" s="3">
        <v>30.95</v>
      </c>
    </row>
    <row r="162" spans="1:14">
      <c r="A162" s="8" t="s">
        <v>174</v>
      </c>
      <c r="B162" s="2">
        <f>HYPERLINK("https://www.suredividend.com/sure-analysis-research-database/","AMKOR Technology Inc.")</f>
        <v>0</v>
      </c>
      <c r="C162" s="1" t="s">
        <v>3181</v>
      </c>
      <c r="D162" s="3">
        <v>32.96</v>
      </c>
      <c r="E162" s="4">
        <v>0.009392610415994001</v>
      </c>
      <c r="F162" s="4" t="s">
        <v>3178</v>
      </c>
      <c r="G162" s="4" t="s">
        <v>3178</v>
      </c>
      <c r="H162" s="3">
        <v>0.309580439311178</v>
      </c>
      <c r="I162" s="5">
        <v>8101.568</v>
      </c>
      <c r="J162" s="6">
        <v>21.69913675577661</v>
      </c>
      <c r="K162" s="4">
        <v>0.2050201584842238</v>
      </c>
      <c r="L162" s="7">
        <v>1.994731217363738</v>
      </c>
      <c r="M162" s="3">
        <v>36.74</v>
      </c>
      <c r="N162" s="3">
        <v>17.36</v>
      </c>
    </row>
    <row r="163" spans="1:14">
      <c r="A163" s="8" t="s">
        <v>175</v>
      </c>
      <c r="B163" s="2">
        <f>HYPERLINK("https://www.suredividend.com/sure-analysis-research-database/","AMN Healthcare Services Inc.")</f>
        <v>0</v>
      </c>
      <c r="C163" s="1" t="s">
        <v>3176</v>
      </c>
      <c r="D163" s="3">
        <v>54.21</v>
      </c>
      <c r="E163" s="4">
        <v>0</v>
      </c>
      <c r="F163" s="4" t="s">
        <v>3178</v>
      </c>
      <c r="G163" s="4" t="s">
        <v>3178</v>
      </c>
      <c r="H163" s="3">
        <v>0</v>
      </c>
      <c r="I163" s="5">
        <v>2059.826423</v>
      </c>
      <c r="J163" s="6">
        <v>9.777084678919117</v>
      </c>
      <c r="K163" s="4">
        <v>0</v>
      </c>
      <c r="L163" s="7">
        <v>0.6888289538870661</v>
      </c>
      <c r="M163" s="3">
        <v>112.44</v>
      </c>
      <c r="N163" s="3">
        <v>52.07</v>
      </c>
    </row>
    <row r="164" spans="1:14">
      <c r="A164" s="8" t="s">
        <v>176</v>
      </c>
      <c r="B164" s="2">
        <f>HYPERLINK("https://www.suredividend.com/sure-analysis-research-database/","American National Bankshares Inc.")</f>
        <v>0</v>
      </c>
      <c r="C164" s="1" t="s">
        <v>3180</v>
      </c>
      <c r="D164" s="3">
        <v>47.76</v>
      </c>
      <c r="E164" s="4">
        <v>0</v>
      </c>
      <c r="F164" s="4" t="s">
        <v>3178</v>
      </c>
      <c r="G164" s="4" t="s">
        <v>3178</v>
      </c>
      <c r="H164" s="3">
        <v>1.175223142564822</v>
      </c>
      <c r="I164" s="5">
        <v>0</v>
      </c>
      <c r="J164" s="6">
        <v>0</v>
      </c>
      <c r="K164" s="4">
        <v>0.477732984782448</v>
      </c>
    </row>
    <row r="165" spans="1:14">
      <c r="A165" s="8" t="s">
        <v>177</v>
      </c>
      <c r="B165" s="2">
        <f>HYPERLINK("https://www.suredividend.com/sure-analysis-AMP/","Ameriprise Financial Inc")</f>
        <v>0</v>
      </c>
      <c r="C165" s="1" t="s">
        <v>3180</v>
      </c>
      <c r="D165" s="3">
        <v>426.63</v>
      </c>
      <c r="E165" s="4">
        <v>0.01387619248529171</v>
      </c>
      <c r="F165" s="4">
        <v>0.0962962962962961</v>
      </c>
      <c r="G165" s="4">
        <v>0.08817312612555162</v>
      </c>
      <c r="H165" s="3">
        <v>5.500865915385124</v>
      </c>
      <c r="I165" s="5">
        <v>42374.991899</v>
      </c>
      <c r="J165" s="6">
        <v>13.5426627994535</v>
      </c>
      <c r="K165" s="4">
        <v>0.1871679454026922</v>
      </c>
      <c r="L165" s="7">
        <v>0.919722203246059</v>
      </c>
      <c r="M165" s="3">
        <v>442.79</v>
      </c>
      <c r="N165" s="3">
        <v>303.24</v>
      </c>
    </row>
    <row r="166" spans="1:14">
      <c r="A166" s="8" t="s">
        <v>178</v>
      </c>
      <c r="B166" s="2">
        <f>HYPERLINK("https://www.suredividend.com/sure-analysis-research-database/","Ampio Pharmaceuticals Inc")</f>
        <v>0</v>
      </c>
      <c r="C166" s="1" t="s">
        <v>3176</v>
      </c>
      <c r="D166" s="3">
        <v>0.13</v>
      </c>
      <c r="E166" s="4">
        <v>0</v>
      </c>
      <c r="F166" s="4" t="s">
        <v>3178</v>
      </c>
      <c r="G166" s="4" t="s">
        <v>3178</v>
      </c>
      <c r="H166" s="3">
        <v>0</v>
      </c>
      <c r="I166" s="5">
        <v>0.147597</v>
      </c>
      <c r="J166" s="6">
        <v>0</v>
      </c>
      <c r="K166" s="4" t="s">
        <v>3178</v>
      </c>
      <c r="M166" s="3">
        <v>0.51</v>
      </c>
      <c r="N166" s="3">
        <v>0.13</v>
      </c>
    </row>
    <row r="167" spans="1:14">
      <c r="A167" s="8" t="s">
        <v>179</v>
      </c>
      <c r="B167" s="2">
        <f>HYPERLINK("https://www.suredividend.com/sure-analysis-research-database/","Amphastar Pharmaceuticals Inc")</f>
        <v>0</v>
      </c>
      <c r="C167" s="1" t="s">
        <v>3176</v>
      </c>
      <c r="D167" s="3">
        <v>40.71</v>
      </c>
      <c r="E167" s="4">
        <v>0</v>
      </c>
      <c r="F167" s="4" t="s">
        <v>3178</v>
      </c>
      <c r="G167" s="4" t="s">
        <v>3178</v>
      </c>
      <c r="H167" s="3">
        <v>0</v>
      </c>
      <c r="I167" s="5">
        <v>1990.798995</v>
      </c>
      <c r="J167" s="6">
        <v>14.47380126613108</v>
      </c>
      <c r="K167" s="4">
        <v>0</v>
      </c>
      <c r="L167" s="7">
        <v>0.8296316058434801</v>
      </c>
      <c r="M167" s="3">
        <v>67.66</v>
      </c>
      <c r="N167" s="3">
        <v>38.43</v>
      </c>
    </row>
    <row r="168" spans="1:14">
      <c r="A168" s="8" t="s">
        <v>180</v>
      </c>
      <c r="B168" s="2">
        <f>HYPERLINK("https://www.suredividend.com/sure-analysis-research-database/","Alpha Metallurgical Resources Inc")</f>
        <v>0</v>
      </c>
      <c r="C168" s="1" t="s">
        <v>3178</v>
      </c>
      <c r="D168" s="3">
        <v>307.03</v>
      </c>
      <c r="E168" s="4">
        <v>0.004876044756557001</v>
      </c>
      <c r="F168" s="4" t="s">
        <v>3178</v>
      </c>
      <c r="G168" s="4" t="s">
        <v>3178</v>
      </c>
      <c r="H168" s="3">
        <v>1.497092021605826</v>
      </c>
      <c r="I168" s="5">
        <v>3993.605221</v>
      </c>
      <c r="J168" s="6">
        <v>6.90720056288699</v>
      </c>
      <c r="K168" s="4">
        <v>0.03617912087012629</v>
      </c>
      <c r="L168" s="7">
        <v>0.7585551302933221</v>
      </c>
      <c r="M168" s="3">
        <v>452</v>
      </c>
      <c r="N168" s="3">
        <v>146.04</v>
      </c>
    </row>
    <row r="169" spans="1:14">
      <c r="A169" s="8" t="s">
        <v>181</v>
      </c>
      <c r="B169" s="2">
        <f>HYPERLINK("https://www.suredividend.com/sure-analysis-research-database/","American River Bancshares")</f>
        <v>0</v>
      </c>
      <c r="C169" s="1" t="s">
        <v>3180</v>
      </c>
      <c r="D169" s="3">
        <v>20.91</v>
      </c>
      <c r="E169" s="4">
        <v>0</v>
      </c>
      <c r="F169" s="4" t="s">
        <v>3178</v>
      </c>
      <c r="G169" s="4" t="s">
        <v>3178</v>
      </c>
      <c r="H169" s="3">
        <v>0.210000000894069</v>
      </c>
      <c r="I169" s="5">
        <v>0</v>
      </c>
      <c r="J169" s="6">
        <v>0</v>
      </c>
      <c r="K169" s="4" t="s">
        <v>3178</v>
      </c>
    </row>
    <row r="170" spans="1:14">
      <c r="A170" s="8" t="s">
        <v>182</v>
      </c>
      <c r="B170" s="2">
        <f>HYPERLINK("https://www.suredividend.com/sure-analysis-research-database/","Ameresco Inc.")</f>
        <v>0</v>
      </c>
      <c r="C170" s="1" t="s">
        <v>3179</v>
      </c>
      <c r="D170" s="3">
        <v>33.46</v>
      </c>
      <c r="E170" s="4">
        <v>0</v>
      </c>
      <c r="F170" s="4" t="s">
        <v>3178</v>
      </c>
      <c r="G170" s="4" t="s">
        <v>3178</v>
      </c>
      <c r="H170" s="3">
        <v>0</v>
      </c>
      <c r="I170" s="5">
        <v>1148.969623</v>
      </c>
      <c r="J170" s="6">
        <v>0</v>
      </c>
      <c r="K170" s="4" t="s">
        <v>3178</v>
      </c>
      <c r="L170" s="7">
        <v>2.67417929944599</v>
      </c>
      <c r="M170" s="3">
        <v>63.19</v>
      </c>
      <c r="N170" s="3">
        <v>17.55</v>
      </c>
    </row>
    <row r="171" spans="1:14">
      <c r="A171" s="8" t="s">
        <v>183</v>
      </c>
      <c r="B171" s="2">
        <f>HYPERLINK("https://www.suredividend.com/sure-analysis-research-database/","A-Mark Precious Metals Inc")</f>
        <v>0</v>
      </c>
      <c r="C171" s="1" t="s">
        <v>3180</v>
      </c>
      <c r="D171" s="3">
        <v>35.04</v>
      </c>
      <c r="E171" s="4">
        <v>0.02220244567059</v>
      </c>
      <c r="F171" s="4" t="s">
        <v>3178</v>
      </c>
      <c r="G171" s="4" t="s">
        <v>3178</v>
      </c>
      <c r="H171" s="3">
        <v>0.777973696297477</v>
      </c>
      <c r="I171" s="5">
        <v>800.823082</v>
      </c>
      <c r="J171" s="6">
        <v>0</v>
      </c>
      <c r="K171" s="4" t="s">
        <v>3178</v>
      </c>
      <c r="L171" s="7">
        <v>1.059788008943653</v>
      </c>
      <c r="M171" s="3">
        <v>42.39</v>
      </c>
      <c r="N171" s="3">
        <v>22.75</v>
      </c>
    </row>
    <row r="172" spans="1:14">
      <c r="A172" s="8" t="s">
        <v>184</v>
      </c>
      <c r="B172" s="2">
        <f>HYPERLINK("https://www.suredividend.com/sure-analysis-research-database/","Amyris Inc")</f>
        <v>0</v>
      </c>
      <c r="C172" s="1" t="s">
        <v>3177</v>
      </c>
      <c r="D172" s="3">
        <v>0.05</v>
      </c>
      <c r="E172" s="4">
        <v>0</v>
      </c>
      <c r="F172" s="4" t="s">
        <v>3178</v>
      </c>
      <c r="G172" s="4" t="s">
        <v>3178</v>
      </c>
      <c r="H172" s="3">
        <v>0</v>
      </c>
      <c r="I172" s="5">
        <v>0</v>
      </c>
      <c r="J172" s="6">
        <v>0</v>
      </c>
      <c r="K172" s="4" t="s">
        <v>3178</v>
      </c>
    </row>
    <row r="173" spans="1:14">
      <c r="A173" s="8" t="s">
        <v>185</v>
      </c>
      <c r="B173" s="2">
        <f>HYPERLINK("https://www.suredividend.com/sure-analysis-research-database/","Amneal Pharmaceuticals Inc")</f>
        <v>0</v>
      </c>
      <c r="C173" s="1" t="s">
        <v>3176</v>
      </c>
      <c r="D173" s="3">
        <v>6.75</v>
      </c>
      <c r="E173" s="4">
        <v>0</v>
      </c>
      <c r="F173" s="4" t="s">
        <v>3178</v>
      </c>
      <c r="G173" s="4" t="s">
        <v>3178</v>
      </c>
      <c r="H173" s="3">
        <v>0</v>
      </c>
      <c r="I173" s="5">
        <v>2083.396768</v>
      </c>
      <c r="J173" s="6" t="s">
        <v>3178</v>
      </c>
      <c r="K173" s="4">
        <v>-0</v>
      </c>
      <c r="L173" s="7">
        <v>1.31369806586198</v>
      </c>
      <c r="M173" s="3">
        <v>6.98</v>
      </c>
      <c r="N173" s="3">
        <v>2.29</v>
      </c>
    </row>
    <row r="174" spans="1:14">
      <c r="A174" s="8" t="s">
        <v>186</v>
      </c>
      <c r="B174" s="2">
        <f>HYPERLINK("https://www.suredividend.com/sure-analysis-research-database/","American Shared Hospital Services")</f>
        <v>0</v>
      </c>
      <c r="C174" s="1" t="s">
        <v>3176</v>
      </c>
      <c r="D174" s="3">
        <v>3.19</v>
      </c>
      <c r="E174" s="4">
        <v>0</v>
      </c>
      <c r="F174" s="4" t="s">
        <v>3178</v>
      </c>
      <c r="G174" s="4" t="s">
        <v>3178</v>
      </c>
      <c r="H174" s="3">
        <v>0</v>
      </c>
      <c r="I174" s="5">
        <v>20.1927</v>
      </c>
      <c r="J174" s="6">
        <v>0</v>
      </c>
      <c r="K174" s="4" t="s">
        <v>3178</v>
      </c>
      <c r="L174" s="7">
        <v>0.424384135674744</v>
      </c>
      <c r="M174" s="3">
        <v>3.69</v>
      </c>
      <c r="N174" s="3">
        <v>2.16</v>
      </c>
    </row>
    <row r="175" spans="1:14">
      <c r="A175" s="8" t="s">
        <v>187</v>
      </c>
      <c r="B175" s="2">
        <f>HYPERLINK("https://www.suredividend.com/sure-analysis-research-database/","American Superconductor Corp.")</f>
        <v>0</v>
      </c>
      <c r="C175" s="1" t="s">
        <v>3179</v>
      </c>
      <c r="D175" s="3">
        <v>21.36</v>
      </c>
      <c r="E175" s="4">
        <v>0</v>
      </c>
      <c r="F175" s="4" t="s">
        <v>3178</v>
      </c>
      <c r="G175" s="4" t="s">
        <v>3178</v>
      </c>
      <c r="H175" s="3">
        <v>0</v>
      </c>
      <c r="I175" s="5">
        <v>790.202883</v>
      </c>
      <c r="J175" s="6" t="s">
        <v>3178</v>
      </c>
      <c r="K175" s="4">
        <v>-0</v>
      </c>
      <c r="L175" s="7">
        <v>2.849120630038583</v>
      </c>
      <c r="M175" s="3">
        <v>22.5</v>
      </c>
      <c r="N175" s="3">
        <v>5.25</v>
      </c>
    </row>
    <row r="176" spans="1:14">
      <c r="A176" s="8" t="s">
        <v>188</v>
      </c>
      <c r="B176" s="2">
        <f>HYPERLINK("https://www.suredividend.com/sure-analysis-research-database/","Amerisafe Inc")</f>
        <v>0</v>
      </c>
      <c r="C176" s="1" t="s">
        <v>3180</v>
      </c>
      <c r="D176" s="3">
        <v>43.33</v>
      </c>
      <c r="E176" s="4">
        <v>0.030520310781503</v>
      </c>
      <c r="F176" s="4">
        <v>0.08823529411764697</v>
      </c>
      <c r="G176" s="4">
        <v>0.06504410274056371</v>
      </c>
      <c r="H176" s="3">
        <v>1.322445066162544</v>
      </c>
      <c r="I176" s="5">
        <v>829.119897</v>
      </c>
      <c r="J176" s="6">
        <v>13.43923066489448</v>
      </c>
      <c r="K176" s="4">
        <v>0.4119766561254031</v>
      </c>
      <c r="L176" s="7">
        <v>0.28554779337587</v>
      </c>
      <c r="M176" s="3">
        <v>54.04</v>
      </c>
      <c r="N176" s="3">
        <v>43.13</v>
      </c>
    </row>
    <row r="177" spans="1:14">
      <c r="A177" s="8" t="s">
        <v>189</v>
      </c>
      <c r="B177" s="2">
        <f>HYPERLINK("https://www.suredividend.com/sure-analysis-research-database/","American Software Inc.")</f>
        <v>0</v>
      </c>
      <c r="C177" s="1" t="s">
        <v>3181</v>
      </c>
      <c r="D177" s="3">
        <v>9.210000000000001</v>
      </c>
      <c r="E177" s="4">
        <v>0.046543356792969</v>
      </c>
      <c r="F177" s="4">
        <v>0</v>
      </c>
      <c r="G177" s="4">
        <v>0</v>
      </c>
      <c r="H177" s="3">
        <v>0.428664316063246</v>
      </c>
      <c r="I177" s="5">
        <v>289.180572</v>
      </c>
      <c r="J177" s="6">
        <v>0</v>
      </c>
      <c r="K177" s="4" t="s">
        <v>3178</v>
      </c>
      <c r="L177" s="7">
        <v>0.7271488575352131</v>
      </c>
      <c r="M177" s="3">
        <v>12</v>
      </c>
      <c r="N177" s="3">
        <v>8.640000000000001</v>
      </c>
    </row>
    <row r="178" spans="1:14">
      <c r="A178" s="8" t="s">
        <v>190</v>
      </c>
      <c r="B178" s="2">
        <f>HYPERLINK("https://www.suredividend.com/sure-analysis-AMT/","American Tower Corp.")</f>
        <v>0</v>
      </c>
      <c r="C178" s="1" t="s">
        <v>3183</v>
      </c>
      <c r="D178" s="3">
        <v>194.26</v>
      </c>
      <c r="E178" s="4">
        <v>0.03335735612066303</v>
      </c>
      <c r="F178" s="4">
        <v>0.03846153846153855</v>
      </c>
      <c r="G178" s="4">
        <v>0.1198128259312057</v>
      </c>
      <c r="H178" s="3">
        <v>6.426172804915583</v>
      </c>
      <c r="I178" s="5">
        <v>90714.56719099999</v>
      </c>
      <c r="J178" s="6">
        <v>43.93169993265533</v>
      </c>
      <c r="K178" s="4">
        <v>1.453885249980901</v>
      </c>
      <c r="L178" s="7">
        <v>0.7322958688904041</v>
      </c>
      <c r="M178" s="3">
        <v>217.15</v>
      </c>
      <c r="N178" s="3">
        <v>150.48</v>
      </c>
    </row>
    <row r="179" spans="1:14">
      <c r="A179" s="8" t="s">
        <v>191</v>
      </c>
      <c r="B179" s="2">
        <f>HYPERLINK("https://www.suredividend.com/sure-analysis-research-database/","AMTD IDEA Group")</f>
        <v>0</v>
      </c>
      <c r="C179" s="1" t="s">
        <v>3180</v>
      </c>
      <c r="D179" s="3">
        <v>1.6643</v>
      </c>
      <c r="E179" s="4">
        <v>0</v>
      </c>
      <c r="F179" s="4" t="s">
        <v>3178</v>
      </c>
      <c r="G179" s="4" t="s">
        <v>3178</v>
      </c>
      <c r="H179" s="3">
        <v>0</v>
      </c>
      <c r="I179" s="5">
        <v>68.12853200000001</v>
      </c>
      <c r="J179" s="6">
        <v>0</v>
      </c>
      <c r="K179" s="4" t="s">
        <v>3178</v>
      </c>
      <c r="L179" s="7">
        <v>0.670541319492524</v>
      </c>
      <c r="M179" s="3">
        <v>5.13</v>
      </c>
      <c r="N179" s="3">
        <v>1.64</v>
      </c>
    </row>
    <row r="180" spans="1:14">
      <c r="A180" s="8" t="s">
        <v>192</v>
      </c>
      <c r="B180" s="2">
        <f>HYPERLINK("https://www.suredividend.com/sure-analysis-research-database/","Aemetis Inc")</f>
        <v>0</v>
      </c>
      <c r="C180" s="1" t="s">
        <v>3185</v>
      </c>
      <c r="D180" s="3">
        <v>3.1</v>
      </c>
      <c r="E180" s="4">
        <v>0</v>
      </c>
      <c r="F180" s="4" t="s">
        <v>3178</v>
      </c>
      <c r="G180" s="4" t="s">
        <v>3178</v>
      </c>
      <c r="H180" s="3">
        <v>0</v>
      </c>
      <c r="I180" s="5">
        <v>137.633282</v>
      </c>
      <c r="J180" s="6">
        <v>0</v>
      </c>
      <c r="K180" s="4" t="s">
        <v>3178</v>
      </c>
      <c r="L180" s="7">
        <v>2.73346434661891</v>
      </c>
      <c r="M180" s="3">
        <v>8.99</v>
      </c>
      <c r="N180" s="3">
        <v>2.75</v>
      </c>
    </row>
    <row r="181" spans="1:14">
      <c r="A181" s="8" t="s">
        <v>193</v>
      </c>
      <c r="B181" s="2">
        <f>HYPERLINK("https://www.suredividend.com/sure-analysis-research-database/","American Woodmark Corp.")</f>
        <v>0</v>
      </c>
      <c r="C181" s="1" t="s">
        <v>3182</v>
      </c>
      <c r="D181" s="3">
        <v>83.16</v>
      </c>
      <c r="E181" s="4">
        <v>0</v>
      </c>
      <c r="F181" s="4" t="s">
        <v>3178</v>
      </c>
      <c r="G181" s="4" t="s">
        <v>3178</v>
      </c>
      <c r="H181" s="3">
        <v>0</v>
      </c>
      <c r="I181" s="5">
        <v>1317.69573</v>
      </c>
      <c r="J181" s="6">
        <v>11.02130103229368</v>
      </c>
      <c r="K181" s="4">
        <v>0</v>
      </c>
      <c r="L181" s="7">
        <v>1.503429209461562</v>
      </c>
      <c r="M181" s="3">
        <v>104.28</v>
      </c>
      <c r="N181" s="3">
        <v>65.01000000000001</v>
      </c>
    </row>
    <row r="182" spans="1:14">
      <c r="A182" s="8" t="s">
        <v>194</v>
      </c>
      <c r="B182" s="2">
        <f>HYPERLINK("https://www.suredividend.com/sure-analysis-research-database/","Amazon.com Inc.")</f>
        <v>0</v>
      </c>
      <c r="C182" s="1" t="s">
        <v>3182</v>
      </c>
      <c r="D182" s="3">
        <v>184.3</v>
      </c>
      <c r="E182" s="4">
        <v>0</v>
      </c>
      <c r="F182" s="4" t="s">
        <v>3178</v>
      </c>
      <c r="G182" s="4" t="s">
        <v>3178</v>
      </c>
      <c r="H182" s="3">
        <v>0</v>
      </c>
      <c r="I182" s="5">
        <v>1917941.3561</v>
      </c>
      <c r="J182" s="6">
        <v>50.89537618352617</v>
      </c>
      <c r="K182" s="4">
        <v>0</v>
      </c>
      <c r="L182" s="7">
        <v>1.537408115449929</v>
      </c>
      <c r="M182" s="3">
        <v>191.7</v>
      </c>
      <c r="N182" s="3">
        <v>118.35</v>
      </c>
    </row>
    <row r="183" spans="1:14">
      <c r="A183" s="8" t="s">
        <v>195</v>
      </c>
      <c r="B183" s="2">
        <f>HYPERLINK("https://www.suredividend.com/sure-analysis-research-database/","Autonation Inc.")</f>
        <v>0</v>
      </c>
      <c r="C183" s="1" t="s">
        <v>3182</v>
      </c>
      <c r="D183" s="3">
        <v>165.82</v>
      </c>
      <c r="E183" s="4">
        <v>0</v>
      </c>
      <c r="F183" s="4" t="s">
        <v>3178</v>
      </c>
      <c r="G183" s="4" t="s">
        <v>3178</v>
      </c>
      <c r="H183" s="3">
        <v>0</v>
      </c>
      <c r="I183" s="5">
        <v>6676.998492</v>
      </c>
      <c r="J183" s="6">
        <v>7.237938744607046</v>
      </c>
      <c r="K183" s="4">
        <v>0</v>
      </c>
      <c r="L183" s="7">
        <v>1.251366066920527</v>
      </c>
      <c r="M183" s="3">
        <v>182.08</v>
      </c>
      <c r="N183" s="3">
        <v>123.81</v>
      </c>
    </row>
    <row r="184" spans="1:14">
      <c r="A184" s="8" t="s">
        <v>196</v>
      </c>
      <c r="B184" s="2">
        <f>HYPERLINK("https://www.suredividend.com/sure-analysis-research-database/","AnaptysBio Inc")</f>
        <v>0</v>
      </c>
      <c r="C184" s="1" t="s">
        <v>3176</v>
      </c>
      <c r="D184" s="3">
        <v>23.43</v>
      </c>
      <c r="E184" s="4">
        <v>0</v>
      </c>
      <c r="F184" s="4" t="s">
        <v>3178</v>
      </c>
      <c r="G184" s="4" t="s">
        <v>3178</v>
      </c>
      <c r="H184" s="3">
        <v>0</v>
      </c>
      <c r="I184" s="5">
        <v>640.075829</v>
      </c>
      <c r="J184" s="6" t="s">
        <v>3178</v>
      </c>
      <c r="K184" s="4">
        <v>-0</v>
      </c>
      <c r="L184" s="7">
        <v>0.758511400660385</v>
      </c>
      <c r="M184" s="3">
        <v>27.5</v>
      </c>
      <c r="N184" s="3">
        <v>13.36</v>
      </c>
    </row>
    <row r="185" spans="1:14">
      <c r="A185" s="8" t="s">
        <v>197</v>
      </c>
      <c r="B185" s="2">
        <f>HYPERLINK("https://www.suredividend.com/sure-analysis-research-database/","American National Group Inc")</f>
        <v>0</v>
      </c>
      <c r="C185" s="1" t="s">
        <v>3180</v>
      </c>
      <c r="D185" s="3">
        <v>190.02</v>
      </c>
      <c r="E185" s="4">
        <v>0</v>
      </c>
      <c r="F185" s="4" t="s">
        <v>3178</v>
      </c>
      <c r="G185" s="4" t="s">
        <v>3178</v>
      </c>
      <c r="H185" s="3">
        <v>2.459999978542328</v>
      </c>
      <c r="I185" s="5">
        <v>0</v>
      </c>
      <c r="J185" s="6">
        <v>0</v>
      </c>
      <c r="K185" s="4">
        <v>0.1036662443549232</v>
      </c>
    </row>
    <row r="186" spans="1:14">
      <c r="A186" s="8" t="s">
        <v>198</v>
      </c>
      <c r="B186" s="2">
        <f>HYPERLINK("https://www.suredividend.com/sure-analysis-ANDE/","Andersons Inc.")</f>
        <v>0</v>
      </c>
      <c r="C186" s="1" t="s">
        <v>3184</v>
      </c>
      <c r="D186" s="3">
        <v>50.07</v>
      </c>
      <c r="E186" s="4">
        <v>0.01517874975034951</v>
      </c>
      <c r="F186" s="4">
        <v>0.02702702702702697</v>
      </c>
      <c r="G186" s="4">
        <v>0.02249439475955151</v>
      </c>
      <c r="H186" s="3">
        <v>0.7444538648177871</v>
      </c>
      <c r="I186" s="5">
        <v>1704.872635</v>
      </c>
      <c r="J186" s="6">
        <v>14.02944869454662</v>
      </c>
      <c r="K186" s="4">
        <v>0.2114925752323259</v>
      </c>
      <c r="L186" s="7">
        <v>0.77501106598974</v>
      </c>
      <c r="M186" s="3">
        <v>61.46</v>
      </c>
      <c r="N186" s="3">
        <v>41.89</v>
      </c>
    </row>
    <row r="187" spans="1:14">
      <c r="A187" s="8" t="s">
        <v>199</v>
      </c>
      <c r="B187" s="2">
        <f>HYPERLINK("https://www.suredividend.com/sure-analysis-research-database/","Arista Networks Inc")</f>
        <v>0</v>
      </c>
      <c r="C187" s="1" t="s">
        <v>3181</v>
      </c>
      <c r="D187" s="3">
        <v>296.79</v>
      </c>
      <c r="E187" s="4">
        <v>0</v>
      </c>
      <c r="F187" s="4" t="s">
        <v>3178</v>
      </c>
      <c r="G187" s="4" t="s">
        <v>3178</v>
      </c>
      <c r="H187" s="3">
        <v>0</v>
      </c>
      <c r="I187" s="5">
        <v>93003.033559</v>
      </c>
      <c r="J187" s="6">
        <v>40.63858772782211</v>
      </c>
      <c r="K187" s="4">
        <v>0</v>
      </c>
      <c r="L187" s="7">
        <v>1.764833679653005</v>
      </c>
      <c r="M187" s="3">
        <v>329.04</v>
      </c>
      <c r="N187" s="3">
        <v>148.32</v>
      </c>
    </row>
    <row r="188" spans="1:14">
      <c r="A188" s="8" t="s">
        <v>200</v>
      </c>
      <c r="B188" s="2">
        <f>HYPERLINK("https://www.suredividend.com/sure-analysis-research-database/","Abercrombie &amp; Fitch Co.")</f>
        <v>0</v>
      </c>
      <c r="C188" s="1" t="s">
        <v>3182</v>
      </c>
      <c r="D188" s="3">
        <v>175.19</v>
      </c>
      <c r="E188" s="4">
        <v>0</v>
      </c>
      <c r="F188" s="4" t="s">
        <v>3178</v>
      </c>
      <c r="G188" s="4" t="s">
        <v>3178</v>
      </c>
      <c r="H188" s="3">
        <v>0</v>
      </c>
      <c r="I188" s="5">
        <v>8951.979676000001</v>
      </c>
      <c r="J188" s="6">
        <v>27.28239006802327</v>
      </c>
      <c r="K188" s="4">
        <v>0</v>
      </c>
      <c r="L188" s="7">
        <v>1.382881580808273</v>
      </c>
      <c r="M188" s="3">
        <v>196.99</v>
      </c>
      <c r="N188" s="3">
        <v>33.38</v>
      </c>
    </row>
    <row r="189" spans="1:14">
      <c r="A189" s="8" t="s">
        <v>201</v>
      </c>
      <c r="B189" s="2">
        <f>HYPERLINK("https://www.suredividend.com/sure-analysis-research-database/","Angi Inc")</f>
        <v>0</v>
      </c>
      <c r="C189" s="1" t="s">
        <v>3187</v>
      </c>
      <c r="D189" s="3">
        <v>2.09</v>
      </c>
      <c r="E189" s="4">
        <v>0</v>
      </c>
      <c r="F189" s="4" t="s">
        <v>3178</v>
      </c>
      <c r="G189" s="4" t="s">
        <v>3178</v>
      </c>
      <c r="H189" s="3">
        <v>0</v>
      </c>
      <c r="I189" s="5">
        <v>166.620251</v>
      </c>
      <c r="J189" s="6" t="s">
        <v>3178</v>
      </c>
      <c r="K189" s="4">
        <v>-0</v>
      </c>
      <c r="L189" s="7">
        <v>2.250809808642782</v>
      </c>
      <c r="M189" s="3">
        <v>4.18</v>
      </c>
      <c r="N189" s="3">
        <v>1.55</v>
      </c>
    </row>
    <row r="190" spans="1:14">
      <c r="A190" s="8" t="s">
        <v>202</v>
      </c>
      <c r="B190" s="2">
        <f>HYPERLINK("https://www.suredividend.com/sure-analysis-research-database/","Angiodynamic Inc")</f>
        <v>0</v>
      </c>
      <c r="C190" s="1" t="s">
        <v>3176</v>
      </c>
      <c r="D190" s="3">
        <v>6.25</v>
      </c>
      <c r="E190" s="4">
        <v>0</v>
      </c>
      <c r="F190" s="4" t="s">
        <v>3178</v>
      </c>
      <c r="G190" s="4" t="s">
        <v>3178</v>
      </c>
      <c r="H190" s="3">
        <v>0</v>
      </c>
      <c r="I190" s="5">
        <v>250.340831</v>
      </c>
      <c r="J190" s="6" t="s">
        <v>3178</v>
      </c>
      <c r="K190" s="4">
        <v>-0</v>
      </c>
      <c r="L190" s="7">
        <v>1.156000572251213</v>
      </c>
      <c r="M190" s="3">
        <v>11.38</v>
      </c>
      <c r="N190" s="3">
        <v>5.27</v>
      </c>
    </row>
    <row r="191" spans="1:14">
      <c r="A191" s="8" t="s">
        <v>203</v>
      </c>
      <c r="B191" s="2">
        <f>HYPERLINK("https://www.suredividend.com/sure-analysis-research-database/","Anworth Mortgage Asset Corp.")</f>
        <v>0</v>
      </c>
      <c r="C191" s="1" t="s">
        <v>3183</v>
      </c>
      <c r="D191" s="3">
        <v>2.98</v>
      </c>
      <c r="E191" s="4">
        <v>0.077325378967178</v>
      </c>
      <c r="F191" s="4" t="s">
        <v>3178</v>
      </c>
      <c r="G191" s="4" t="s">
        <v>3178</v>
      </c>
      <c r="H191" s="3">
        <v>0.23042962932219</v>
      </c>
      <c r="I191" s="5">
        <v>295.925866</v>
      </c>
      <c r="J191" s="6" t="s">
        <v>3178</v>
      </c>
      <c r="K191" s="4" t="s">
        <v>3178</v>
      </c>
      <c r="L191" s="7">
        <v>1.59387389050198</v>
      </c>
      <c r="M191" s="3">
        <v>3.19</v>
      </c>
      <c r="N191" s="3">
        <v>0.6996</v>
      </c>
    </row>
    <row r="192" spans="1:14">
      <c r="A192" s="8" t="s">
        <v>204</v>
      </c>
      <c r="B192" s="2">
        <f>HYPERLINK("https://www.suredividend.com/sure-analysis-research-database/","Anika Therapeutics Inc.")</f>
        <v>0</v>
      </c>
      <c r="C192" s="1" t="s">
        <v>3176</v>
      </c>
      <c r="D192" s="3">
        <v>25.79</v>
      </c>
      <c r="E192" s="4">
        <v>0</v>
      </c>
      <c r="F192" s="4" t="s">
        <v>3178</v>
      </c>
      <c r="G192" s="4" t="s">
        <v>3178</v>
      </c>
      <c r="H192" s="3">
        <v>0</v>
      </c>
      <c r="I192" s="5">
        <v>382.42588</v>
      </c>
      <c r="J192" s="6" t="s">
        <v>3178</v>
      </c>
      <c r="K192" s="4">
        <v>-0</v>
      </c>
      <c r="L192" s="7">
        <v>0.5765671439878161</v>
      </c>
      <c r="M192" s="3">
        <v>28.67</v>
      </c>
      <c r="N192" s="3">
        <v>16.54</v>
      </c>
    </row>
    <row r="193" spans="1:14">
      <c r="A193" s="8" t="s">
        <v>205</v>
      </c>
      <c r="B193" s="2">
        <f>HYPERLINK("https://www.suredividend.com/sure-analysis-research-database/","ANI Pharmaceuticals Inc")</f>
        <v>0</v>
      </c>
      <c r="C193" s="1" t="s">
        <v>3176</v>
      </c>
      <c r="D193" s="3">
        <v>66.73999999999999</v>
      </c>
      <c r="E193" s="4">
        <v>0</v>
      </c>
      <c r="F193" s="4" t="s">
        <v>3178</v>
      </c>
      <c r="G193" s="4" t="s">
        <v>3178</v>
      </c>
      <c r="H193" s="3">
        <v>0</v>
      </c>
      <c r="I193" s="5">
        <v>1401.54</v>
      </c>
      <c r="J193" s="6">
        <v>81.70339279468345</v>
      </c>
      <c r="K193" s="4">
        <v>0</v>
      </c>
      <c r="L193" s="7">
        <v>0.539937911962176</v>
      </c>
      <c r="M193" s="3">
        <v>70.5</v>
      </c>
      <c r="N193" s="3">
        <v>48.2</v>
      </c>
    </row>
    <row r="194" spans="1:14">
      <c r="A194" s="8" t="s">
        <v>206</v>
      </c>
      <c r="B194" s="2">
        <f>HYPERLINK("https://www.suredividend.com/sure-analysis-research-database/","Anixa Biosciences Inc")</f>
        <v>0</v>
      </c>
      <c r="C194" s="1" t="s">
        <v>3176</v>
      </c>
      <c r="D194" s="3">
        <v>2.55</v>
      </c>
      <c r="E194" s="4">
        <v>0</v>
      </c>
      <c r="F194" s="4" t="s">
        <v>3178</v>
      </c>
      <c r="G194" s="4" t="s">
        <v>3178</v>
      </c>
      <c r="H194" s="3">
        <v>0</v>
      </c>
      <c r="I194" s="5">
        <v>81.616473</v>
      </c>
      <c r="J194" s="6">
        <v>0</v>
      </c>
      <c r="K194" s="4" t="s">
        <v>3178</v>
      </c>
      <c r="L194" s="7">
        <v>0.243921498487677</v>
      </c>
      <c r="M194" s="3">
        <v>5.13</v>
      </c>
      <c r="N194" s="3">
        <v>2.21</v>
      </c>
    </row>
    <row r="195" spans="1:14">
      <c r="A195" s="8" t="s">
        <v>207</v>
      </c>
      <c r="B195" s="2">
        <f>HYPERLINK("https://www.suredividend.com/sure-analysis-research-database/","Ansys Inc.")</f>
        <v>0</v>
      </c>
      <c r="C195" s="1" t="s">
        <v>3181</v>
      </c>
      <c r="D195" s="3">
        <v>324.3</v>
      </c>
      <c r="E195" s="4">
        <v>0</v>
      </c>
      <c r="F195" s="4" t="s">
        <v>3178</v>
      </c>
      <c r="G195" s="4" t="s">
        <v>3178</v>
      </c>
      <c r="H195" s="3">
        <v>0</v>
      </c>
      <c r="I195" s="5">
        <v>28311.383838</v>
      </c>
      <c r="J195" s="6">
        <v>65.14834004873806</v>
      </c>
      <c r="K195" s="4">
        <v>0</v>
      </c>
      <c r="L195" s="7">
        <v>1.329801317624115</v>
      </c>
      <c r="M195" s="3">
        <v>364.31</v>
      </c>
      <c r="N195" s="3">
        <v>258.01</v>
      </c>
    </row>
    <row r="196" spans="1:14">
      <c r="A196" s="8" t="s">
        <v>208</v>
      </c>
      <c r="B196" s="2">
        <f>HYPERLINK("https://www.suredividend.com/sure-analysis-AON/","Aon plc.")</f>
        <v>0</v>
      </c>
      <c r="C196" s="1" t="s">
        <v>3180</v>
      </c>
      <c r="D196" s="3">
        <v>283.12</v>
      </c>
      <c r="E196" s="4">
        <v>0.009536592257699915</v>
      </c>
      <c r="F196" s="4" t="s">
        <v>3178</v>
      </c>
      <c r="G196" s="4" t="s">
        <v>3178</v>
      </c>
      <c r="H196" s="3">
        <v>2.511823634953877</v>
      </c>
      <c r="I196" s="5">
        <v>61558.996488</v>
      </c>
      <c r="J196" s="6">
        <v>0</v>
      </c>
      <c r="K196" s="4" t="s">
        <v>3178</v>
      </c>
      <c r="L196" s="7">
        <v>0.4403022027599731</v>
      </c>
      <c r="M196" s="3">
        <v>344.47</v>
      </c>
      <c r="N196" s="3">
        <v>267.42</v>
      </c>
    </row>
    <row r="197" spans="1:14">
      <c r="A197" s="8" t="s">
        <v>209</v>
      </c>
      <c r="B197" s="2">
        <f>HYPERLINK("https://www.suredividend.com/sure-analysis-AOS/","A.O. Smith Corp.")</f>
        <v>0</v>
      </c>
      <c r="C197" s="1" t="s">
        <v>3179</v>
      </c>
      <c r="D197" s="3">
        <v>81.08</v>
      </c>
      <c r="E197" s="4">
        <v>0.01578687715836211</v>
      </c>
      <c r="F197" s="4">
        <v>0.06666666666666643</v>
      </c>
      <c r="G197" s="4">
        <v>0.05922384104881218</v>
      </c>
      <c r="H197" s="3">
        <v>1.252559760696976</v>
      </c>
      <c r="I197" s="5">
        <v>12387.039729</v>
      </c>
      <c r="J197" s="6">
        <v>16.9637046479127</v>
      </c>
      <c r="K197" s="4">
        <v>0.3253401975836301</v>
      </c>
      <c r="L197" s="7">
        <v>0.960537233834542</v>
      </c>
      <c r="M197" s="3">
        <v>89.61</v>
      </c>
      <c r="N197" s="3">
        <v>63.34</v>
      </c>
    </row>
    <row r="198" spans="1:14">
      <c r="A198" s="8" t="s">
        <v>210</v>
      </c>
      <c r="B198" s="2">
        <f>HYPERLINK("https://www.suredividend.com/sure-analysis-research-database/","Alpha &amp; Omega Semiconductor Ltd")</f>
        <v>0</v>
      </c>
      <c r="C198" s="1" t="s">
        <v>3181</v>
      </c>
      <c r="D198" s="3">
        <v>29.15</v>
      </c>
      <c r="E198" s="4">
        <v>0</v>
      </c>
      <c r="F198" s="4" t="s">
        <v>3178</v>
      </c>
      <c r="G198" s="4" t="s">
        <v>3178</v>
      </c>
      <c r="H198" s="3">
        <v>0</v>
      </c>
      <c r="I198" s="5">
        <v>836.655896</v>
      </c>
      <c r="J198" s="6" t="s">
        <v>3178</v>
      </c>
      <c r="K198" s="4">
        <v>-0</v>
      </c>
      <c r="L198" s="7">
        <v>1.632089184880684</v>
      </c>
      <c r="M198" s="3">
        <v>35.4</v>
      </c>
      <c r="N198" s="3">
        <v>19.38</v>
      </c>
    </row>
    <row r="199" spans="1:14">
      <c r="A199" s="8" t="s">
        <v>211</v>
      </c>
      <c r="B199" s="2">
        <f>HYPERLINK("https://www.suredividend.com/sure-analysis-research-database/","Ampco-Pittsburgh Corp.")</f>
        <v>0</v>
      </c>
      <c r="C199" s="1" t="s">
        <v>3179</v>
      </c>
      <c r="D199" s="3">
        <v>1.23</v>
      </c>
      <c r="E199" s="4">
        <v>0</v>
      </c>
      <c r="F199" s="4" t="s">
        <v>3178</v>
      </c>
      <c r="G199" s="4" t="s">
        <v>3178</v>
      </c>
      <c r="H199" s="3">
        <v>0</v>
      </c>
      <c r="I199" s="5">
        <v>24.434871</v>
      </c>
      <c r="J199" s="6" t="s">
        <v>3178</v>
      </c>
      <c r="K199" s="4">
        <v>-0</v>
      </c>
      <c r="L199" s="7">
        <v>0.623406907975921</v>
      </c>
      <c r="M199" s="3">
        <v>4</v>
      </c>
      <c r="N199" s="3">
        <v>1.22</v>
      </c>
    </row>
    <row r="200" spans="1:14">
      <c r="A200" s="8" t="s">
        <v>212</v>
      </c>
      <c r="B200" s="2">
        <f>HYPERLINK("https://www.suredividend.com/sure-analysis-APA/","APA Corporation")</f>
        <v>0</v>
      </c>
      <c r="C200" s="1" t="s">
        <v>3185</v>
      </c>
      <c r="D200" s="3">
        <v>28.85</v>
      </c>
      <c r="E200" s="4">
        <v>0.03466204506065858</v>
      </c>
      <c r="F200" s="4">
        <v>0</v>
      </c>
      <c r="G200" s="4">
        <v>0</v>
      </c>
      <c r="H200" s="3">
        <v>0.9873439328984831</v>
      </c>
      <c r="I200" s="5">
        <v>10708.899124</v>
      </c>
      <c r="J200" s="6">
        <v>3.901238296684881</v>
      </c>
      <c r="K200" s="4">
        <v>0.1101946353681343</v>
      </c>
      <c r="L200" s="7">
        <v>0.600723554690726</v>
      </c>
      <c r="M200" s="3">
        <v>44.89</v>
      </c>
      <c r="N200" s="3">
        <v>28.67</v>
      </c>
    </row>
    <row r="201" spans="1:14">
      <c r="A201" s="8" t="s">
        <v>213</v>
      </c>
      <c r="B201" s="2">
        <f>HYPERLINK("https://www.suredividend.com/sure-analysis-APAM/","Artisan Partners Asset Management Inc")</f>
        <v>0</v>
      </c>
      <c r="C201" s="1" t="s">
        <v>3180</v>
      </c>
      <c r="D201" s="3">
        <v>42.76</v>
      </c>
      <c r="E201" s="4">
        <v>0.05706267539756782</v>
      </c>
      <c r="F201" s="4">
        <v>0</v>
      </c>
      <c r="G201" s="4">
        <v>-0.01858880777303751</v>
      </c>
      <c r="H201" s="3">
        <v>2.829454201026076</v>
      </c>
      <c r="I201" s="5">
        <v>2989.206302</v>
      </c>
      <c r="J201" s="6">
        <v>14.19207739594065</v>
      </c>
      <c r="K201" s="4">
        <v>0.8574103639472958</v>
      </c>
      <c r="L201" s="7">
        <v>1.421085458455906</v>
      </c>
      <c r="M201" s="3">
        <v>46.14</v>
      </c>
      <c r="N201" s="3">
        <v>30.64</v>
      </c>
    </row>
    <row r="202" spans="1:14">
      <c r="A202" s="8" t="s">
        <v>214</v>
      </c>
      <c r="B202" s="2">
        <f>HYPERLINK("https://www.suredividend.com/sure-analysis-APD/","Air Products &amp; Chemicals Inc.")</f>
        <v>0</v>
      </c>
      <c r="C202" s="1" t="s">
        <v>3177</v>
      </c>
      <c r="D202" s="3">
        <v>279.53</v>
      </c>
      <c r="E202" s="4">
        <v>0.02532822952813652</v>
      </c>
      <c r="F202" s="4">
        <v>0.01142857142857134</v>
      </c>
      <c r="G202" s="4">
        <v>0.08818580259076003</v>
      </c>
      <c r="H202" s="3">
        <v>6.949072403718965</v>
      </c>
      <c r="I202" s="5">
        <v>62141.170184</v>
      </c>
      <c r="J202" s="6">
        <v>25.15938709409692</v>
      </c>
      <c r="K202" s="4">
        <v>0.6266070697672647</v>
      </c>
      <c r="L202" s="7">
        <v>0.8053268987330081</v>
      </c>
      <c r="M202" s="3">
        <v>301.67</v>
      </c>
      <c r="N202" s="3">
        <v>210.69</v>
      </c>
    </row>
    <row r="203" spans="1:14">
      <c r="A203" s="8" t="s">
        <v>215</v>
      </c>
      <c r="B203" s="2">
        <f>HYPERLINK("https://www.suredividend.com/sure-analysis-research-database/","Applied Dna Sciences Inc")</f>
        <v>0</v>
      </c>
      <c r="C203" s="1" t="s">
        <v>3179</v>
      </c>
      <c r="D203" s="3">
        <v>0.54</v>
      </c>
      <c r="E203" s="4">
        <v>0</v>
      </c>
      <c r="F203" s="4" t="s">
        <v>3178</v>
      </c>
      <c r="G203" s="4" t="s">
        <v>3178</v>
      </c>
      <c r="H203" s="3">
        <v>0</v>
      </c>
      <c r="I203" s="5">
        <v>0.531753</v>
      </c>
      <c r="J203" s="6">
        <v>0</v>
      </c>
      <c r="K203" s="4" t="s">
        <v>3178</v>
      </c>
      <c r="M203" s="3">
        <v>37.2</v>
      </c>
      <c r="N203" s="3">
        <v>0.5</v>
      </c>
    </row>
    <row r="204" spans="1:14">
      <c r="A204" s="8" t="s">
        <v>216</v>
      </c>
      <c r="B204" s="2">
        <f>HYPERLINK("https://www.suredividend.com/sure-analysis-research-database/","American Public Education Inc")</f>
        <v>0</v>
      </c>
      <c r="C204" s="1" t="s">
        <v>3184</v>
      </c>
      <c r="D204" s="3">
        <v>16.68</v>
      </c>
      <c r="E204" s="4">
        <v>0</v>
      </c>
      <c r="F204" s="4" t="s">
        <v>3178</v>
      </c>
      <c r="G204" s="4" t="s">
        <v>3178</v>
      </c>
      <c r="H204" s="3">
        <v>0</v>
      </c>
      <c r="I204" s="5">
        <v>293.152084</v>
      </c>
      <c r="J204" s="6" t="s">
        <v>3178</v>
      </c>
      <c r="K204" s="4">
        <v>-0</v>
      </c>
      <c r="L204" s="7">
        <v>0.919831353014073</v>
      </c>
      <c r="M204" s="3">
        <v>21.04</v>
      </c>
      <c r="N204" s="3">
        <v>3.76</v>
      </c>
    </row>
    <row r="205" spans="1:14">
      <c r="A205" s="8" t="s">
        <v>217</v>
      </c>
      <c r="B205" s="2">
        <f>HYPERLINK("https://www.suredividend.com/sure-analysis-research-database/","Apollo Endosurgery Inc")</f>
        <v>0</v>
      </c>
      <c r="C205" s="1" t="s">
        <v>3176</v>
      </c>
      <c r="D205" s="3">
        <v>10</v>
      </c>
      <c r="E205" s="4">
        <v>0</v>
      </c>
      <c r="F205" s="4" t="s">
        <v>3178</v>
      </c>
      <c r="G205" s="4" t="s">
        <v>3178</v>
      </c>
      <c r="H205" s="3">
        <v>0</v>
      </c>
      <c r="I205" s="5">
        <v>0</v>
      </c>
      <c r="J205" s="6">
        <v>0</v>
      </c>
      <c r="K205" s="4" t="s">
        <v>3178</v>
      </c>
    </row>
    <row r="206" spans="1:14">
      <c r="A206" s="8" t="s">
        <v>218</v>
      </c>
      <c r="B206" s="2">
        <f>HYPERLINK("https://www.suredividend.com/sure-analysis-research-database/","Apex Global Brands Inc")</f>
        <v>0</v>
      </c>
      <c r="C206" s="1" t="s">
        <v>3182</v>
      </c>
      <c r="D206" s="3">
        <v>6.89</v>
      </c>
      <c r="E206" s="4">
        <v>0</v>
      </c>
      <c r="F206" s="4" t="s">
        <v>3178</v>
      </c>
      <c r="G206" s="4" t="s">
        <v>3178</v>
      </c>
      <c r="H206" s="3">
        <v>0</v>
      </c>
      <c r="I206" s="5">
        <v>0</v>
      </c>
      <c r="J206" s="6">
        <v>0</v>
      </c>
      <c r="K206" s="4">
        <v>-0</v>
      </c>
    </row>
    <row r="207" spans="1:14">
      <c r="A207" s="8" t="s">
        <v>219</v>
      </c>
      <c r="B207" s="2">
        <f>HYPERLINK("https://www.suredividend.com/sure-analysis-APH/","Amphenol Corp.")</f>
        <v>0</v>
      </c>
      <c r="C207" s="1" t="s">
        <v>3181</v>
      </c>
      <c r="D207" s="3">
        <v>130.64</v>
      </c>
      <c r="E207" s="4">
        <v>0.006736068585425598</v>
      </c>
      <c r="F207" s="4">
        <v>0.04761904761904767</v>
      </c>
      <c r="G207" s="4">
        <v>-0.008850950183580175</v>
      </c>
      <c r="H207" s="3">
        <v>0.8572706120823811</v>
      </c>
      <c r="I207" s="5">
        <v>78462.899636</v>
      </c>
      <c r="J207" s="6">
        <v>38.50939859439509</v>
      </c>
      <c r="K207" s="4">
        <v>0.2621622666918597</v>
      </c>
      <c r="L207" s="7">
        <v>1.002243457169841</v>
      </c>
      <c r="M207" s="3">
        <v>138.59</v>
      </c>
      <c r="N207" s="3">
        <v>77.64</v>
      </c>
    </row>
    <row r="208" spans="1:14">
      <c r="A208" s="8" t="s">
        <v>220</v>
      </c>
      <c r="B208" s="2">
        <f>HYPERLINK("https://www.suredividend.com/sure-analysis-APLE/","Apple Hospitality REIT Inc")</f>
        <v>0</v>
      </c>
      <c r="C208" s="1" t="s">
        <v>3183</v>
      </c>
      <c r="D208" s="3">
        <v>14.23</v>
      </c>
      <c r="E208" s="4">
        <v>0.06746310611384398</v>
      </c>
      <c r="F208" s="4">
        <v>0</v>
      </c>
      <c r="G208" s="4">
        <v>0</v>
      </c>
      <c r="H208" s="3">
        <v>0.9333897629446191</v>
      </c>
      <c r="I208" s="5">
        <v>3448.586255</v>
      </c>
      <c r="J208" s="6">
        <v>17.36308381620816</v>
      </c>
      <c r="K208" s="4">
        <v>1.092962251691591</v>
      </c>
      <c r="L208" s="7">
        <v>0.9540667983473021</v>
      </c>
      <c r="M208" s="3">
        <v>17.36</v>
      </c>
      <c r="N208" s="3">
        <v>13.45</v>
      </c>
    </row>
    <row r="209" spans="1:14">
      <c r="A209" s="8" t="s">
        <v>221</v>
      </c>
      <c r="B209" s="2">
        <f>HYPERLINK("https://www.suredividend.com/sure-analysis-research-database/","Apellis Pharmaceuticals Inc")</f>
        <v>0</v>
      </c>
      <c r="C209" s="1" t="s">
        <v>3176</v>
      </c>
      <c r="D209" s="3">
        <v>40.37</v>
      </c>
      <c r="E209" s="4">
        <v>0</v>
      </c>
      <c r="F209" s="4" t="s">
        <v>3178</v>
      </c>
      <c r="G209" s="4" t="s">
        <v>3178</v>
      </c>
      <c r="H209" s="3">
        <v>0</v>
      </c>
      <c r="I209" s="5">
        <v>4899.527455</v>
      </c>
      <c r="J209" s="6">
        <v>0</v>
      </c>
      <c r="K209" s="4" t="s">
        <v>3178</v>
      </c>
      <c r="L209" s="7">
        <v>1.127346348602933</v>
      </c>
      <c r="M209" s="3">
        <v>94.75</v>
      </c>
      <c r="N209" s="3">
        <v>19.83</v>
      </c>
    </row>
    <row r="210" spans="1:14">
      <c r="A210" s="8" t="s">
        <v>222</v>
      </c>
      <c r="B210" s="2">
        <f>HYPERLINK("https://www.suredividend.com/sure-analysis-APOG/","Apogee Enterprises Inc.")</f>
        <v>0</v>
      </c>
      <c r="C210" s="1" t="s">
        <v>3179</v>
      </c>
      <c r="D210" s="3">
        <v>61.59</v>
      </c>
      <c r="E210" s="4">
        <v>0.01623640201331385</v>
      </c>
      <c r="F210" s="4">
        <v>0.04166666666666674</v>
      </c>
      <c r="G210" s="4">
        <v>0.07394092378577932</v>
      </c>
      <c r="H210" s="3">
        <v>0.9674444879138011</v>
      </c>
      <c r="I210" s="5">
        <v>1362.999449</v>
      </c>
      <c r="J210" s="6">
        <v>13.68294749811772</v>
      </c>
      <c r="K210" s="4">
        <v>0.2145109729298894</v>
      </c>
      <c r="L210" s="7">
        <v>0.950547543215683</v>
      </c>
      <c r="M210" s="3">
        <v>67.48</v>
      </c>
      <c r="N210" s="3">
        <v>39.54</v>
      </c>
    </row>
    <row r="211" spans="1:14">
      <c r="A211" s="8" t="s">
        <v>223</v>
      </c>
      <c r="B211" s="2">
        <f>HYPERLINK("https://www.suredividend.com/sure-analysis-research-database/","Appfolio Inc")</f>
        <v>0</v>
      </c>
      <c r="C211" s="1" t="s">
        <v>3181</v>
      </c>
      <c r="D211" s="3">
        <v>229.45</v>
      </c>
      <c r="E211" s="4">
        <v>0</v>
      </c>
      <c r="F211" s="4" t="s">
        <v>3178</v>
      </c>
      <c r="G211" s="4" t="s">
        <v>3178</v>
      </c>
      <c r="H211" s="3">
        <v>0</v>
      </c>
      <c r="I211" s="5">
        <v>5116.735</v>
      </c>
      <c r="J211" s="6">
        <v>66.90728996404053</v>
      </c>
      <c r="K211" s="4">
        <v>0</v>
      </c>
      <c r="L211" s="7">
        <v>1.342352659429519</v>
      </c>
      <c r="M211" s="3">
        <v>256.73</v>
      </c>
      <c r="N211" s="3">
        <v>162.32</v>
      </c>
    </row>
    <row r="212" spans="1:14">
      <c r="A212" s="8" t="s">
        <v>224</v>
      </c>
      <c r="B212" s="2">
        <f>HYPERLINK("https://www.suredividend.com/sure-analysis-research-database/","Appian Corp")</f>
        <v>0</v>
      </c>
      <c r="C212" s="1" t="s">
        <v>3181</v>
      </c>
      <c r="D212" s="3">
        <v>27.38</v>
      </c>
      <c r="E212" s="4">
        <v>0</v>
      </c>
      <c r="F212" s="4" t="s">
        <v>3178</v>
      </c>
      <c r="G212" s="4" t="s">
        <v>3178</v>
      </c>
      <c r="H212" s="3">
        <v>0</v>
      </c>
      <c r="I212" s="5">
        <v>1123.803996</v>
      </c>
      <c r="J212" s="6" t="s">
        <v>3178</v>
      </c>
      <c r="K212" s="4">
        <v>-0</v>
      </c>
      <c r="L212" s="7">
        <v>2.06156413093812</v>
      </c>
      <c r="M212" s="3">
        <v>54.26</v>
      </c>
      <c r="N212" s="3">
        <v>27.32</v>
      </c>
    </row>
    <row r="213" spans="1:14">
      <c r="A213" s="8" t="s">
        <v>225</v>
      </c>
      <c r="B213" s="2">
        <f>HYPERLINK("https://www.suredividend.com/sure-analysis-research-database/","Digital Turbine Inc")</f>
        <v>0</v>
      </c>
      <c r="C213" s="1" t="s">
        <v>3181</v>
      </c>
      <c r="D213" s="3">
        <v>1.6</v>
      </c>
      <c r="E213" s="4">
        <v>0</v>
      </c>
      <c r="F213" s="4" t="s">
        <v>3178</v>
      </c>
      <c r="G213" s="4" t="s">
        <v>3178</v>
      </c>
      <c r="H213" s="3">
        <v>0</v>
      </c>
      <c r="I213" s="5">
        <v>164.010712</v>
      </c>
      <c r="J213" s="6" t="s">
        <v>3178</v>
      </c>
      <c r="K213" s="4">
        <v>-0</v>
      </c>
      <c r="L213" s="7">
        <v>2.435935426808851</v>
      </c>
      <c r="M213" s="3">
        <v>11.46</v>
      </c>
      <c r="N213" s="3">
        <v>1.57</v>
      </c>
    </row>
    <row r="214" spans="1:14">
      <c r="A214" s="8" t="s">
        <v>226</v>
      </c>
      <c r="B214" s="2">
        <f>HYPERLINK("https://www.suredividend.com/sure-analysis-research-database/","Blue Apron Holdings Inc")</f>
        <v>0</v>
      </c>
      <c r="C214" s="1" t="s">
        <v>3182</v>
      </c>
      <c r="D214" s="3">
        <v>13</v>
      </c>
      <c r="E214" s="4">
        <v>0</v>
      </c>
      <c r="F214" s="4" t="s">
        <v>3178</v>
      </c>
      <c r="G214" s="4" t="s">
        <v>3178</v>
      </c>
      <c r="H214" s="3">
        <v>0</v>
      </c>
      <c r="I214" s="5">
        <v>0</v>
      </c>
      <c r="J214" s="6">
        <v>0</v>
      </c>
      <c r="K214" s="4">
        <v>-0</v>
      </c>
    </row>
    <row r="215" spans="1:14">
      <c r="A215" s="8" t="s">
        <v>227</v>
      </c>
      <c r="B215" s="2">
        <f>HYPERLINK("https://www.suredividend.com/sure-analysis-research-database/","Alpha Pro Tech Ltd.")</f>
        <v>0</v>
      </c>
      <c r="C215" s="1" t="s">
        <v>3179</v>
      </c>
      <c r="D215" s="3">
        <v>4.87</v>
      </c>
      <c r="E215" s="4">
        <v>0</v>
      </c>
      <c r="F215" s="4" t="s">
        <v>3178</v>
      </c>
      <c r="G215" s="4" t="s">
        <v>3178</v>
      </c>
      <c r="H215" s="3">
        <v>0</v>
      </c>
      <c r="I215" s="5">
        <v>56.923969</v>
      </c>
      <c r="J215" s="6">
        <v>0</v>
      </c>
      <c r="K215" s="4" t="s">
        <v>3178</v>
      </c>
      <c r="L215" s="7">
        <v>0.702303356400369</v>
      </c>
      <c r="M215" s="3">
        <v>6.92</v>
      </c>
      <c r="N215" s="3">
        <v>3.7</v>
      </c>
    </row>
    <row r="216" spans="1:14">
      <c r="A216" s="8" t="s">
        <v>228</v>
      </c>
      <c r="B216" s="2">
        <f>HYPERLINK("https://www.suredividend.com/sure-analysis-research-database/","Preferred Apartment Communities Inc")</f>
        <v>0</v>
      </c>
      <c r="C216" s="1" t="s">
        <v>3183</v>
      </c>
      <c r="D216" s="3">
        <v>25</v>
      </c>
      <c r="E216" s="4">
        <v>0.020817931770079</v>
      </c>
      <c r="F216" s="4" t="s">
        <v>3178</v>
      </c>
      <c r="G216" s="4" t="s">
        <v>3178</v>
      </c>
      <c r="H216" s="3">
        <v>0.520448294251993</v>
      </c>
      <c r="I216" s="5">
        <v>1611.074075</v>
      </c>
      <c r="J216" s="6" t="s">
        <v>3178</v>
      </c>
      <c r="K216" s="4" t="s">
        <v>3178</v>
      </c>
      <c r="L216" s="7">
        <v>0.182588529607265</v>
      </c>
      <c r="M216" s="3">
        <v>25.62</v>
      </c>
      <c r="N216" s="3">
        <v>9.32</v>
      </c>
    </row>
    <row r="217" spans="1:14">
      <c r="A217" s="8" t="s">
        <v>229</v>
      </c>
      <c r="B217" s="2">
        <f>HYPERLINK("https://www.suredividend.com/sure-analysis-research-database/","Aptiv PLC")</f>
        <v>0</v>
      </c>
      <c r="C217" s="1" t="s">
        <v>3182</v>
      </c>
      <c r="D217" s="3">
        <v>81.42</v>
      </c>
      <c r="E217" s="4">
        <v>0</v>
      </c>
      <c r="F217" s="4" t="s">
        <v>3178</v>
      </c>
      <c r="G217" s="4" t="s">
        <v>3178</v>
      </c>
      <c r="H217" s="3">
        <v>0</v>
      </c>
      <c r="I217" s="5">
        <v>22151.319061</v>
      </c>
      <c r="J217" s="6">
        <v>7.430834975182825</v>
      </c>
      <c r="K217" s="4">
        <v>0</v>
      </c>
      <c r="L217" s="7">
        <v>1.365507940163865</v>
      </c>
      <c r="M217" s="3">
        <v>113.6</v>
      </c>
      <c r="N217" s="3">
        <v>68.84</v>
      </c>
    </row>
    <row r="218" spans="1:14">
      <c r="A218" s="8" t="s">
        <v>230</v>
      </c>
      <c r="B218" s="2">
        <f>HYPERLINK("https://www.suredividend.com/sure-analysis-research-database/","Aptevo Therapeutics Inc")</f>
        <v>0</v>
      </c>
      <c r="C218" s="1" t="s">
        <v>3176</v>
      </c>
      <c r="D218" s="3">
        <v>0.7911</v>
      </c>
      <c r="E218" s="4">
        <v>0</v>
      </c>
      <c r="F218" s="4" t="s">
        <v>3178</v>
      </c>
      <c r="G218" s="4" t="s">
        <v>3178</v>
      </c>
      <c r="H218" s="3">
        <v>0</v>
      </c>
      <c r="I218" s="5">
        <v>3.227822</v>
      </c>
      <c r="J218" s="6">
        <v>0</v>
      </c>
      <c r="K218" s="4" t="s">
        <v>3178</v>
      </c>
      <c r="M218" s="3">
        <v>80.95999999999999</v>
      </c>
      <c r="N218" s="3">
        <v>0.67</v>
      </c>
    </row>
    <row r="219" spans="1:14">
      <c r="A219" s="8" t="s">
        <v>231</v>
      </c>
      <c r="B219" s="2">
        <f>HYPERLINK("https://www.suredividend.com/sure-analysis-research-database/","Apyx Medical Corp")</f>
        <v>0</v>
      </c>
      <c r="C219" s="1" t="s">
        <v>3176</v>
      </c>
      <c r="D219" s="3">
        <v>1.6</v>
      </c>
      <c r="E219" s="4">
        <v>0</v>
      </c>
      <c r="F219" s="4" t="s">
        <v>3178</v>
      </c>
      <c r="G219" s="4" t="s">
        <v>3178</v>
      </c>
      <c r="H219" s="3">
        <v>0</v>
      </c>
      <c r="I219" s="5">
        <v>55.430282</v>
      </c>
      <c r="J219" s="6">
        <v>0</v>
      </c>
      <c r="K219" s="4" t="s">
        <v>3178</v>
      </c>
      <c r="L219" s="7">
        <v>1.031456766632484</v>
      </c>
      <c r="M219" s="3">
        <v>7.97</v>
      </c>
      <c r="N219" s="3">
        <v>1.21</v>
      </c>
    </row>
    <row r="220" spans="1:14">
      <c r="A220" s="8" t="s">
        <v>232</v>
      </c>
      <c r="B220" s="2">
        <f>HYPERLINK("https://www.suredividend.com/sure-analysis-research-database/","AquaBounty Technologies Inc")</f>
        <v>0</v>
      </c>
      <c r="C220" s="1" t="s">
        <v>3184</v>
      </c>
      <c r="D220" s="3">
        <v>1.84</v>
      </c>
      <c r="E220" s="4">
        <v>0</v>
      </c>
      <c r="F220" s="4" t="s">
        <v>3178</v>
      </c>
      <c r="G220" s="4" t="s">
        <v>3178</v>
      </c>
      <c r="H220" s="3">
        <v>0</v>
      </c>
      <c r="I220" s="5">
        <v>7.097697</v>
      </c>
      <c r="J220" s="6" t="s">
        <v>3178</v>
      </c>
      <c r="K220" s="4">
        <v>-0</v>
      </c>
      <c r="L220" s="7">
        <v>1.548056622138603</v>
      </c>
      <c r="M220" s="3">
        <v>8.6</v>
      </c>
      <c r="N220" s="3">
        <v>1.57</v>
      </c>
    </row>
    <row r="221" spans="1:14">
      <c r="A221" s="8" t="s">
        <v>233</v>
      </c>
      <c r="B221" s="2">
        <f>HYPERLINK("https://www.suredividend.com/sure-analysis-research-database/","Aqua Metals Inc")</f>
        <v>0</v>
      </c>
      <c r="C221" s="1" t="s">
        <v>3179</v>
      </c>
      <c r="D221" s="3">
        <v>0.3862</v>
      </c>
      <c r="E221" s="4">
        <v>0</v>
      </c>
      <c r="F221" s="4" t="s">
        <v>3178</v>
      </c>
      <c r="G221" s="4" t="s">
        <v>3178</v>
      </c>
      <c r="H221" s="3">
        <v>0</v>
      </c>
      <c r="I221" s="5">
        <v>43.727884</v>
      </c>
      <c r="J221" s="6">
        <v>0</v>
      </c>
      <c r="K221" s="4" t="s">
        <v>3178</v>
      </c>
      <c r="L221" s="7">
        <v>1.181880485483943</v>
      </c>
      <c r="M221" s="3">
        <v>1.77</v>
      </c>
      <c r="N221" s="3">
        <v>0.37</v>
      </c>
    </row>
    <row r="222" spans="1:14">
      <c r="A222" s="8" t="s">
        <v>234</v>
      </c>
      <c r="B222" s="2">
        <f>HYPERLINK("https://www.suredividend.com/sure-analysis-research-database/","Evoqua Water Technologies Corp")</f>
        <v>0</v>
      </c>
      <c r="C222" s="1" t="s">
        <v>3179</v>
      </c>
      <c r="D222" s="3">
        <v>49.88</v>
      </c>
      <c r="E222" s="4">
        <v>0</v>
      </c>
      <c r="F222" s="4" t="s">
        <v>3178</v>
      </c>
      <c r="G222" s="4" t="s">
        <v>3178</v>
      </c>
      <c r="H222" s="3">
        <v>0</v>
      </c>
      <c r="I222" s="5">
        <v>6103.836949</v>
      </c>
      <c r="J222" s="6">
        <v>77.47854112844468</v>
      </c>
      <c r="K222" s="4">
        <v>0</v>
      </c>
      <c r="L222" s="7">
        <v>1.363793607468413</v>
      </c>
      <c r="M222" s="3">
        <v>52.3</v>
      </c>
      <c r="N222" s="3">
        <v>30.44</v>
      </c>
    </row>
    <row r="223" spans="1:14">
      <c r="A223" s="8" t="s">
        <v>235</v>
      </c>
      <c r="B223" s="2">
        <f>HYPERLINK("https://www.suredividend.com/sure-analysis-research-database/","Antero Resources Corp")</f>
        <v>0</v>
      </c>
      <c r="C223" s="1" t="s">
        <v>3185</v>
      </c>
      <c r="D223" s="3">
        <v>34.02</v>
      </c>
      <c r="E223" s="4">
        <v>0</v>
      </c>
      <c r="F223" s="4" t="s">
        <v>3178</v>
      </c>
      <c r="G223" s="4" t="s">
        <v>3178</v>
      </c>
      <c r="H223" s="3">
        <v>0</v>
      </c>
      <c r="I223" s="5">
        <v>10573.65414</v>
      </c>
      <c r="J223" s="6">
        <v>160.6132811811705</v>
      </c>
      <c r="K223" s="4">
        <v>0</v>
      </c>
      <c r="L223" s="7">
        <v>0.7775043960554461</v>
      </c>
      <c r="M223" s="3">
        <v>36.28</v>
      </c>
      <c r="N223" s="3">
        <v>20.1</v>
      </c>
    </row>
    <row r="224" spans="1:14">
      <c r="A224" s="8" t="s">
        <v>236</v>
      </c>
      <c r="B224" s="2">
        <f>HYPERLINK("https://www.suredividend.com/sure-analysis-research-database/","American Renal Associates Holdings Inc.")</f>
        <v>0</v>
      </c>
      <c r="C224" s="1" t="s">
        <v>3176</v>
      </c>
      <c r="D224" s="3">
        <v>11.5</v>
      </c>
      <c r="E224" s="4">
        <v>0</v>
      </c>
      <c r="F224" s="4" t="s">
        <v>3178</v>
      </c>
      <c r="G224" s="4" t="s">
        <v>3178</v>
      </c>
      <c r="H224" s="3">
        <v>0</v>
      </c>
      <c r="I224" s="5">
        <v>397.247893</v>
      </c>
      <c r="J224" s="6">
        <v>0</v>
      </c>
      <c r="K224" s="4" t="s">
        <v>3178</v>
      </c>
      <c r="L224" s="7">
        <v>0.754764657166842</v>
      </c>
      <c r="M224" s="3">
        <v>11.79</v>
      </c>
      <c r="N224" s="3">
        <v>5.78</v>
      </c>
    </row>
    <row r="225" spans="1:14">
      <c r="A225" s="8" t="s">
        <v>237</v>
      </c>
      <c r="B225" s="2">
        <f>HYPERLINK("https://www.suredividend.com/sure-analysis-research-database/","Aravive Inc")</f>
        <v>0</v>
      </c>
      <c r="C225" s="1" t="s">
        <v>3176</v>
      </c>
      <c r="D225" s="3">
        <v>0.0401</v>
      </c>
      <c r="E225" s="4">
        <v>0</v>
      </c>
      <c r="F225" s="4" t="s">
        <v>3178</v>
      </c>
      <c r="G225" s="4" t="s">
        <v>3178</v>
      </c>
      <c r="H225" s="3">
        <v>0</v>
      </c>
      <c r="I225" s="5">
        <v>0</v>
      </c>
      <c r="J225" s="6">
        <v>0</v>
      </c>
      <c r="K225" s="4">
        <v>-0</v>
      </c>
    </row>
    <row r="226" spans="1:14">
      <c r="A226" s="8" t="s">
        <v>238</v>
      </c>
      <c r="B226" s="2">
        <f>HYPERLINK("https://www.suredividend.com/sure-analysis-research-database/","Accuray Inc")</f>
        <v>0</v>
      </c>
      <c r="C226" s="1" t="s">
        <v>3176</v>
      </c>
      <c r="D226" s="3">
        <v>1.78</v>
      </c>
      <c r="E226" s="4">
        <v>0</v>
      </c>
      <c r="F226" s="4" t="s">
        <v>3178</v>
      </c>
      <c r="G226" s="4" t="s">
        <v>3178</v>
      </c>
      <c r="H226" s="3">
        <v>0</v>
      </c>
      <c r="I226" s="5">
        <v>176.654628</v>
      </c>
      <c r="J226" s="6" t="s">
        <v>3178</v>
      </c>
      <c r="K226" s="4">
        <v>-0</v>
      </c>
      <c r="L226" s="7">
        <v>1.564467179199758</v>
      </c>
      <c r="M226" s="3">
        <v>4.3</v>
      </c>
      <c r="N226" s="3">
        <v>1.46</v>
      </c>
    </row>
    <row r="227" spans="1:14">
      <c r="A227" s="8" t="s">
        <v>239</v>
      </c>
      <c r="B227" s="2">
        <f>HYPERLINK("https://www.suredividend.com/sure-analysis-research-database/","ARC Document Solutions Inc")</f>
        <v>0</v>
      </c>
      <c r="C227" s="1" t="s">
        <v>3179</v>
      </c>
      <c r="D227" s="3">
        <v>2.66</v>
      </c>
      <c r="E227" s="4">
        <v>0.073252878221591</v>
      </c>
      <c r="F227" s="4" t="s">
        <v>3178</v>
      </c>
      <c r="G227" s="4" t="s">
        <v>3178</v>
      </c>
      <c r="H227" s="3">
        <v>0.194852656069433</v>
      </c>
      <c r="I227" s="5">
        <v>114.857055</v>
      </c>
      <c r="J227" s="6">
        <v>13.12952160951075</v>
      </c>
      <c r="K227" s="4">
        <v>0.9646171092546189</v>
      </c>
      <c r="L227" s="7">
        <v>0.667661242565867</v>
      </c>
      <c r="M227" s="3">
        <v>3.45</v>
      </c>
      <c r="N227" s="3">
        <v>2.51</v>
      </c>
    </row>
    <row r="228" spans="1:14">
      <c r="A228" s="8" t="s">
        <v>240</v>
      </c>
      <c r="B228" s="2">
        <f>HYPERLINK("https://www.suredividend.com/sure-analysis-research-database/","ArcBest Corp")</f>
        <v>0</v>
      </c>
      <c r="C228" s="1" t="s">
        <v>3179</v>
      </c>
      <c r="D228" s="3">
        <v>108.42</v>
      </c>
      <c r="E228" s="4">
        <v>0.004416175936739</v>
      </c>
      <c r="F228" s="4">
        <v>0</v>
      </c>
      <c r="G228" s="4">
        <v>0.08447177119769855</v>
      </c>
      <c r="H228" s="3">
        <v>0.478801795061242</v>
      </c>
      <c r="I228" s="5">
        <v>2540.458517</v>
      </c>
      <c r="J228" s="6">
        <v>20.851118019173</v>
      </c>
      <c r="K228" s="4">
        <v>0.09537884363769762</v>
      </c>
      <c r="L228" s="7">
        <v>1.590002550398228</v>
      </c>
      <c r="M228" s="3">
        <v>153.28</v>
      </c>
      <c r="N228" s="3">
        <v>83.94</v>
      </c>
    </row>
    <row r="229" spans="1:14">
      <c r="A229" s="8" t="s">
        <v>241</v>
      </c>
      <c r="B229" s="2">
        <f>HYPERLINK("https://www.suredividend.com/sure-analysis-research-database/","Arch Resources Inc")</f>
        <v>0</v>
      </c>
      <c r="C229" s="1" t="s">
        <v>3185</v>
      </c>
      <c r="D229" s="3">
        <v>165.14</v>
      </c>
      <c r="E229" s="4">
        <v>0.047283828378896</v>
      </c>
      <c r="F229" s="4">
        <v>3.44</v>
      </c>
      <c r="G229" s="4">
        <v>0.1729259502673732</v>
      </c>
      <c r="H229" s="3">
        <v>7.808451418490975</v>
      </c>
      <c r="I229" s="5">
        <v>2991.747911</v>
      </c>
      <c r="J229" s="6">
        <v>9.29451978128699</v>
      </c>
      <c r="K229" s="4">
        <v>0.4593206716759397</v>
      </c>
      <c r="L229" s="7">
        <v>0.657408668174786</v>
      </c>
      <c r="M229" s="3">
        <v>186.37</v>
      </c>
      <c r="N229" s="3">
        <v>103.42</v>
      </c>
    </row>
    <row r="230" spans="1:14">
      <c r="A230" s="8" t="s">
        <v>242</v>
      </c>
      <c r="B230" s="2">
        <f>HYPERLINK("https://www.suredividend.com/sure-analysis-research-database/","Ardelyx Inc")</f>
        <v>0</v>
      </c>
      <c r="C230" s="1" t="s">
        <v>3176</v>
      </c>
      <c r="D230" s="3">
        <v>6.45</v>
      </c>
      <c r="E230" s="4">
        <v>0</v>
      </c>
      <c r="F230" s="4" t="s">
        <v>3178</v>
      </c>
      <c r="G230" s="4" t="s">
        <v>3178</v>
      </c>
      <c r="H230" s="3">
        <v>0</v>
      </c>
      <c r="I230" s="5">
        <v>1500.915</v>
      </c>
      <c r="J230" s="6">
        <v>0</v>
      </c>
      <c r="K230" s="4" t="s">
        <v>3178</v>
      </c>
      <c r="L230" s="7">
        <v>2.061482620262214</v>
      </c>
      <c r="M230" s="3">
        <v>10.13</v>
      </c>
      <c r="N230" s="3">
        <v>3.16</v>
      </c>
    </row>
    <row r="231" spans="1:14">
      <c r="A231" s="8" t="s">
        <v>243</v>
      </c>
      <c r="B231" s="2">
        <f>HYPERLINK("https://www.suredividend.com/sure-analysis-ARE/","Alexandria Real Estate Equities Inc.")</f>
        <v>0</v>
      </c>
      <c r="C231" s="1" t="s">
        <v>3183</v>
      </c>
      <c r="D231" s="3">
        <v>114.49</v>
      </c>
      <c r="E231" s="4">
        <v>0.04541881387020701</v>
      </c>
      <c r="F231" s="4">
        <v>0.04958677685950419</v>
      </c>
      <c r="G231" s="4">
        <v>0.0489643877677659</v>
      </c>
      <c r="H231" s="3">
        <v>4.942296400649167</v>
      </c>
      <c r="I231" s="5">
        <v>20022.37047</v>
      </c>
      <c r="J231" s="6">
        <v>108.7734849550724</v>
      </c>
      <c r="K231" s="4">
        <v>4.576200370971451</v>
      </c>
      <c r="L231" s="7">
        <v>1.454959340216744</v>
      </c>
      <c r="M231" s="3">
        <v>132.74</v>
      </c>
      <c r="N231" s="3">
        <v>88.92</v>
      </c>
    </row>
    <row r="232" spans="1:14">
      <c r="A232" s="8" t="s">
        <v>244</v>
      </c>
      <c r="B232" s="2">
        <f>HYPERLINK("https://www.suredividend.com/sure-analysis-research-database/","Ares Management Corp")</f>
        <v>0</v>
      </c>
      <c r="C232" s="1" t="s">
        <v>3180</v>
      </c>
      <c r="D232" s="3">
        <v>132.93</v>
      </c>
      <c r="E232" s="4">
        <v>0.024134268250393</v>
      </c>
      <c r="F232" s="4">
        <v>0.2077922077922079</v>
      </c>
      <c r="G232" s="4">
        <v>0.2378459328221834</v>
      </c>
      <c r="H232" s="3">
        <v>3.20816827852481</v>
      </c>
      <c r="I232" s="5">
        <v>25416.710633</v>
      </c>
      <c r="J232" s="6">
        <v>58.11858602304922</v>
      </c>
      <c r="K232" s="4">
        <v>1.458258308420368</v>
      </c>
      <c r="L232" s="7">
        <v>1.164856668002276</v>
      </c>
      <c r="M232" s="3">
        <v>150.12</v>
      </c>
      <c r="N232" s="3">
        <v>88.41</v>
      </c>
    </row>
    <row r="233" spans="1:14">
      <c r="A233" s="8" t="s">
        <v>245</v>
      </c>
      <c r="B233" s="2">
        <f>HYPERLINK("https://www.suredividend.com/sure-analysis-research-database/","Argo Group International Holdings Ltd")</f>
        <v>0</v>
      </c>
      <c r="C233" s="1" t="s">
        <v>3180</v>
      </c>
      <c r="D233" s="3">
        <v>29.99</v>
      </c>
      <c r="E233" s="4">
        <v>0.010336779005808</v>
      </c>
      <c r="F233" s="4" t="s">
        <v>3178</v>
      </c>
      <c r="G233" s="4" t="s">
        <v>3178</v>
      </c>
      <c r="H233" s="3">
        <v>0.310000002384185</v>
      </c>
      <c r="I233" s="5">
        <v>1056.113355</v>
      </c>
      <c r="J233" s="6" t="s">
        <v>3178</v>
      </c>
      <c r="K233" s="4" t="s">
        <v>3178</v>
      </c>
      <c r="M233" s="3">
        <v>30.13</v>
      </c>
      <c r="N233" s="3">
        <v>24.35</v>
      </c>
    </row>
    <row r="234" spans="1:14">
      <c r="A234" s="8" t="s">
        <v>246</v>
      </c>
      <c r="B234" s="2">
        <f>HYPERLINK("https://www.suredividend.com/sure-analysis-ARI/","Apollo Commercial Real Estate Finance Inc")</f>
        <v>0</v>
      </c>
      <c r="C234" s="1" t="s">
        <v>3183</v>
      </c>
      <c r="D234" s="3">
        <v>9.949999999999999</v>
      </c>
      <c r="E234" s="4">
        <v>0.1407035175879397</v>
      </c>
      <c r="F234" s="4">
        <v>0</v>
      </c>
      <c r="G234" s="4">
        <v>-0.05319173028852708</v>
      </c>
      <c r="H234" s="3">
        <v>1.336830955380965</v>
      </c>
      <c r="I234" s="5">
        <v>1414.51394</v>
      </c>
      <c r="J234" s="6" t="s">
        <v>3178</v>
      </c>
      <c r="K234" s="4" t="s">
        <v>3178</v>
      </c>
      <c r="L234" s="7">
        <v>1.424324980273872</v>
      </c>
      <c r="M234" s="3">
        <v>12</v>
      </c>
      <c r="N234" s="3">
        <v>8.68</v>
      </c>
    </row>
    <row r="235" spans="1:14">
      <c r="A235" s="8" t="s">
        <v>247</v>
      </c>
      <c r="B235" s="2">
        <f>HYPERLINK("https://www.suredividend.com/sure-analysis-research-database/","Ark Restaurants Corp.")</f>
        <v>0</v>
      </c>
      <c r="C235" s="1" t="s">
        <v>3182</v>
      </c>
      <c r="D235" s="3">
        <v>14.42</v>
      </c>
      <c r="E235" s="4">
        <v>0.048651338596937</v>
      </c>
      <c r="F235" s="4" t="s">
        <v>3178</v>
      </c>
      <c r="G235" s="4" t="s">
        <v>3178</v>
      </c>
      <c r="H235" s="3">
        <v>0.723445404936455</v>
      </c>
      <c r="I235" s="5">
        <v>53.593815</v>
      </c>
      <c r="J235" s="6">
        <v>0</v>
      </c>
      <c r="K235" s="4" t="s">
        <v>3178</v>
      </c>
      <c r="M235" s="3">
        <v>17.03</v>
      </c>
      <c r="N235" s="3">
        <v>9.779999999999999</v>
      </c>
    </row>
    <row r="236" spans="1:14">
      <c r="A236" s="8" t="s">
        <v>248</v>
      </c>
      <c r="B236" s="2">
        <f>HYPERLINK("https://www.suredividend.com/sure-analysis-research-database/","American Realty Investors Inc.")</f>
        <v>0</v>
      </c>
      <c r="C236" s="1" t="s">
        <v>3183</v>
      </c>
      <c r="D236" s="3">
        <v>13.86</v>
      </c>
      <c r="E236" s="4">
        <v>0</v>
      </c>
      <c r="F236" s="4" t="s">
        <v>3178</v>
      </c>
      <c r="G236" s="4" t="s">
        <v>3178</v>
      </c>
      <c r="H236" s="3">
        <v>0</v>
      </c>
      <c r="I236" s="5">
        <v>223.867316</v>
      </c>
      <c r="J236" s="6">
        <v>81.67359211236774</v>
      </c>
      <c r="K236" s="4">
        <v>0</v>
      </c>
      <c r="L236" s="7">
        <v>0.529090172876422</v>
      </c>
      <c r="M236" s="3">
        <v>25.96</v>
      </c>
      <c r="N236" s="3">
        <v>11.69</v>
      </c>
    </row>
    <row r="237" spans="1:14">
      <c r="A237" s="8" t="s">
        <v>249</v>
      </c>
      <c r="B237" s="2">
        <f>HYPERLINK("https://www.suredividend.com/sure-analysis-research-database/","Arlo Technologies Inc")</f>
        <v>0</v>
      </c>
      <c r="C237" s="1" t="s">
        <v>3179</v>
      </c>
      <c r="D237" s="3">
        <v>13.41</v>
      </c>
      <c r="E237" s="4">
        <v>0</v>
      </c>
      <c r="F237" s="4" t="s">
        <v>3178</v>
      </c>
      <c r="G237" s="4" t="s">
        <v>3178</v>
      </c>
      <c r="H237" s="3">
        <v>0</v>
      </c>
      <c r="I237" s="5">
        <v>1308.538614</v>
      </c>
      <c r="J237" s="6" t="s">
        <v>3178</v>
      </c>
      <c r="K237" s="4">
        <v>-0</v>
      </c>
      <c r="L237" s="7">
        <v>2.036300326614702</v>
      </c>
      <c r="M237" s="3">
        <v>14.52</v>
      </c>
      <c r="N237" s="3">
        <v>7.77</v>
      </c>
    </row>
    <row r="238" spans="1:14">
      <c r="A238" s="8" t="s">
        <v>250</v>
      </c>
      <c r="B238" s="2">
        <f>HYPERLINK("https://www.suredividend.com/sure-analysis-research-database/","Aramark")</f>
        <v>0</v>
      </c>
      <c r="C238" s="1" t="s">
        <v>3182</v>
      </c>
      <c r="D238" s="3">
        <v>33.25</v>
      </c>
      <c r="E238" s="4">
        <v>0.011823061243085</v>
      </c>
      <c r="F238" s="4">
        <v>-0.1363636363636364</v>
      </c>
      <c r="G238" s="4">
        <v>-0.0288950138320514</v>
      </c>
      <c r="H238" s="3">
        <v>0.393116786332606</v>
      </c>
      <c r="I238" s="5">
        <v>8744.484399000001</v>
      </c>
      <c r="J238" s="6">
        <v>13.97103439521586</v>
      </c>
      <c r="K238" s="4">
        <v>0.1975461237852292</v>
      </c>
      <c r="L238" s="7">
        <v>0.8030802476583201</v>
      </c>
      <c r="M238" s="3">
        <v>43.7</v>
      </c>
      <c r="N238" s="3">
        <v>23.73</v>
      </c>
    </row>
    <row r="239" spans="1:14">
      <c r="A239" s="8" t="s">
        <v>251</v>
      </c>
      <c r="B239" s="2">
        <f>HYPERLINK("https://www.suredividend.com/sure-analysis-research-database/","Armata Pharmaceuticals Inc")</f>
        <v>0</v>
      </c>
      <c r="C239" s="1" t="s">
        <v>3176</v>
      </c>
      <c r="D239" s="3">
        <v>2.72</v>
      </c>
      <c r="E239" s="4">
        <v>0</v>
      </c>
      <c r="F239" s="4" t="s">
        <v>3178</v>
      </c>
      <c r="G239" s="4" t="s">
        <v>3178</v>
      </c>
      <c r="H239" s="3">
        <v>0</v>
      </c>
      <c r="I239" s="5">
        <v>98.340558</v>
      </c>
      <c r="J239" s="6">
        <v>0</v>
      </c>
      <c r="K239" s="4" t="s">
        <v>3178</v>
      </c>
      <c r="L239" s="7">
        <v>0.7958101340777111</v>
      </c>
      <c r="M239" s="3">
        <v>5.26</v>
      </c>
      <c r="N239" s="3">
        <v>1.07</v>
      </c>
    </row>
    <row r="240" spans="1:14">
      <c r="A240" s="8" t="s">
        <v>252</v>
      </c>
      <c r="B240" s="2">
        <f>HYPERLINK("https://www.suredividend.com/sure-analysis-research-database/","Arena Pharmaceuticals Inc")</f>
        <v>0</v>
      </c>
      <c r="C240" s="1" t="s">
        <v>3176</v>
      </c>
      <c r="D240" s="3">
        <v>99.98999999999999</v>
      </c>
      <c r="E240" s="4">
        <v>0</v>
      </c>
      <c r="F240" s="4" t="s">
        <v>3178</v>
      </c>
      <c r="G240" s="4" t="s">
        <v>3178</v>
      </c>
      <c r="H240" s="3">
        <v>0</v>
      </c>
      <c r="I240" s="5">
        <v>0</v>
      </c>
      <c r="J240" s="6">
        <v>0</v>
      </c>
      <c r="K240" s="4">
        <v>-0</v>
      </c>
    </row>
    <row r="241" spans="1:14">
      <c r="A241" s="8" t="s">
        <v>253</v>
      </c>
      <c r="B241" s="2">
        <f>HYPERLINK("https://www.suredividend.com/sure-analysis-research-database/","Arconic Corporation")</f>
        <v>0</v>
      </c>
      <c r="C241" s="1" t="s">
        <v>3179</v>
      </c>
      <c r="D241" s="3">
        <v>29.99</v>
      </c>
      <c r="E241" s="4">
        <v>0</v>
      </c>
      <c r="F241" s="4" t="s">
        <v>3178</v>
      </c>
      <c r="G241" s="4" t="s">
        <v>3178</v>
      </c>
      <c r="H241" s="3">
        <v>0</v>
      </c>
      <c r="I241" s="5">
        <v>3009.390455</v>
      </c>
      <c r="J241" s="6" t="s">
        <v>3178</v>
      </c>
      <c r="K241" s="4">
        <v>-0</v>
      </c>
      <c r="L241" s="7">
        <v>1.237765426568983</v>
      </c>
      <c r="M241" s="3">
        <v>30.02</v>
      </c>
      <c r="N241" s="3">
        <v>16.33</v>
      </c>
    </row>
    <row r="242" spans="1:14">
      <c r="A242" s="8" t="s">
        <v>254</v>
      </c>
      <c r="B242" s="2">
        <f>HYPERLINK("https://www.suredividend.com/sure-analysis-research-database/","Archrock Inc")</f>
        <v>0</v>
      </c>
      <c r="C242" s="1" t="s">
        <v>3185</v>
      </c>
      <c r="D242" s="3">
        <v>18.91</v>
      </c>
      <c r="E242" s="4">
        <v>0.03338686650453</v>
      </c>
      <c r="F242" s="4">
        <v>0.1000000000000001</v>
      </c>
      <c r="G242" s="4">
        <v>0.02617915477537269</v>
      </c>
      <c r="H242" s="3">
        <v>0.6313456456006641</v>
      </c>
      <c r="I242" s="5">
        <v>2955.376902</v>
      </c>
      <c r="J242" s="6">
        <v>23.24012441804871</v>
      </c>
      <c r="K242" s="4">
        <v>0.7665682923757456</v>
      </c>
      <c r="L242" s="7">
        <v>0.8316605536107221</v>
      </c>
      <c r="M242" s="3">
        <v>21.61</v>
      </c>
      <c r="N242" s="3">
        <v>9.18</v>
      </c>
    </row>
    <row r="243" spans="1:14">
      <c r="A243" s="8" t="s">
        <v>255</v>
      </c>
      <c r="B243" s="2">
        <f>HYPERLINK("https://www.suredividend.com/sure-analysis-AROW/","Arrow Financial Corp.")</f>
        <v>0</v>
      </c>
      <c r="C243" s="1" t="s">
        <v>3180</v>
      </c>
      <c r="D243" s="3">
        <v>25.18</v>
      </c>
      <c r="E243" s="4">
        <v>0.04289118347895155</v>
      </c>
      <c r="F243" s="4">
        <v>0</v>
      </c>
      <c r="G243" s="4">
        <v>0.007576624052174186</v>
      </c>
      <c r="H243" s="3">
        <v>1.037508365224513</v>
      </c>
      <c r="I243" s="5">
        <v>420.45919</v>
      </c>
      <c r="J243" s="6">
        <v>13.97942581972936</v>
      </c>
      <c r="K243" s="4">
        <v>0.5861629182059395</v>
      </c>
      <c r="L243" s="7">
        <v>0.744346069539205</v>
      </c>
      <c r="M243" s="3">
        <v>28.36</v>
      </c>
      <c r="N243" s="3">
        <v>15.1</v>
      </c>
    </row>
    <row r="244" spans="1:14">
      <c r="A244" s="8" t="s">
        <v>256</v>
      </c>
      <c r="B244" s="2">
        <f>HYPERLINK("https://www.suredividend.com/sure-analysis-research-database/","Aerpio Pharmaceuticals Inc")</f>
        <v>0</v>
      </c>
      <c r="C244" s="1" t="s">
        <v>3176</v>
      </c>
      <c r="D244" s="3">
        <v>2.2</v>
      </c>
      <c r="E244" s="4">
        <v>0</v>
      </c>
      <c r="F244" s="4" t="s">
        <v>3178</v>
      </c>
      <c r="G244" s="4" t="s">
        <v>3178</v>
      </c>
      <c r="H244" s="3">
        <v>0</v>
      </c>
      <c r="I244" s="5">
        <v>104.853082</v>
      </c>
      <c r="J244" s="6">
        <v>0</v>
      </c>
      <c r="K244" s="4" t="s">
        <v>3178</v>
      </c>
      <c r="M244" s="3">
        <v>3.32</v>
      </c>
      <c r="N244" s="3">
        <v>0.9541000000000001</v>
      </c>
    </row>
    <row r="245" spans="1:14">
      <c r="A245" s="8" t="s">
        <v>257</v>
      </c>
      <c r="B245" s="2">
        <f>HYPERLINK("https://www.suredividend.com/sure-analysis-ARR/","ARMOUR Residential REIT Inc")</f>
        <v>0</v>
      </c>
      <c r="C245" s="1" t="s">
        <v>3183</v>
      </c>
      <c r="D245" s="3">
        <v>19.55</v>
      </c>
      <c r="E245" s="4">
        <v>0.1473145780051151</v>
      </c>
      <c r="F245" s="4">
        <v>0</v>
      </c>
      <c r="G245" s="4">
        <v>0.1913578981670916</v>
      </c>
      <c r="H245" s="3">
        <v>3.646087759863772</v>
      </c>
      <c r="I245" s="5">
        <v>953.097807</v>
      </c>
      <c r="J245" s="6" t="s">
        <v>3178</v>
      </c>
      <c r="K245" s="4" t="s">
        <v>3178</v>
      </c>
      <c r="L245" s="7">
        <v>1.49277034779159</v>
      </c>
      <c r="M245" s="3">
        <v>22.89</v>
      </c>
      <c r="N245" s="3">
        <v>11.96</v>
      </c>
    </row>
    <row r="246" spans="1:14">
      <c r="A246" s="8" t="s">
        <v>258</v>
      </c>
      <c r="B246" s="2">
        <f>HYPERLINK("https://www.suredividend.com/sure-analysis-ARTNA/","Artesian Resources Corp.")</f>
        <v>0</v>
      </c>
      <c r="C246" s="1" t="s">
        <v>3186</v>
      </c>
      <c r="D246" s="3">
        <v>34.13</v>
      </c>
      <c r="E246" s="4">
        <v>0.03457368883680047</v>
      </c>
      <c r="F246" s="4">
        <v>0.04049295774647899</v>
      </c>
      <c r="G246" s="4">
        <v>0.03433823946935166</v>
      </c>
      <c r="H246" s="3">
        <v>1.13362230283636</v>
      </c>
      <c r="I246" s="5">
        <v>321.053606</v>
      </c>
      <c r="J246" s="6">
        <v>18.44605608618213</v>
      </c>
      <c r="K246" s="4">
        <v>0.6668366487272704</v>
      </c>
      <c r="L246" s="7">
        <v>0.591573698832914</v>
      </c>
      <c r="M246" s="3">
        <v>47.8</v>
      </c>
      <c r="N246" s="3">
        <v>32.93</v>
      </c>
    </row>
    <row r="247" spans="1:14">
      <c r="A247" s="8" t="s">
        <v>259</v>
      </c>
      <c r="B247" s="2">
        <f>HYPERLINK("https://www.suredividend.com/sure-analysis-research-database/","Art`s-way Manufacturing Co. Inc.")</f>
        <v>0</v>
      </c>
      <c r="C247" s="1" t="s">
        <v>3179</v>
      </c>
      <c r="D247" s="3">
        <v>1.68</v>
      </c>
      <c r="E247" s="4">
        <v>0</v>
      </c>
      <c r="F247" s="4" t="s">
        <v>3178</v>
      </c>
      <c r="G247" s="4" t="s">
        <v>3178</v>
      </c>
      <c r="H247" s="3">
        <v>0</v>
      </c>
      <c r="I247" s="5">
        <v>8.514589000000001</v>
      </c>
      <c r="J247" s="6">
        <v>0</v>
      </c>
      <c r="K247" s="4" t="s">
        <v>3178</v>
      </c>
      <c r="M247" s="3">
        <v>2.9</v>
      </c>
      <c r="N247" s="3">
        <v>1.66</v>
      </c>
    </row>
    <row r="248" spans="1:14">
      <c r="A248" s="8" t="s">
        <v>260</v>
      </c>
      <c r="B248" s="2">
        <f>HYPERLINK("https://www.suredividend.com/sure-analysis-research-database/","Arvinas Inc")</f>
        <v>0</v>
      </c>
      <c r="C248" s="1" t="s">
        <v>3176</v>
      </c>
      <c r="D248" s="3">
        <v>26.69</v>
      </c>
      <c r="E248" s="4">
        <v>0</v>
      </c>
      <c r="F248" s="4" t="s">
        <v>3178</v>
      </c>
      <c r="G248" s="4" t="s">
        <v>3178</v>
      </c>
      <c r="H248" s="3">
        <v>0</v>
      </c>
      <c r="I248" s="5">
        <v>1826.447171</v>
      </c>
      <c r="J248" s="6" t="s">
        <v>3178</v>
      </c>
      <c r="K248" s="4">
        <v>-0</v>
      </c>
      <c r="L248" s="7">
        <v>1.82042817849403</v>
      </c>
      <c r="M248" s="3">
        <v>53.08</v>
      </c>
      <c r="N248" s="3">
        <v>13.57</v>
      </c>
    </row>
    <row r="249" spans="1:14">
      <c r="A249" s="8" t="s">
        <v>261</v>
      </c>
      <c r="B249" s="2">
        <f>HYPERLINK("https://www.suredividend.com/sure-analysis-research-database/","Arrow Electronics Inc.")</f>
        <v>0</v>
      </c>
      <c r="C249" s="1" t="s">
        <v>3181</v>
      </c>
      <c r="D249" s="3">
        <v>131.69</v>
      </c>
      <c r="E249" s="4">
        <v>0</v>
      </c>
      <c r="F249" s="4" t="s">
        <v>3178</v>
      </c>
      <c r="G249" s="4" t="s">
        <v>3178</v>
      </c>
      <c r="H249" s="3">
        <v>0</v>
      </c>
      <c r="I249" s="5">
        <v>7009.839737</v>
      </c>
      <c r="J249" s="6">
        <v>9.826565889457717</v>
      </c>
      <c r="K249" s="4">
        <v>0</v>
      </c>
      <c r="L249" s="7">
        <v>1.017265103190822</v>
      </c>
      <c r="M249" s="3">
        <v>147.42</v>
      </c>
      <c r="N249" s="3">
        <v>108.51</v>
      </c>
    </row>
    <row r="250" spans="1:14">
      <c r="A250" s="8" t="s">
        <v>262</v>
      </c>
      <c r="B250" s="2">
        <f>HYPERLINK("https://www.suredividend.com/sure-analysis-research-database/","Arrowhead Pharmaceuticals Inc.")</f>
        <v>0</v>
      </c>
      <c r="C250" s="1" t="s">
        <v>3176</v>
      </c>
      <c r="D250" s="3">
        <v>23.91</v>
      </c>
      <c r="E250" s="4">
        <v>0</v>
      </c>
      <c r="F250" s="4" t="s">
        <v>3178</v>
      </c>
      <c r="G250" s="4" t="s">
        <v>3178</v>
      </c>
      <c r="H250" s="3">
        <v>0</v>
      </c>
      <c r="I250" s="5">
        <v>2969.627499</v>
      </c>
      <c r="J250" s="6" t="s">
        <v>3178</v>
      </c>
      <c r="K250" s="4">
        <v>-0</v>
      </c>
      <c r="L250" s="7">
        <v>1.616738755515706</v>
      </c>
      <c r="M250" s="3">
        <v>39.83</v>
      </c>
      <c r="N250" s="3">
        <v>20.67</v>
      </c>
    </row>
    <row r="251" spans="1:14">
      <c r="A251" s="8" t="s">
        <v>263</v>
      </c>
      <c r="B251" s="2">
        <f>HYPERLINK("https://www.suredividend.com/sure-analysis-ASB/","Associated Banc-Corp.")</f>
        <v>0</v>
      </c>
      <c r="C251" s="1" t="s">
        <v>3180</v>
      </c>
      <c r="D251" s="3">
        <v>20.58</v>
      </c>
      <c r="E251" s="4">
        <v>0.04275996112730807</v>
      </c>
      <c r="F251" s="4">
        <v>0.04761904761904767</v>
      </c>
      <c r="G251" s="4">
        <v>0.05291848906511043</v>
      </c>
      <c r="H251" s="3">
        <v>0.8562490804522941</v>
      </c>
      <c r="I251" s="5">
        <v>3103.527057</v>
      </c>
      <c r="J251" s="6">
        <v>20.93681607415353</v>
      </c>
      <c r="K251" s="4">
        <v>0.8716777771070895</v>
      </c>
      <c r="L251" s="7">
        <v>1.121117126822511</v>
      </c>
      <c r="M251" s="3">
        <v>22.54</v>
      </c>
      <c r="N251" s="3">
        <v>14.66</v>
      </c>
    </row>
    <row r="252" spans="1:14">
      <c r="A252" s="8" t="s">
        <v>264</v>
      </c>
      <c r="B252" s="2">
        <f>HYPERLINK("https://www.suredividend.com/sure-analysis-research-database/","ASGN Inc")</f>
        <v>0</v>
      </c>
      <c r="C252" s="1" t="s">
        <v>3179</v>
      </c>
      <c r="D252" s="3">
        <v>93.73</v>
      </c>
      <c r="E252" s="4">
        <v>0</v>
      </c>
      <c r="F252" s="4" t="s">
        <v>3178</v>
      </c>
      <c r="G252" s="4" t="s">
        <v>3178</v>
      </c>
      <c r="H252" s="3">
        <v>0</v>
      </c>
      <c r="I252" s="5">
        <v>4302.207</v>
      </c>
      <c r="J252" s="6">
        <v>20.69363636363637</v>
      </c>
      <c r="K252" s="4">
        <v>0</v>
      </c>
      <c r="L252" s="7">
        <v>1.151279805724994</v>
      </c>
      <c r="M252" s="3">
        <v>106.42</v>
      </c>
      <c r="N252" s="3">
        <v>69.2</v>
      </c>
    </row>
    <row r="253" spans="1:14">
      <c r="A253" s="8" t="s">
        <v>265</v>
      </c>
      <c r="B253" s="2">
        <f>HYPERLINK("https://www.suredividend.com/sure-analysis-research-database/","Ashland Inc")</f>
        <v>0</v>
      </c>
      <c r="C253" s="1" t="s">
        <v>3177</v>
      </c>
      <c r="D253" s="3">
        <v>100.13</v>
      </c>
      <c r="E253" s="4">
        <v>0.015482673435784</v>
      </c>
      <c r="F253" s="4">
        <v>0.05194805194805197</v>
      </c>
      <c r="G253" s="4">
        <v>0.08049924032577382</v>
      </c>
      <c r="H253" s="3">
        <v>1.550280091125097</v>
      </c>
      <c r="I253" s="5">
        <v>5019.260968</v>
      </c>
      <c r="J253" s="6">
        <v>26.00653351150259</v>
      </c>
      <c r="K253" s="4">
        <v>0.4178652536725329</v>
      </c>
      <c r="L253" s="7">
        <v>0.5831315931161171</v>
      </c>
      <c r="M253" s="3">
        <v>100.98</v>
      </c>
      <c r="N253" s="3">
        <v>69.90000000000001</v>
      </c>
    </row>
    <row r="254" spans="1:14">
      <c r="A254" s="8" t="s">
        <v>266</v>
      </c>
      <c r="B254" s="2">
        <f>HYPERLINK("https://www.suredividend.com/sure-analysis-research-database/","AdvanSix Inc")</f>
        <v>0</v>
      </c>
      <c r="C254" s="1" t="s">
        <v>3177</v>
      </c>
      <c r="D254" s="3">
        <v>23.57</v>
      </c>
      <c r="E254" s="4">
        <v>0.026901418201052</v>
      </c>
      <c r="F254" s="4" t="s">
        <v>3178</v>
      </c>
      <c r="G254" s="4" t="s">
        <v>3178</v>
      </c>
      <c r="H254" s="3">
        <v>0.6340664269988151</v>
      </c>
      <c r="I254" s="5">
        <v>632.12251</v>
      </c>
      <c r="J254" s="6">
        <v>278.1005323713155</v>
      </c>
      <c r="K254" s="4">
        <v>7.694980910179795</v>
      </c>
      <c r="L254" s="7">
        <v>0.9267857883782231</v>
      </c>
      <c r="M254" s="3">
        <v>39.93</v>
      </c>
      <c r="N254" s="3">
        <v>21.41</v>
      </c>
    </row>
    <row r="255" spans="1:14">
      <c r="A255" s="8" t="s">
        <v>267</v>
      </c>
      <c r="B255" s="2">
        <f>HYPERLINK("https://www.suredividend.com/sure-analysis-research-database/","Assembly Biosciences Inc")</f>
        <v>0</v>
      </c>
      <c r="C255" s="1" t="s">
        <v>3176</v>
      </c>
      <c r="D255" s="3">
        <v>14.28</v>
      </c>
      <c r="E255" s="4">
        <v>0</v>
      </c>
      <c r="F255" s="4" t="s">
        <v>3178</v>
      </c>
      <c r="G255" s="4" t="s">
        <v>3178</v>
      </c>
      <c r="H255" s="3">
        <v>0</v>
      </c>
      <c r="I255" s="5">
        <v>78.73003799999999</v>
      </c>
      <c r="J255" s="6">
        <v>0</v>
      </c>
      <c r="K255" s="4" t="s">
        <v>3178</v>
      </c>
      <c r="L255" s="7">
        <v>1.138187230214384</v>
      </c>
      <c r="M255" s="3">
        <v>20.04</v>
      </c>
      <c r="N255" s="3">
        <v>7.69</v>
      </c>
    </row>
    <row r="256" spans="1:14">
      <c r="A256" s="8" t="s">
        <v>268</v>
      </c>
      <c r="B256" s="2">
        <f>HYPERLINK("https://www.suredividend.com/sure-analysis-research-database/","Aspen Aerogels Inc.")</f>
        <v>0</v>
      </c>
      <c r="C256" s="1" t="s">
        <v>3179</v>
      </c>
      <c r="D256" s="3">
        <v>30.21</v>
      </c>
      <c r="E256" s="4">
        <v>0</v>
      </c>
      <c r="F256" s="4" t="s">
        <v>3178</v>
      </c>
      <c r="G256" s="4" t="s">
        <v>3178</v>
      </c>
      <c r="H256" s="3">
        <v>0</v>
      </c>
      <c r="I256" s="5">
        <v>2300.830154</v>
      </c>
      <c r="J256" s="6" t="s">
        <v>3178</v>
      </c>
      <c r="K256" s="4">
        <v>-0</v>
      </c>
      <c r="M256" s="3">
        <v>31.74</v>
      </c>
      <c r="N256" s="3">
        <v>5.33</v>
      </c>
    </row>
    <row r="257" spans="1:14">
      <c r="A257" s="8" t="s">
        <v>269</v>
      </c>
      <c r="B257" s="2">
        <f>HYPERLINK("https://www.suredividend.com/sure-analysis-research-database/","Altisource Portfolio Solutions S.A.")</f>
        <v>0</v>
      </c>
      <c r="C257" s="1" t="s">
        <v>3180</v>
      </c>
      <c r="D257" s="3">
        <v>1.94</v>
      </c>
      <c r="E257" s="4">
        <v>0</v>
      </c>
      <c r="F257" s="4" t="s">
        <v>3178</v>
      </c>
      <c r="G257" s="4" t="s">
        <v>3178</v>
      </c>
      <c r="H257" s="3">
        <v>0</v>
      </c>
      <c r="I257" s="5">
        <v>52.301791</v>
      </c>
      <c r="J257" s="6" t="s">
        <v>3178</v>
      </c>
      <c r="K257" s="4">
        <v>-0</v>
      </c>
      <c r="L257" s="7">
        <v>0.598139058475715</v>
      </c>
      <c r="M257" s="3">
        <v>6.79</v>
      </c>
      <c r="N257" s="3">
        <v>1.38</v>
      </c>
    </row>
    <row r="258" spans="1:14">
      <c r="A258" s="8" t="s">
        <v>270</v>
      </c>
      <c r="B258" s="2">
        <f>HYPERLINK("https://www.suredividend.com/sure-analysis-research-database/","Aspen Group Inc")</f>
        <v>0</v>
      </c>
      <c r="C258" s="1" t="s">
        <v>3184</v>
      </c>
      <c r="D258" s="3">
        <v>0.231</v>
      </c>
      <c r="E258" s="4">
        <v>0</v>
      </c>
      <c r="F258" s="4" t="s">
        <v>3178</v>
      </c>
      <c r="G258" s="4" t="s">
        <v>3178</v>
      </c>
      <c r="H258" s="3">
        <v>0</v>
      </c>
      <c r="I258" s="5">
        <v>5.186348</v>
      </c>
      <c r="J258" s="6">
        <v>0</v>
      </c>
      <c r="K258" s="4" t="s">
        <v>3178</v>
      </c>
      <c r="M258" s="3">
        <v>0.28</v>
      </c>
      <c r="N258" s="3">
        <v>0.1015</v>
      </c>
    </row>
    <row r="259" spans="1:14">
      <c r="A259" s="8" t="s">
        <v>271</v>
      </c>
      <c r="B259" s="2">
        <f>HYPERLINK("https://www.suredividend.com/sure-analysis-research-database/","Assertio Holdings Inc")</f>
        <v>0</v>
      </c>
      <c r="C259" s="1" t="s">
        <v>3176</v>
      </c>
      <c r="D259" s="3">
        <v>0.9913000000000001</v>
      </c>
      <c r="E259" s="4">
        <v>0</v>
      </c>
      <c r="F259" s="4" t="s">
        <v>3178</v>
      </c>
      <c r="G259" s="4" t="s">
        <v>3178</v>
      </c>
      <c r="H259" s="3">
        <v>0</v>
      </c>
      <c r="I259" s="5">
        <v>94.297021</v>
      </c>
      <c r="J259" s="6" t="s">
        <v>3178</v>
      </c>
      <c r="K259" s="4">
        <v>-0</v>
      </c>
      <c r="L259" s="7">
        <v>2.14721513883382</v>
      </c>
      <c r="M259" s="3">
        <v>6.41</v>
      </c>
      <c r="N259" s="3">
        <v>0.7324000000000001</v>
      </c>
    </row>
    <row r="260" spans="1:14">
      <c r="A260" s="8" t="s">
        <v>272</v>
      </c>
      <c r="B260" s="2">
        <f>HYPERLINK("https://www.suredividend.com/sure-analysis-research-database/","Ameriserv Financial Inc")</f>
        <v>0</v>
      </c>
      <c r="C260" s="1" t="s">
        <v>3180</v>
      </c>
      <c r="D260" s="3">
        <v>2.4144</v>
      </c>
      <c r="E260" s="4">
        <v>0.04849961866442101</v>
      </c>
      <c r="F260" s="4" t="s">
        <v>3178</v>
      </c>
      <c r="G260" s="4" t="s">
        <v>3178</v>
      </c>
      <c r="H260" s="3">
        <v>0.11709747930338</v>
      </c>
      <c r="I260" s="5">
        <v>41.400369</v>
      </c>
      <c r="J260" s="6" t="s">
        <v>3178</v>
      </c>
      <c r="K260" s="4" t="s">
        <v>3178</v>
      </c>
      <c r="L260" s="7">
        <v>0.333211105709084</v>
      </c>
      <c r="M260" s="3">
        <v>3.29</v>
      </c>
      <c r="N260" s="3">
        <v>2.22</v>
      </c>
    </row>
    <row r="261" spans="1:14">
      <c r="A261" s="8" t="s">
        <v>273</v>
      </c>
      <c r="B261" s="2">
        <f>HYPERLINK("https://www.suredividend.com/sure-analysis-research-database/","Astrotech Corp")</f>
        <v>0</v>
      </c>
      <c r="C261" s="1" t="s">
        <v>3179</v>
      </c>
      <c r="D261" s="3">
        <v>9.42</v>
      </c>
      <c r="E261" s="4">
        <v>0</v>
      </c>
      <c r="F261" s="4" t="s">
        <v>3178</v>
      </c>
      <c r="G261" s="4" t="s">
        <v>3178</v>
      </c>
      <c r="H261" s="3">
        <v>0</v>
      </c>
      <c r="I261" s="5">
        <v>16.030287</v>
      </c>
      <c r="J261" s="6" t="s">
        <v>3178</v>
      </c>
      <c r="K261" s="4">
        <v>-0</v>
      </c>
      <c r="M261" s="3">
        <v>15.11</v>
      </c>
      <c r="N261" s="3">
        <v>7</v>
      </c>
    </row>
    <row r="262" spans="1:14">
      <c r="A262" s="8" t="s">
        <v>274</v>
      </c>
      <c r="B262" s="2">
        <f>HYPERLINK("https://www.suredividend.com/sure-analysis-research-database/","Astec Industries Inc.")</f>
        <v>0</v>
      </c>
      <c r="C262" s="1" t="s">
        <v>3179</v>
      </c>
      <c r="D262" s="3">
        <v>31.04</v>
      </c>
      <c r="E262" s="4">
        <v>0.016598068434171</v>
      </c>
      <c r="F262" s="4">
        <v>0</v>
      </c>
      <c r="G262" s="4">
        <v>0.03397522653195018</v>
      </c>
      <c r="H262" s="3">
        <v>0.5152040441966831</v>
      </c>
      <c r="I262" s="5">
        <v>706.635781</v>
      </c>
      <c r="J262" s="6">
        <v>28.49337827096774</v>
      </c>
      <c r="K262" s="4">
        <v>0.4726642607309019</v>
      </c>
      <c r="L262" s="7">
        <v>0.9901652653810371</v>
      </c>
      <c r="M262" s="3">
        <v>55.27</v>
      </c>
      <c r="N262" s="3">
        <v>28.42</v>
      </c>
    </row>
    <row r="263" spans="1:14">
      <c r="A263" s="8" t="s">
        <v>275</v>
      </c>
      <c r="B263" s="2">
        <f>HYPERLINK("https://www.suredividend.com/sure-analysis-research-database/","Asure Software Inc")</f>
        <v>0</v>
      </c>
      <c r="C263" s="1" t="s">
        <v>3181</v>
      </c>
      <c r="D263" s="3">
        <v>7.69</v>
      </c>
      <c r="E263" s="4">
        <v>0</v>
      </c>
      <c r="F263" s="4" t="s">
        <v>3178</v>
      </c>
      <c r="G263" s="4" t="s">
        <v>3178</v>
      </c>
      <c r="H263" s="3">
        <v>0</v>
      </c>
      <c r="I263" s="5">
        <v>198.502485</v>
      </c>
      <c r="J263" s="6" t="s">
        <v>3178</v>
      </c>
      <c r="K263" s="4">
        <v>-0</v>
      </c>
      <c r="L263" s="7">
        <v>1.156685660241352</v>
      </c>
      <c r="M263" s="3">
        <v>15.54</v>
      </c>
      <c r="N263" s="3">
        <v>6.31</v>
      </c>
    </row>
    <row r="264" spans="1:14">
      <c r="A264" s="8" t="s">
        <v>276</v>
      </c>
      <c r="B264" s="2">
        <f>HYPERLINK("https://www.suredividend.com/sure-analysis-research-database/","Amtech Systems Inc.")</f>
        <v>0</v>
      </c>
      <c r="C264" s="1" t="s">
        <v>3181</v>
      </c>
      <c r="D264" s="3">
        <v>6.02</v>
      </c>
      <c r="E264" s="4">
        <v>0</v>
      </c>
      <c r="F264" s="4" t="s">
        <v>3178</v>
      </c>
      <c r="G264" s="4" t="s">
        <v>3178</v>
      </c>
      <c r="H264" s="3">
        <v>0</v>
      </c>
      <c r="I264" s="5">
        <v>85.536946</v>
      </c>
      <c r="J264" s="6" t="s">
        <v>3178</v>
      </c>
      <c r="K264" s="4">
        <v>-0</v>
      </c>
      <c r="L264" s="7">
        <v>0.496458016678302</v>
      </c>
      <c r="M264" s="3">
        <v>11.98</v>
      </c>
      <c r="N264" s="3">
        <v>3.37</v>
      </c>
    </row>
    <row r="265" spans="1:14">
      <c r="A265" s="8" t="s">
        <v>277</v>
      </c>
      <c r="B265" s="2">
        <f>HYPERLINK("https://www.suredividend.com/sure-analysis-research-database/","Alphatec Holdings Inc")</f>
        <v>0</v>
      </c>
      <c r="C265" s="1" t="s">
        <v>3176</v>
      </c>
      <c r="D265" s="3">
        <v>10.29</v>
      </c>
      <c r="E265" s="4">
        <v>0</v>
      </c>
      <c r="F265" s="4" t="s">
        <v>3178</v>
      </c>
      <c r="G265" s="4" t="s">
        <v>3178</v>
      </c>
      <c r="H265" s="3">
        <v>0</v>
      </c>
      <c r="I265" s="5">
        <v>1439.405527</v>
      </c>
      <c r="J265" s="6" t="s">
        <v>3178</v>
      </c>
      <c r="K265" s="4">
        <v>-0</v>
      </c>
      <c r="L265" s="7">
        <v>1.874792696374735</v>
      </c>
      <c r="M265" s="3">
        <v>19.14</v>
      </c>
      <c r="N265" s="3">
        <v>8.66</v>
      </c>
    </row>
    <row r="266" spans="1:14">
      <c r="A266" s="8" t="s">
        <v>278</v>
      </c>
      <c r="B266" s="2">
        <f>HYPERLINK("https://www.suredividend.com/sure-analysis-research-database/","A10 Networks Inc")</f>
        <v>0</v>
      </c>
      <c r="C266" s="1" t="s">
        <v>3181</v>
      </c>
      <c r="D266" s="3">
        <v>14.11</v>
      </c>
      <c r="E266" s="4">
        <v>0.016900679190516</v>
      </c>
      <c r="F266" s="4" t="s">
        <v>3178</v>
      </c>
      <c r="G266" s="4" t="s">
        <v>3178</v>
      </c>
      <c r="H266" s="3">
        <v>0.238468583378189</v>
      </c>
      <c r="I266" s="5">
        <v>1050.56314</v>
      </c>
      <c r="J266" s="6">
        <v>22.96915344112117</v>
      </c>
      <c r="K266" s="4">
        <v>0.3936424288184038</v>
      </c>
      <c r="L266" s="7">
        <v>0.7424819574667031</v>
      </c>
      <c r="M266" s="3">
        <v>16.46</v>
      </c>
      <c r="N266" s="3">
        <v>9.9</v>
      </c>
    </row>
    <row r="267" spans="1:14">
      <c r="A267" s="8" t="s">
        <v>279</v>
      </c>
      <c r="B267" s="2">
        <f>HYPERLINK("https://www.suredividend.com/sure-analysis-research-database/","Anterix Inc")</f>
        <v>0</v>
      </c>
      <c r="C267" s="1" t="s">
        <v>3187</v>
      </c>
      <c r="D267" s="3">
        <v>32.36</v>
      </c>
      <c r="E267" s="4">
        <v>0</v>
      </c>
      <c r="F267" s="4" t="s">
        <v>3178</v>
      </c>
      <c r="G267" s="4" t="s">
        <v>3178</v>
      </c>
      <c r="H267" s="3">
        <v>0</v>
      </c>
      <c r="I267" s="5">
        <v>599.303446</v>
      </c>
      <c r="J267" s="6">
        <v>37.87067590774092</v>
      </c>
      <c r="K267" s="4">
        <v>0</v>
      </c>
      <c r="L267" s="7">
        <v>0.9766402298865751</v>
      </c>
      <c r="M267" s="3">
        <v>40.45</v>
      </c>
      <c r="N267" s="3">
        <v>27.2</v>
      </c>
    </row>
    <row r="268" spans="1:14">
      <c r="A268" s="8" t="s">
        <v>280</v>
      </c>
      <c r="B268" s="2">
        <f>HYPERLINK("https://www.suredividend.com/sure-analysis-research-database/","Adtalem Global Education Inc")</f>
        <v>0</v>
      </c>
      <c r="C268" s="1" t="s">
        <v>3184</v>
      </c>
      <c r="D268" s="3">
        <v>65.43000000000001</v>
      </c>
      <c r="E268" s="4">
        <v>0</v>
      </c>
      <c r="F268" s="4" t="s">
        <v>3178</v>
      </c>
      <c r="G268" s="4" t="s">
        <v>3178</v>
      </c>
      <c r="H268" s="3">
        <v>0</v>
      </c>
      <c r="I268" s="5">
        <v>2460.591201</v>
      </c>
      <c r="J268" s="6">
        <v>22.67596097391048</v>
      </c>
      <c r="K268" s="4">
        <v>0</v>
      </c>
      <c r="L268" s="7">
        <v>0.7197097347133541</v>
      </c>
      <c r="M268" s="3">
        <v>67.69</v>
      </c>
      <c r="N268" s="3">
        <v>33.59</v>
      </c>
    </row>
    <row r="269" spans="1:14">
      <c r="A269" s="8" t="s">
        <v>281</v>
      </c>
      <c r="B269" s="2">
        <f>HYPERLINK("https://www.suredividend.com/sure-analysis-research-database/","Athene Holding Ltd")</f>
        <v>0</v>
      </c>
      <c r="C269" s="1" t="s">
        <v>3180</v>
      </c>
      <c r="D269" s="3">
        <v>83.33</v>
      </c>
      <c r="E269" s="4">
        <v>0</v>
      </c>
      <c r="F269" s="4" t="s">
        <v>3178</v>
      </c>
      <c r="G269" s="4" t="s">
        <v>3178</v>
      </c>
      <c r="H269" s="3">
        <v>0</v>
      </c>
      <c r="I269" s="5">
        <v>16011.154278</v>
      </c>
      <c r="J269" s="6">
        <v>4.300605500459307</v>
      </c>
      <c r="K269" s="4">
        <v>0</v>
      </c>
      <c r="L269" s="7">
        <v>1.23803114889401</v>
      </c>
      <c r="M269" s="3">
        <v>91.26000000000001</v>
      </c>
      <c r="N269" s="3">
        <v>40.21</v>
      </c>
    </row>
    <row r="270" spans="1:14">
      <c r="A270" s="8" t="s">
        <v>282</v>
      </c>
      <c r="B270" s="2">
        <f>HYPERLINK("https://www.suredividend.com/sure-analysis-research-database/","Athersys Inc")</f>
        <v>0</v>
      </c>
      <c r="C270" s="1" t="s">
        <v>3176</v>
      </c>
      <c r="D270" s="3">
        <v>0.1018</v>
      </c>
      <c r="E270" s="4">
        <v>0</v>
      </c>
      <c r="F270" s="4" t="s">
        <v>3178</v>
      </c>
      <c r="G270" s="4" t="s">
        <v>3178</v>
      </c>
      <c r="H270" s="3">
        <v>0</v>
      </c>
      <c r="I270" s="5">
        <v>0</v>
      </c>
      <c r="J270" s="6">
        <v>0</v>
      </c>
      <c r="K270" s="4" t="s">
        <v>3178</v>
      </c>
    </row>
    <row r="271" spans="1:14">
      <c r="A271" s="8" t="s">
        <v>283</v>
      </c>
      <c r="B271" s="2">
        <f>HYPERLINK("https://www.suredividend.com/sure-analysis-research-database/","ATI Inc")</f>
        <v>0</v>
      </c>
      <c r="C271" s="1" t="s">
        <v>3179</v>
      </c>
      <c r="D271" s="3">
        <v>58.34</v>
      </c>
      <c r="E271" s="4">
        <v>0</v>
      </c>
      <c r="F271" s="4" t="s">
        <v>3178</v>
      </c>
      <c r="G271" s="4" t="s">
        <v>3178</v>
      </c>
      <c r="H271" s="3">
        <v>0</v>
      </c>
      <c r="I271" s="5">
        <v>7259.911334</v>
      </c>
      <c r="J271" s="6">
        <v>17.84638971076696</v>
      </c>
      <c r="K271" s="4">
        <v>0</v>
      </c>
      <c r="L271" s="7">
        <v>0.918804826467522</v>
      </c>
      <c r="M271" s="3">
        <v>62.44</v>
      </c>
      <c r="N271" s="3">
        <v>35.03</v>
      </c>
    </row>
    <row r="272" spans="1:14">
      <c r="A272" s="8" t="s">
        <v>284</v>
      </c>
      <c r="B272" s="2">
        <f>HYPERLINK("https://www.suredividend.com/sure-analysis-research-database/","Atkore Inc")</f>
        <v>0</v>
      </c>
      <c r="C272" s="1" t="s">
        <v>3179</v>
      </c>
      <c r="D272" s="3">
        <v>141.41</v>
      </c>
      <c r="E272" s="4">
        <v>0.004521078610106</v>
      </c>
      <c r="F272" s="4" t="s">
        <v>3178</v>
      </c>
      <c r="G272" s="4" t="s">
        <v>3178</v>
      </c>
      <c r="H272" s="3">
        <v>0.639325726255196</v>
      </c>
      <c r="I272" s="5">
        <v>5151.636581</v>
      </c>
      <c r="J272" s="6">
        <v>8.448823904986666</v>
      </c>
      <c r="K272" s="4">
        <v>0.03980857573195493</v>
      </c>
      <c r="L272" s="7">
        <v>1.597050994421992</v>
      </c>
      <c r="M272" s="3">
        <v>194.57</v>
      </c>
      <c r="N272" s="3">
        <v>120.49</v>
      </c>
    </row>
    <row r="273" spans="1:14">
      <c r="A273" s="8" t="s">
        <v>285</v>
      </c>
      <c r="B273" s="2">
        <f>HYPERLINK("https://www.suredividend.com/sure-analysis-research-database/","Atlanticus Holdings Corp")</f>
        <v>0</v>
      </c>
      <c r="C273" s="1" t="s">
        <v>3180</v>
      </c>
      <c r="D273" s="3">
        <v>26.62</v>
      </c>
      <c r="E273" s="4">
        <v>0</v>
      </c>
      <c r="F273" s="4" t="s">
        <v>3178</v>
      </c>
      <c r="G273" s="4" t="s">
        <v>3178</v>
      </c>
      <c r="H273" s="3">
        <v>0</v>
      </c>
      <c r="I273" s="5">
        <v>393.765489</v>
      </c>
      <c r="J273" s="6">
        <v>5.071226049171249</v>
      </c>
      <c r="K273" s="4">
        <v>0</v>
      </c>
      <c r="L273" s="7">
        <v>1.646087106425937</v>
      </c>
      <c r="M273" s="3">
        <v>43.7</v>
      </c>
      <c r="N273" s="3">
        <v>23.1</v>
      </c>
    </row>
    <row r="274" spans="1:14">
      <c r="A274" s="8" t="s">
        <v>286</v>
      </c>
      <c r="B274" s="2">
        <f>HYPERLINK("https://www.suredividend.com/sure-analysis-ATLO/","Ames National Corp.")</f>
        <v>0</v>
      </c>
      <c r="C274" s="1" t="s">
        <v>3180</v>
      </c>
      <c r="D274" s="3">
        <v>20.11</v>
      </c>
      <c r="E274" s="4">
        <v>0.05370462456489309</v>
      </c>
      <c r="F274" s="4">
        <v>0</v>
      </c>
      <c r="G274" s="4">
        <v>0.02383625553960966</v>
      </c>
      <c r="H274" s="3">
        <v>1.047255664564004</v>
      </c>
      <c r="I274" s="5">
        <v>180.832478</v>
      </c>
      <c r="J274" s="6">
        <v>18.22173300785973</v>
      </c>
      <c r="K274" s="4">
        <v>0.9520506041490946</v>
      </c>
      <c r="L274" s="7">
        <v>0.692892213406869</v>
      </c>
      <c r="M274" s="3">
        <v>21.89</v>
      </c>
      <c r="N274" s="3">
        <v>13.96</v>
      </c>
    </row>
    <row r="275" spans="1:14">
      <c r="A275" s="8" t="s">
        <v>287</v>
      </c>
      <c r="B275" s="2">
        <f>HYPERLINK("https://www.suredividend.com/sure-analysis-research-database/","ATN International Inc")</f>
        <v>0</v>
      </c>
      <c r="C275" s="1" t="s">
        <v>3187</v>
      </c>
      <c r="D275" s="3">
        <v>23.2</v>
      </c>
      <c r="E275" s="4">
        <v>0.038023280783081</v>
      </c>
      <c r="F275" s="4">
        <v>0.1428571428571428</v>
      </c>
      <c r="G275" s="4">
        <v>0.07140202794100681</v>
      </c>
      <c r="H275" s="3">
        <v>0.882140114167499</v>
      </c>
      <c r="I275" s="5">
        <v>355.359713</v>
      </c>
      <c r="J275" s="6" t="s">
        <v>3178</v>
      </c>
      <c r="K275" s="4" t="s">
        <v>3178</v>
      </c>
      <c r="L275" s="7">
        <v>0.865041885498928</v>
      </c>
      <c r="M275" s="3">
        <v>39.1</v>
      </c>
      <c r="N275" s="3">
        <v>18.2</v>
      </c>
    </row>
    <row r="276" spans="1:14">
      <c r="A276" s="8" t="s">
        <v>288</v>
      </c>
      <c r="B276" s="2">
        <f>HYPERLINK("https://www.suredividend.com/sure-analysis-research-database/","Actinium Pharmaceuticals Inc")</f>
        <v>0</v>
      </c>
      <c r="C276" s="1" t="s">
        <v>3176</v>
      </c>
      <c r="D276" s="3">
        <v>7.96</v>
      </c>
      <c r="E276" s="4">
        <v>0</v>
      </c>
      <c r="F276" s="4" t="s">
        <v>3178</v>
      </c>
      <c r="G276" s="4" t="s">
        <v>3178</v>
      </c>
      <c r="H276" s="3">
        <v>0</v>
      </c>
      <c r="I276" s="5">
        <v>237.07627</v>
      </c>
      <c r="J276" s="6">
        <v>0</v>
      </c>
      <c r="K276" s="4" t="s">
        <v>3178</v>
      </c>
      <c r="L276" s="7">
        <v>0.9207590351219</v>
      </c>
      <c r="M276" s="3">
        <v>10.24</v>
      </c>
      <c r="N276" s="3">
        <v>4</v>
      </c>
    </row>
    <row r="277" spans="1:14">
      <c r="A277" s="8" t="s">
        <v>289</v>
      </c>
      <c r="B277" s="2">
        <f>HYPERLINK("https://www.suredividend.com/sure-analysis-research-database/","Athenex Inc")</f>
        <v>0</v>
      </c>
      <c r="C277" s="1" t="s">
        <v>3176</v>
      </c>
      <c r="D277" s="3">
        <v>0.2031</v>
      </c>
      <c r="E277" s="4">
        <v>0</v>
      </c>
      <c r="F277" s="4" t="s">
        <v>3178</v>
      </c>
      <c r="G277" s="4" t="s">
        <v>3178</v>
      </c>
      <c r="H277" s="3">
        <v>0</v>
      </c>
      <c r="I277" s="5">
        <v>0</v>
      </c>
      <c r="J277" s="6">
        <v>0</v>
      </c>
      <c r="K277" s="4">
        <v>-0</v>
      </c>
    </row>
    <row r="278" spans="1:14">
      <c r="A278" s="8" t="s">
        <v>290</v>
      </c>
      <c r="B278" s="2">
        <f>HYPERLINK("https://www.suredividend.com/sure-analysis-ATO/","Atmos Energy Corp.")</f>
        <v>0</v>
      </c>
      <c r="C278" s="1" t="s">
        <v>3186</v>
      </c>
      <c r="D278" s="3">
        <v>114.78</v>
      </c>
      <c r="E278" s="4">
        <v>0.02805366788639136</v>
      </c>
      <c r="F278" s="4">
        <v>0.08783783783783794</v>
      </c>
      <c r="G278" s="4">
        <v>0.08924936491294377</v>
      </c>
      <c r="H278" s="3">
        <v>3.122394614486512</v>
      </c>
      <c r="I278" s="5">
        <v>17317.668488</v>
      </c>
      <c r="J278" s="6">
        <v>17.3342747228645</v>
      </c>
      <c r="K278" s="4">
        <v>0.4653345178072298</v>
      </c>
      <c r="L278" s="7">
        <v>0.490507494657218</v>
      </c>
      <c r="M278" s="3">
        <v>121.86</v>
      </c>
      <c r="N278" s="3">
        <v>98.87</v>
      </c>
    </row>
    <row r="279" spans="1:14">
      <c r="A279" s="8" t="s">
        <v>291</v>
      </c>
      <c r="B279" s="2">
        <f>HYPERLINK("https://www.suredividend.com/sure-analysis-research-database/","Atossa Therapeutics Inc")</f>
        <v>0</v>
      </c>
      <c r="C279" s="1" t="s">
        <v>3176</v>
      </c>
      <c r="D279" s="3">
        <v>1.25</v>
      </c>
      <c r="E279" s="4">
        <v>0</v>
      </c>
      <c r="F279" s="4" t="s">
        <v>3178</v>
      </c>
      <c r="G279" s="4" t="s">
        <v>3178</v>
      </c>
      <c r="H279" s="3">
        <v>0</v>
      </c>
      <c r="I279" s="5">
        <v>157.19677</v>
      </c>
      <c r="J279" s="6">
        <v>0</v>
      </c>
      <c r="K279" s="4" t="s">
        <v>3178</v>
      </c>
      <c r="L279" s="7">
        <v>1.29192929197755</v>
      </c>
      <c r="M279" s="3">
        <v>2.31</v>
      </c>
      <c r="N279" s="3">
        <v>0.62</v>
      </c>
    </row>
    <row r="280" spans="1:14">
      <c r="A280" s="8" t="s">
        <v>292</v>
      </c>
      <c r="B280" s="2">
        <f>HYPERLINK("https://www.suredividend.com/sure-analysis-ATR/","Aptargroup Inc.")</f>
        <v>0</v>
      </c>
      <c r="C280" s="1" t="s">
        <v>3182</v>
      </c>
      <c r="D280" s="3">
        <v>145.55</v>
      </c>
      <c r="E280" s="4">
        <v>0.0123668842322226</v>
      </c>
      <c r="F280" s="4">
        <v>0.07894736842105265</v>
      </c>
      <c r="G280" s="4">
        <v>0.02635185407071083</v>
      </c>
      <c r="H280" s="3">
        <v>1.632512357354514</v>
      </c>
      <c r="I280" s="5">
        <v>9644.671491999999</v>
      </c>
      <c r="J280" s="6">
        <v>30.83068754311488</v>
      </c>
      <c r="K280" s="4">
        <v>0.3503245402048313</v>
      </c>
      <c r="L280" s="7">
        <v>0.6152241883886801</v>
      </c>
      <c r="M280" s="3">
        <v>151.73</v>
      </c>
      <c r="N280" s="3">
        <v>110.21</v>
      </c>
    </row>
    <row r="281" spans="1:14">
      <c r="A281" s="8" t="s">
        <v>293</v>
      </c>
      <c r="B281" s="2">
        <f>HYPERLINK("https://www.suredividend.com/sure-analysis-research-database/","Atara Biotherapeutics Inc")</f>
        <v>0</v>
      </c>
      <c r="C281" s="1" t="s">
        <v>3176</v>
      </c>
      <c r="D281" s="3">
        <v>0.5288</v>
      </c>
      <c r="E281" s="4">
        <v>0</v>
      </c>
      <c r="F281" s="4" t="s">
        <v>3178</v>
      </c>
      <c r="G281" s="4" t="s">
        <v>3178</v>
      </c>
      <c r="H281" s="3">
        <v>0</v>
      </c>
      <c r="I281" s="5">
        <v>63.676054</v>
      </c>
      <c r="J281" s="6" t="s">
        <v>3178</v>
      </c>
      <c r="K281" s="4">
        <v>-0</v>
      </c>
      <c r="L281" s="7">
        <v>3.086824820558735</v>
      </c>
      <c r="M281" s="3">
        <v>2.54</v>
      </c>
      <c r="N281" s="3">
        <v>0.1986</v>
      </c>
    </row>
    <row r="282" spans="1:14">
      <c r="A282" s="8" t="s">
        <v>294</v>
      </c>
      <c r="B282" s="2">
        <f>HYPERLINK("https://www.suredividend.com/sure-analysis-research-database/","Atricure Inc")</f>
        <v>0</v>
      </c>
      <c r="C282" s="1" t="s">
        <v>3176</v>
      </c>
      <c r="D282" s="3">
        <v>22.42</v>
      </c>
      <c r="E282" s="4">
        <v>0</v>
      </c>
      <c r="F282" s="4" t="s">
        <v>3178</v>
      </c>
      <c r="G282" s="4" t="s">
        <v>3178</v>
      </c>
      <c r="H282" s="3">
        <v>0</v>
      </c>
      <c r="I282" s="5">
        <v>1066.922198</v>
      </c>
      <c r="J282" s="6">
        <v>0</v>
      </c>
      <c r="K282" s="4" t="s">
        <v>3178</v>
      </c>
      <c r="L282" s="7">
        <v>1.264088599623471</v>
      </c>
      <c r="M282" s="3">
        <v>59.61</v>
      </c>
      <c r="N282" s="3">
        <v>20.19</v>
      </c>
    </row>
    <row r="283" spans="1:14">
      <c r="A283" s="8" t="s">
        <v>295</v>
      </c>
      <c r="B283" s="2">
        <f>HYPERLINK("https://www.suredividend.com/sure-analysis-ATRI/","Atrion Corp.")</f>
        <v>0</v>
      </c>
      <c r="C283" s="1" t="s">
        <v>3176</v>
      </c>
      <c r="D283" s="3">
        <v>452.64</v>
      </c>
      <c r="E283" s="4">
        <v>0.01944149876281372</v>
      </c>
      <c r="F283" s="4">
        <v>0.02325581395348841</v>
      </c>
      <c r="G283" s="4">
        <v>0.1025994778190622</v>
      </c>
      <c r="H283" s="3">
        <v>8.597895462891657</v>
      </c>
      <c r="I283" s="5">
        <v>796.625579</v>
      </c>
      <c r="J283" s="6">
        <v>41.03990410385863</v>
      </c>
      <c r="K283" s="4">
        <v>0.7802082997179363</v>
      </c>
      <c r="L283" s="7">
        <v>0.70107961967149</v>
      </c>
      <c r="M283" s="3">
        <v>582.3099999999999</v>
      </c>
      <c r="N283" s="3">
        <v>267.97</v>
      </c>
    </row>
    <row r="284" spans="1:14">
      <c r="A284" s="8" t="s">
        <v>296</v>
      </c>
      <c r="B284" s="2">
        <f>HYPERLINK("https://www.suredividend.com/sure-analysis-research-database/","Astronics Corp.")</f>
        <v>0</v>
      </c>
      <c r="C284" s="1" t="s">
        <v>3179</v>
      </c>
      <c r="D284" s="3">
        <v>18.71</v>
      </c>
      <c r="E284" s="4">
        <v>0</v>
      </c>
      <c r="F284" s="4" t="s">
        <v>3178</v>
      </c>
      <c r="G284" s="4" t="s">
        <v>3178</v>
      </c>
      <c r="H284" s="3">
        <v>0</v>
      </c>
      <c r="I284" s="5">
        <v>543.9261749999999</v>
      </c>
      <c r="J284" s="6" t="s">
        <v>3178</v>
      </c>
      <c r="K284" s="4">
        <v>-0</v>
      </c>
      <c r="L284" s="7">
        <v>1.721754022480596</v>
      </c>
      <c r="M284" s="3">
        <v>22.44</v>
      </c>
      <c r="N284" s="3">
        <v>14.11</v>
      </c>
    </row>
    <row r="285" spans="1:14">
      <c r="A285" s="8" t="s">
        <v>297</v>
      </c>
      <c r="B285" s="2">
        <f>HYPERLINK("https://www.suredividend.com/sure-analysis-research-database/","Antares Pharma Inc")</f>
        <v>0</v>
      </c>
      <c r="C285" s="1" t="s">
        <v>3176</v>
      </c>
      <c r="D285" s="3">
        <v>5.59</v>
      </c>
      <c r="E285" s="4">
        <v>0</v>
      </c>
      <c r="F285" s="4" t="s">
        <v>3178</v>
      </c>
      <c r="G285" s="4" t="s">
        <v>3178</v>
      </c>
      <c r="H285" s="3">
        <v>0</v>
      </c>
      <c r="I285" s="5">
        <v>0</v>
      </c>
      <c r="J285" s="6">
        <v>0</v>
      </c>
      <c r="K285" s="4">
        <v>0</v>
      </c>
    </row>
    <row r="286" spans="1:14">
      <c r="A286" s="8" t="s">
        <v>298</v>
      </c>
      <c r="B286" s="2">
        <f>HYPERLINK("https://www.suredividend.com/sure-analysis-research-database/","Air Transport Services Group Inc")</f>
        <v>0</v>
      </c>
      <c r="C286" s="1" t="s">
        <v>3179</v>
      </c>
      <c r="D286" s="3">
        <v>12.39</v>
      </c>
      <c r="E286" s="4">
        <v>0</v>
      </c>
      <c r="F286" s="4" t="s">
        <v>3178</v>
      </c>
      <c r="G286" s="4" t="s">
        <v>3178</v>
      </c>
      <c r="H286" s="3">
        <v>0</v>
      </c>
      <c r="I286" s="5">
        <v>814.314871</v>
      </c>
      <c r="J286" s="6">
        <v>16.68507061223236</v>
      </c>
      <c r="K286" s="4">
        <v>0</v>
      </c>
      <c r="L286" s="7">
        <v>1.202474910691194</v>
      </c>
      <c r="M286" s="3">
        <v>24.96</v>
      </c>
      <c r="N286" s="3">
        <v>11.62</v>
      </c>
    </row>
    <row r="287" spans="1:14">
      <c r="A287" s="8" t="s">
        <v>299</v>
      </c>
      <c r="B287" s="2">
        <f>HYPERLINK("https://www.suredividend.com/sure-analysis-research-database/","Altice USA Inc")</f>
        <v>0</v>
      </c>
      <c r="C287" s="1" t="s">
        <v>3187</v>
      </c>
      <c r="D287" s="3">
        <v>2.46</v>
      </c>
      <c r="E287" s="4">
        <v>0</v>
      </c>
      <c r="F287" s="4" t="s">
        <v>3178</v>
      </c>
      <c r="G287" s="4" t="s">
        <v>3178</v>
      </c>
      <c r="H287" s="3">
        <v>0</v>
      </c>
      <c r="I287" s="5">
        <v>1131.505777</v>
      </c>
      <c r="J287" s="6">
        <v>184.284328514658</v>
      </c>
      <c r="K287" s="4">
        <v>0</v>
      </c>
      <c r="L287" s="7">
        <v>1.730743461315915</v>
      </c>
      <c r="M287" s="3">
        <v>3.82</v>
      </c>
      <c r="N287" s="3">
        <v>1.75</v>
      </c>
    </row>
    <row r="288" spans="1:14">
      <c r="A288" s="8" t="s">
        <v>300</v>
      </c>
      <c r="B288" s="2">
        <f>HYPERLINK("https://www.suredividend.com/sure-analysis-research-database/","Activision Blizzard Inc")</f>
        <v>0</v>
      </c>
      <c r="C288" s="1" t="s">
        <v>3187</v>
      </c>
      <c r="D288" s="3">
        <v>94.42</v>
      </c>
      <c r="E288" s="4">
        <v>0</v>
      </c>
      <c r="F288" s="4" t="s">
        <v>3178</v>
      </c>
      <c r="G288" s="4" t="s">
        <v>3178</v>
      </c>
      <c r="H288" s="3">
        <v>0.9900000095367431</v>
      </c>
      <c r="I288" s="5">
        <v>0</v>
      </c>
      <c r="J288" s="6">
        <v>0</v>
      </c>
      <c r="K288" s="4">
        <v>0.3626373661306751</v>
      </c>
    </row>
    <row r="289" spans="1:14">
      <c r="A289" s="8" t="s">
        <v>301</v>
      </c>
      <c r="B289" s="2">
        <f>HYPERLINK("https://www.suredividend.com/sure-analysis-AUB/","Atlantic Union Bankshares Corp")</f>
        <v>0</v>
      </c>
      <c r="C289" s="1" t="s">
        <v>3180</v>
      </c>
      <c r="D289" s="3">
        <v>31.6</v>
      </c>
      <c r="E289" s="4">
        <v>0.04050632911392405</v>
      </c>
      <c r="F289" s="4">
        <v>0.06666666666666643</v>
      </c>
      <c r="G289" s="4">
        <v>0.05061112176150684</v>
      </c>
      <c r="H289" s="3">
        <v>1.242034454334448</v>
      </c>
      <c r="I289" s="5">
        <v>2836.627436</v>
      </c>
      <c r="J289" s="6">
        <v>13.90053921574393</v>
      </c>
      <c r="K289" s="4">
        <v>0.4566303140935471</v>
      </c>
      <c r="L289" s="7">
        <v>1.212110300544684</v>
      </c>
      <c r="M289" s="3">
        <v>37.14</v>
      </c>
      <c r="N289" s="3">
        <v>24.25</v>
      </c>
    </row>
    <row r="290" spans="1:14">
      <c r="A290" s="8" t="s">
        <v>302</v>
      </c>
      <c r="B290" s="2">
        <f>HYPERLINK("https://www.suredividend.com/sure-analysis-AUBN/","Auburn National Bancorp Inc.")</f>
        <v>0</v>
      </c>
      <c r="C290" s="1" t="s">
        <v>3180</v>
      </c>
      <c r="D290" s="3">
        <v>19</v>
      </c>
      <c r="E290" s="4">
        <v>0.0568421052631579</v>
      </c>
      <c r="F290" s="4" t="s">
        <v>3178</v>
      </c>
      <c r="G290" s="4" t="s">
        <v>3178</v>
      </c>
      <c r="H290" s="3">
        <v>0.789462259517263</v>
      </c>
      <c r="I290" s="5">
        <v>66.380281</v>
      </c>
      <c r="J290" s="6">
        <v>0</v>
      </c>
      <c r="K290" s="4" t="s">
        <v>3178</v>
      </c>
      <c r="M290" s="3">
        <v>22.04</v>
      </c>
      <c r="N290" s="3">
        <v>16.61</v>
      </c>
    </row>
    <row r="291" spans="1:14">
      <c r="A291" s="8" t="s">
        <v>303</v>
      </c>
      <c r="B291" s="2">
        <f>HYPERLINK("https://www.suredividend.com/sure-analysis-research-database/","Golden Minerals Co")</f>
        <v>0</v>
      </c>
      <c r="C291" s="1" t="s">
        <v>3177</v>
      </c>
      <c r="D291" s="3">
        <v>0.45</v>
      </c>
      <c r="E291" s="4">
        <v>0</v>
      </c>
      <c r="F291" s="4" t="s">
        <v>3178</v>
      </c>
      <c r="G291" s="4" t="s">
        <v>3178</v>
      </c>
      <c r="H291" s="3">
        <v>0</v>
      </c>
      <c r="I291" s="5">
        <v>6.559283</v>
      </c>
      <c r="J291" s="6" t="s">
        <v>3178</v>
      </c>
      <c r="K291" s="4">
        <v>-0</v>
      </c>
      <c r="L291" s="7">
        <v>-0.3233917838989</v>
      </c>
      <c r="M291" s="3">
        <v>2.44</v>
      </c>
      <c r="N291" s="3">
        <v>0.26</v>
      </c>
    </row>
    <row r="292" spans="1:14">
      <c r="A292" s="8" t="s">
        <v>304</v>
      </c>
      <c r="B292" s="2">
        <f>HYPERLINK("https://www.suredividend.com/sure-analysis-research-database/","AutoWeb Inc")</f>
        <v>0</v>
      </c>
      <c r="C292" s="1" t="s">
        <v>3187</v>
      </c>
      <c r="D292" s="3">
        <v>0.388</v>
      </c>
      <c r="E292" s="4">
        <v>0</v>
      </c>
      <c r="F292" s="4" t="s">
        <v>3178</v>
      </c>
      <c r="G292" s="4" t="s">
        <v>3178</v>
      </c>
      <c r="H292" s="3">
        <v>0</v>
      </c>
      <c r="I292" s="5">
        <v>0</v>
      </c>
      <c r="J292" s="6">
        <v>0</v>
      </c>
      <c r="K292" s="4">
        <v>-0</v>
      </c>
    </row>
    <row r="293" spans="1:14">
      <c r="A293" s="8" t="s">
        <v>305</v>
      </c>
      <c r="B293" s="2">
        <f>HYPERLINK("https://www.suredividend.com/sure-analysis-AVA/","Avista Corp.")</f>
        <v>0</v>
      </c>
      <c r="C293" s="1" t="s">
        <v>3186</v>
      </c>
      <c r="D293" s="3">
        <v>35.04</v>
      </c>
      <c r="E293" s="4">
        <v>0.0547945205479452</v>
      </c>
      <c r="F293" s="4">
        <v>0.03260869565217384</v>
      </c>
      <c r="G293" s="4">
        <v>0.04156021015686417</v>
      </c>
      <c r="H293" s="3">
        <v>1.83426324606739</v>
      </c>
      <c r="I293" s="5">
        <v>2739.736673</v>
      </c>
      <c r="J293" s="6">
        <v>14.58625711164351</v>
      </c>
      <c r="K293" s="4">
        <v>0.7548408420030411</v>
      </c>
      <c r="L293" s="7">
        <v>0.6731286902962751</v>
      </c>
      <c r="M293" s="3">
        <v>39.63</v>
      </c>
      <c r="N293" s="3">
        <v>29.34</v>
      </c>
    </row>
    <row r="294" spans="1:14">
      <c r="A294" s="8" t="s">
        <v>306</v>
      </c>
      <c r="B294" s="2">
        <f>HYPERLINK("https://www.suredividend.com/sure-analysis-research-database/","AeroVironment Inc.")</f>
        <v>0</v>
      </c>
      <c r="C294" s="1" t="s">
        <v>3179</v>
      </c>
      <c r="D294" s="3">
        <v>202.29</v>
      </c>
      <c r="E294" s="4">
        <v>0</v>
      </c>
      <c r="F294" s="4" t="s">
        <v>3178</v>
      </c>
      <c r="G294" s="4" t="s">
        <v>3178</v>
      </c>
      <c r="H294" s="3">
        <v>0</v>
      </c>
      <c r="I294" s="5">
        <v>5691.577631</v>
      </c>
      <c r="J294" s="6" t="s">
        <v>3178</v>
      </c>
      <c r="K294" s="4">
        <v>-0</v>
      </c>
      <c r="L294" s="7">
        <v>0.6645911638473041</v>
      </c>
      <c r="M294" s="3">
        <v>206.78</v>
      </c>
      <c r="N294" s="3">
        <v>89.14</v>
      </c>
    </row>
    <row r="295" spans="1:14">
      <c r="A295" s="8" t="s">
        <v>307</v>
      </c>
      <c r="B295" s="2">
        <f>HYPERLINK("https://www.suredividend.com/sure-analysis-AVB/","Avalonbay Communities Inc.")</f>
        <v>0</v>
      </c>
      <c r="C295" s="1" t="s">
        <v>3183</v>
      </c>
      <c r="D295" s="3">
        <v>197.21</v>
      </c>
      <c r="E295" s="4">
        <v>0.03448101009076619</v>
      </c>
      <c r="F295" s="4">
        <v>0.0303030303030305</v>
      </c>
      <c r="G295" s="4">
        <v>0.02263597526826988</v>
      </c>
      <c r="H295" s="3">
        <v>6.559456128421639</v>
      </c>
      <c r="I295" s="5">
        <v>28040.479959</v>
      </c>
      <c r="J295" s="6">
        <v>29.40369402071856</v>
      </c>
      <c r="K295" s="4">
        <v>0.9775642516276659</v>
      </c>
      <c r="L295" s="7">
        <v>0.7625222446833231</v>
      </c>
      <c r="M295" s="3">
        <v>200.71</v>
      </c>
      <c r="N295" s="3">
        <v>157.56</v>
      </c>
    </row>
    <row r="296" spans="1:14">
      <c r="A296" s="8" t="s">
        <v>308</v>
      </c>
      <c r="B296" s="2">
        <f>HYPERLINK("https://www.suredividend.com/sure-analysis-research-database/","American Vanguard Corp.")</f>
        <v>0</v>
      </c>
      <c r="C296" s="1" t="s">
        <v>3177</v>
      </c>
      <c r="D296" s="3">
        <v>8.67</v>
      </c>
      <c r="E296" s="4">
        <v>0.013788963741962</v>
      </c>
      <c r="F296" s="4" t="s">
        <v>3178</v>
      </c>
      <c r="G296" s="4" t="s">
        <v>3178</v>
      </c>
      <c r="H296" s="3">
        <v>0.119550315642815</v>
      </c>
      <c r="I296" s="5">
        <v>242.62773</v>
      </c>
      <c r="J296" s="6">
        <v>33.91971627009646</v>
      </c>
      <c r="K296" s="4">
        <v>0.4729047295997429</v>
      </c>
      <c r="L296" s="7">
        <v>0.932074635267339</v>
      </c>
      <c r="M296" s="3">
        <v>18.17</v>
      </c>
      <c r="N296" s="3">
        <v>8.369999999999999</v>
      </c>
    </row>
    <row r="297" spans="1:14">
      <c r="A297" s="8" t="s">
        <v>309</v>
      </c>
      <c r="B297" s="2">
        <f>HYPERLINK("https://www.suredividend.com/sure-analysis-research-database/","AVEO Pharmaceuticals Inc")</f>
        <v>0</v>
      </c>
      <c r="C297" s="1" t="s">
        <v>3176</v>
      </c>
      <c r="D297" s="3">
        <v>15</v>
      </c>
      <c r="E297" s="4">
        <v>0</v>
      </c>
      <c r="F297" s="4" t="s">
        <v>3178</v>
      </c>
      <c r="G297" s="4" t="s">
        <v>3178</v>
      </c>
      <c r="H297" s="3">
        <v>0</v>
      </c>
      <c r="I297" s="5">
        <v>0</v>
      </c>
      <c r="J297" s="6">
        <v>0</v>
      </c>
      <c r="K297" s="4">
        <v>-0</v>
      </c>
    </row>
    <row r="298" spans="1:14">
      <c r="A298" s="8" t="s">
        <v>310</v>
      </c>
      <c r="B298" s="2">
        <f>HYPERLINK("https://www.suredividend.com/sure-analysis-AVGO/","Broadcom Inc")</f>
        <v>0</v>
      </c>
      <c r="C298" s="1" t="s">
        <v>3181</v>
      </c>
      <c r="D298" s="3">
        <v>1406.64</v>
      </c>
      <c r="E298" s="4">
        <v>0.01492919297048285</v>
      </c>
      <c r="F298" s="4">
        <v>0.1413043478260871</v>
      </c>
      <c r="G298" s="4">
        <v>0.1465227743082222</v>
      </c>
      <c r="H298" s="3">
        <v>19.46992872246373</v>
      </c>
      <c r="I298" s="5">
        <v>651866.848814</v>
      </c>
      <c r="J298" s="6">
        <v>56.03600522768676</v>
      </c>
      <c r="K298" s="4">
        <v>0.7305789389292208</v>
      </c>
      <c r="L298" s="7">
        <v>1.95448337761667</v>
      </c>
      <c r="M298" s="3">
        <v>1445.4</v>
      </c>
      <c r="N298" s="3">
        <v>781.16</v>
      </c>
    </row>
    <row r="299" spans="1:14">
      <c r="A299" s="8" t="s">
        <v>311</v>
      </c>
      <c r="B299" s="2">
        <f>HYPERLINK("https://www.suredividend.com/sure-analysis-research-database/","Avinger Inc")</f>
        <v>0</v>
      </c>
      <c r="C299" s="1" t="s">
        <v>3176</v>
      </c>
      <c r="D299" s="3">
        <v>1.9598</v>
      </c>
      <c r="E299" s="4">
        <v>0</v>
      </c>
      <c r="F299" s="4" t="s">
        <v>3178</v>
      </c>
      <c r="G299" s="4" t="s">
        <v>3178</v>
      </c>
      <c r="H299" s="3">
        <v>0</v>
      </c>
      <c r="I299" s="5">
        <v>3.336023</v>
      </c>
      <c r="J299" s="6">
        <v>0</v>
      </c>
      <c r="K299" s="4" t="s">
        <v>3178</v>
      </c>
      <c r="M299" s="3">
        <v>18</v>
      </c>
      <c r="N299" s="3">
        <v>1.75</v>
      </c>
    </row>
    <row r="300" spans="1:14">
      <c r="A300" s="8" t="s">
        <v>312</v>
      </c>
      <c r="B300" s="2">
        <f>HYPERLINK("https://www.suredividend.com/sure-analysis-research-database/","Avid Technology, Inc.")</f>
        <v>0</v>
      </c>
      <c r="C300" s="1" t="s">
        <v>3187</v>
      </c>
      <c r="D300" s="3">
        <v>27.04</v>
      </c>
      <c r="E300" s="4">
        <v>0</v>
      </c>
      <c r="F300" s="4" t="s">
        <v>3178</v>
      </c>
      <c r="G300" s="4" t="s">
        <v>3178</v>
      </c>
      <c r="H300" s="3">
        <v>0</v>
      </c>
      <c r="I300" s="5">
        <v>0</v>
      </c>
      <c r="J300" s="6">
        <v>0</v>
      </c>
      <c r="K300" s="4">
        <v>0</v>
      </c>
    </row>
    <row r="301" spans="1:14">
      <c r="A301" s="8" t="s">
        <v>313</v>
      </c>
      <c r="B301" s="2">
        <f>HYPERLINK("https://www.suredividend.com/sure-analysis-research-database/","Avalara Inc")</f>
        <v>0</v>
      </c>
      <c r="C301" s="1" t="s">
        <v>3181</v>
      </c>
      <c r="D301" s="3">
        <v>93.48</v>
      </c>
      <c r="E301" s="4">
        <v>0</v>
      </c>
      <c r="F301" s="4" t="s">
        <v>3178</v>
      </c>
      <c r="G301" s="4" t="s">
        <v>3178</v>
      </c>
      <c r="H301" s="3">
        <v>0</v>
      </c>
      <c r="I301" s="5">
        <v>8278.390809</v>
      </c>
      <c r="J301" s="6" t="s">
        <v>3178</v>
      </c>
      <c r="K301" s="4">
        <v>-0</v>
      </c>
      <c r="L301" s="7">
        <v>1.451097662470187</v>
      </c>
      <c r="M301" s="3">
        <v>188.43</v>
      </c>
      <c r="N301" s="3">
        <v>66.39</v>
      </c>
    </row>
    <row r="302" spans="1:14">
      <c r="A302" s="8" t="s">
        <v>314</v>
      </c>
      <c r="B302" s="2">
        <f>HYPERLINK("https://www.suredividend.com/sure-analysis-research-database/","Avanos Medical Inc")</f>
        <v>0</v>
      </c>
      <c r="C302" s="1" t="s">
        <v>3176</v>
      </c>
      <c r="D302" s="3">
        <v>19.76</v>
      </c>
      <c r="E302" s="4">
        <v>0</v>
      </c>
      <c r="F302" s="4" t="s">
        <v>3178</v>
      </c>
      <c r="G302" s="4" t="s">
        <v>3178</v>
      </c>
      <c r="H302" s="3">
        <v>0</v>
      </c>
      <c r="I302" s="5">
        <v>907.061281</v>
      </c>
      <c r="J302" s="6" t="s">
        <v>3178</v>
      </c>
      <c r="K302" s="4">
        <v>-0</v>
      </c>
      <c r="L302" s="7">
        <v>1.105362556067903</v>
      </c>
      <c r="M302" s="3">
        <v>26.56</v>
      </c>
      <c r="N302" s="3">
        <v>17.24</v>
      </c>
    </row>
    <row r="303" spans="1:14">
      <c r="A303" s="8" t="s">
        <v>315</v>
      </c>
      <c r="B303" s="2">
        <f>HYPERLINK("https://www.suredividend.com/sure-analysis-research-database/","Aviat Networks Inc")</f>
        <v>0</v>
      </c>
      <c r="C303" s="1" t="s">
        <v>3181</v>
      </c>
      <c r="D303" s="3">
        <v>30.77</v>
      </c>
      <c r="E303" s="4">
        <v>0</v>
      </c>
      <c r="F303" s="4" t="s">
        <v>3178</v>
      </c>
      <c r="G303" s="4" t="s">
        <v>3178</v>
      </c>
      <c r="H303" s="3">
        <v>0</v>
      </c>
      <c r="I303" s="5">
        <v>386.633789</v>
      </c>
      <c r="J303" s="6">
        <v>28.32067013477879</v>
      </c>
      <c r="K303" s="4">
        <v>0</v>
      </c>
      <c r="L303" s="7">
        <v>1.001099571195394</v>
      </c>
      <c r="M303" s="3">
        <v>38.85</v>
      </c>
      <c r="N303" s="3">
        <v>25.08</v>
      </c>
    </row>
    <row r="304" spans="1:14">
      <c r="A304" s="8" t="s">
        <v>316</v>
      </c>
      <c r="B304" s="2">
        <f>HYPERLINK("https://www.suredividend.com/sure-analysis-research-database/","AvroBio Inc")</f>
        <v>0</v>
      </c>
      <c r="C304" s="1" t="s">
        <v>3176</v>
      </c>
      <c r="D304" s="3">
        <v>1.52</v>
      </c>
      <c r="E304" s="4">
        <v>0</v>
      </c>
      <c r="F304" s="4" t="s">
        <v>3178</v>
      </c>
      <c r="G304" s="4" t="s">
        <v>3178</v>
      </c>
      <c r="H304" s="3">
        <v>0</v>
      </c>
      <c r="I304" s="5">
        <v>68.2385</v>
      </c>
      <c r="J304" s="6">
        <v>0</v>
      </c>
      <c r="K304" s="4" t="s">
        <v>3178</v>
      </c>
      <c r="L304" s="7">
        <v>0.488181489380247</v>
      </c>
      <c r="M304" s="3">
        <v>1.65</v>
      </c>
      <c r="N304" s="3">
        <v>0.8801</v>
      </c>
    </row>
    <row r="305" spans="1:14">
      <c r="A305" s="8" t="s">
        <v>317</v>
      </c>
      <c r="B305" s="2">
        <f>HYPERLINK("https://www.suredividend.com/sure-analysis-AVT/","Avnet Inc.")</f>
        <v>0</v>
      </c>
      <c r="C305" s="1" t="s">
        <v>3181</v>
      </c>
      <c r="D305" s="3">
        <v>53.43</v>
      </c>
      <c r="E305" s="4">
        <v>0.02320793561669474</v>
      </c>
      <c r="F305" s="4">
        <v>0.06896551724137945</v>
      </c>
      <c r="G305" s="4">
        <v>0.08100693430783124</v>
      </c>
      <c r="H305" s="3">
        <v>1.224646604674474</v>
      </c>
      <c r="I305" s="5">
        <v>4829.015689</v>
      </c>
      <c r="J305" s="6">
        <v>8.452856858362157</v>
      </c>
      <c r="K305" s="4">
        <v>0.1975236459152377</v>
      </c>
      <c r="L305" s="7">
        <v>1.009428125283088</v>
      </c>
      <c r="M305" s="3">
        <v>55.14</v>
      </c>
      <c r="N305" s="3">
        <v>41.6</v>
      </c>
    </row>
    <row r="306" spans="1:14">
      <c r="A306" s="8" t="s">
        <v>318</v>
      </c>
      <c r="B306" s="2">
        <f>HYPERLINK("https://www.suredividend.com/sure-analysis-research-database/","Avantor Inc.")</f>
        <v>0</v>
      </c>
      <c r="C306" s="1" t="s">
        <v>3177</v>
      </c>
      <c r="D306" s="3">
        <v>24.01</v>
      </c>
      <c r="E306" s="4">
        <v>0</v>
      </c>
      <c r="F306" s="4" t="s">
        <v>3178</v>
      </c>
      <c r="G306" s="4" t="s">
        <v>3178</v>
      </c>
      <c r="H306" s="3">
        <v>0</v>
      </c>
      <c r="I306" s="5">
        <v>16309.184415</v>
      </c>
      <c r="J306" s="6">
        <v>62.72763236626923</v>
      </c>
      <c r="K306" s="4">
        <v>0</v>
      </c>
      <c r="L306" s="7">
        <v>0.8345821416864521</v>
      </c>
      <c r="M306" s="3">
        <v>26.11</v>
      </c>
      <c r="N306" s="3">
        <v>16.63</v>
      </c>
    </row>
    <row r="307" spans="1:14">
      <c r="A307" s="8" t="s">
        <v>319</v>
      </c>
      <c r="B307" s="2">
        <f>HYPERLINK("https://www.suredividend.com/sure-analysis-research-database/","Anavex Life Sciences Corporation")</f>
        <v>0</v>
      </c>
      <c r="C307" s="1" t="s">
        <v>3176</v>
      </c>
      <c r="D307" s="3">
        <v>3.87</v>
      </c>
      <c r="E307" s="4">
        <v>0</v>
      </c>
      <c r="F307" s="4" t="s">
        <v>3178</v>
      </c>
      <c r="G307" s="4" t="s">
        <v>3178</v>
      </c>
      <c r="H307" s="3">
        <v>0</v>
      </c>
      <c r="I307" s="5">
        <v>327.562748</v>
      </c>
      <c r="J307" s="6">
        <v>0</v>
      </c>
      <c r="K307" s="4" t="s">
        <v>3178</v>
      </c>
      <c r="L307" s="7">
        <v>1.832168134802795</v>
      </c>
      <c r="M307" s="3">
        <v>10.45</v>
      </c>
      <c r="N307" s="3">
        <v>3.25</v>
      </c>
    </row>
    <row r="308" spans="1:14">
      <c r="A308" s="8" t="s">
        <v>320</v>
      </c>
      <c r="B308" s="2">
        <f>HYPERLINK("https://www.suredividend.com/sure-analysis-AVY/","Avery Dennison Corp.")</f>
        <v>0</v>
      </c>
      <c r="C308" s="1" t="s">
        <v>3179</v>
      </c>
      <c r="D308" s="3">
        <v>226.29</v>
      </c>
      <c r="E308" s="4">
        <v>0.01555526094834063</v>
      </c>
      <c r="F308" s="4" t="s">
        <v>3178</v>
      </c>
      <c r="G308" s="4" t="s">
        <v>3178</v>
      </c>
      <c r="H308" s="3">
        <v>3.291221096961354</v>
      </c>
      <c r="I308" s="5">
        <v>18228.417345</v>
      </c>
      <c r="J308" s="6">
        <v>32.89140625263443</v>
      </c>
      <c r="K308" s="4">
        <v>0.48117267499435</v>
      </c>
      <c r="L308" s="7">
        <v>0.8098156898198721</v>
      </c>
      <c r="M308" s="3">
        <v>229.09</v>
      </c>
      <c r="N308" s="3">
        <v>159.76</v>
      </c>
    </row>
    <row r="309" spans="1:14">
      <c r="A309" s="8" t="s">
        <v>321</v>
      </c>
      <c r="B309" s="2">
        <f>HYPERLINK("https://www.suredividend.com/sure-analysis-research-database/","Avaya Holdings Corp.")</f>
        <v>0</v>
      </c>
      <c r="C309" s="1" t="s">
        <v>3181</v>
      </c>
      <c r="D309" s="3">
        <v>0.021</v>
      </c>
      <c r="E309" s="4">
        <v>0</v>
      </c>
      <c r="F309" s="4" t="s">
        <v>3178</v>
      </c>
      <c r="G309" s="4" t="s">
        <v>3178</v>
      </c>
      <c r="H309" s="3">
        <v>0</v>
      </c>
      <c r="I309" s="5">
        <v>29.750952</v>
      </c>
      <c r="J309" s="6">
        <v>0</v>
      </c>
      <c r="K309" s="4" t="s">
        <v>3178</v>
      </c>
      <c r="L309" s="7">
        <v>1.761488283659976</v>
      </c>
      <c r="M309" s="3">
        <v>15.77</v>
      </c>
      <c r="N309" s="3">
        <v>0.121</v>
      </c>
    </row>
    <row r="310" spans="1:14">
      <c r="A310" s="8" t="s">
        <v>322</v>
      </c>
      <c r="B310" s="2">
        <f>HYPERLINK("https://www.suredividend.com/sure-analysis-research-database/","Armstrong World Industries Inc.")</f>
        <v>0</v>
      </c>
      <c r="C310" s="1" t="s">
        <v>3179</v>
      </c>
      <c r="D310" s="3">
        <v>113.3</v>
      </c>
      <c r="E310" s="4">
        <v>0.009619563837527</v>
      </c>
      <c r="F310" s="4">
        <v>0.1023622047244095</v>
      </c>
      <c r="G310" s="4">
        <v>0.09856054330611785</v>
      </c>
      <c r="H310" s="3">
        <v>1.089896582791915</v>
      </c>
      <c r="I310" s="5">
        <v>4957.809725</v>
      </c>
      <c r="J310" s="6">
        <v>20.98099756665256</v>
      </c>
      <c r="K310" s="4">
        <v>0.2048677787202847</v>
      </c>
      <c r="L310" s="7">
        <v>0.967915155588522</v>
      </c>
      <c r="M310" s="3">
        <v>125.26</v>
      </c>
      <c r="N310" s="3">
        <v>65.69</v>
      </c>
    </row>
    <row r="311" spans="1:14">
      <c r="A311" s="8" t="s">
        <v>323</v>
      </c>
      <c r="B311" s="2">
        <f>HYPERLINK("https://www.suredividend.com/sure-analysis-AWK/","American Water Works Co. Inc.")</f>
        <v>0</v>
      </c>
      <c r="C311" s="1" t="s">
        <v>3186</v>
      </c>
      <c r="D311" s="3">
        <v>128.25</v>
      </c>
      <c r="E311" s="4">
        <v>0.02385964912280702</v>
      </c>
      <c r="F311" s="4">
        <v>0.08127208480565362</v>
      </c>
      <c r="G311" s="4">
        <v>0.08877536588007406</v>
      </c>
      <c r="H311" s="3">
        <v>2.863384812373775</v>
      </c>
      <c r="I311" s="5">
        <v>24985.994218</v>
      </c>
      <c r="J311" s="6">
        <v>26.05421711965589</v>
      </c>
      <c r="K311" s="4">
        <v>0.5831740962064715</v>
      </c>
      <c r="L311" s="7">
        <v>0.827682517720952</v>
      </c>
      <c r="M311" s="3">
        <v>147.9</v>
      </c>
      <c r="N311" s="3">
        <v>112.3</v>
      </c>
    </row>
    <row r="312" spans="1:14">
      <c r="A312" s="8" t="s">
        <v>324</v>
      </c>
      <c r="B312" s="2">
        <f>HYPERLINK("https://www.suredividend.com/sure-analysis-AWR/","American States Water Co.")</f>
        <v>0</v>
      </c>
      <c r="C312" s="1" t="s">
        <v>3186</v>
      </c>
      <c r="D312" s="3">
        <v>70.73999999999999</v>
      </c>
      <c r="E312" s="4">
        <v>0.02431439072660447</v>
      </c>
      <c r="F312" s="4">
        <v>0.08176100628930816</v>
      </c>
      <c r="G312" s="4">
        <v>0.07110913505196881</v>
      </c>
      <c r="H312" s="3">
        <v>1.705842702902292</v>
      </c>
      <c r="I312" s="5">
        <v>2633.571183</v>
      </c>
      <c r="J312" s="6">
        <v>23.24258819694991</v>
      </c>
      <c r="K312" s="4">
        <v>0.5592926894761614</v>
      </c>
      <c r="L312" s="7">
        <v>0.579797497123241</v>
      </c>
      <c r="M312" s="3">
        <v>88.78</v>
      </c>
      <c r="N312" s="3">
        <v>65.67</v>
      </c>
    </row>
    <row r="313" spans="1:14">
      <c r="A313" s="8" t="s">
        <v>325</v>
      </c>
      <c r="B313" s="2">
        <f>HYPERLINK("https://www.suredividend.com/sure-analysis-research-database/","Aware Inc.")</f>
        <v>0</v>
      </c>
      <c r="C313" s="1" t="s">
        <v>3181</v>
      </c>
      <c r="D313" s="3">
        <v>1.85</v>
      </c>
      <c r="E313" s="4">
        <v>0</v>
      </c>
      <c r="F313" s="4" t="s">
        <v>3178</v>
      </c>
      <c r="G313" s="4" t="s">
        <v>3178</v>
      </c>
      <c r="H313" s="3">
        <v>0</v>
      </c>
      <c r="I313" s="5">
        <v>39.007683</v>
      </c>
      <c r="J313" s="6">
        <v>0</v>
      </c>
      <c r="K313" s="4" t="s">
        <v>3178</v>
      </c>
      <c r="L313" s="7">
        <v>1.724894322954624</v>
      </c>
      <c r="M313" s="3">
        <v>2.2</v>
      </c>
      <c r="N313" s="3">
        <v>1.05</v>
      </c>
    </row>
    <row r="314" spans="1:14">
      <c r="A314" s="8" t="s">
        <v>326</v>
      </c>
      <c r="B314" s="2">
        <f>HYPERLINK("https://www.suredividend.com/sure-analysis-research-database/","Axos Financial Inc.")</f>
        <v>0</v>
      </c>
      <c r="C314" s="1" t="s">
        <v>3180</v>
      </c>
      <c r="D314" s="3">
        <v>52.16</v>
      </c>
      <c r="E314" s="4">
        <v>0</v>
      </c>
      <c r="F314" s="4" t="s">
        <v>3178</v>
      </c>
      <c r="G314" s="4" t="s">
        <v>3178</v>
      </c>
      <c r="H314" s="3">
        <v>0</v>
      </c>
      <c r="I314" s="5">
        <v>2971.423913</v>
      </c>
      <c r="J314" s="6">
        <v>6.870471392025748</v>
      </c>
      <c r="K314" s="4">
        <v>0</v>
      </c>
      <c r="L314" s="7">
        <v>1.560406934221797</v>
      </c>
      <c r="M314" s="3">
        <v>63</v>
      </c>
      <c r="N314" s="3">
        <v>32.05</v>
      </c>
    </row>
    <row r="315" spans="1:14">
      <c r="A315" s="8" t="s">
        <v>327</v>
      </c>
      <c r="B315" s="2">
        <f>HYPERLINK("https://www.suredividend.com/sure-analysis-research-database/","Abraxas Petroleum Corp.")</f>
        <v>0</v>
      </c>
      <c r="C315" s="1" t="s">
        <v>3185</v>
      </c>
      <c r="D315" s="3">
        <v>0.0347</v>
      </c>
      <c r="E315" s="4">
        <v>0</v>
      </c>
      <c r="F315" s="4" t="s">
        <v>3178</v>
      </c>
      <c r="G315" s="4" t="s">
        <v>3178</v>
      </c>
      <c r="H315" s="3">
        <v>0</v>
      </c>
      <c r="I315" s="5">
        <v>3.49434</v>
      </c>
      <c r="J315" s="6">
        <v>0.09361175581333001</v>
      </c>
      <c r="K315" s="4">
        <v>0</v>
      </c>
      <c r="M315" s="3">
        <v>1.97</v>
      </c>
      <c r="N315" s="3">
        <v>0.0211</v>
      </c>
    </row>
    <row r="316" spans="1:14">
      <c r="A316" s="8" t="s">
        <v>328</v>
      </c>
      <c r="B316" s="2">
        <f>HYPERLINK("https://www.suredividend.com/sure-analysis-research-database/","Accelerate Diagnostics Inc")</f>
        <v>0</v>
      </c>
      <c r="C316" s="1" t="s">
        <v>3176</v>
      </c>
      <c r="D316" s="3">
        <v>1.3</v>
      </c>
      <c r="E316" s="4">
        <v>0</v>
      </c>
      <c r="F316" s="4" t="s">
        <v>3178</v>
      </c>
      <c r="G316" s="4" t="s">
        <v>3178</v>
      </c>
      <c r="H316" s="3">
        <v>0</v>
      </c>
      <c r="I316" s="5">
        <v>28.66567</v>
      </c>
      <c r="J316" s="6">
        <v>0</v>
      </c>
      <c r="K316" s="4" t="s">
        <v>3178</v>
      </c>
      <c r="L316" s="7">
        <v>0.175156308712564</v>
      </c>
      <c r="M316" s="3">
        <v>11.9</v>
      </c>
      <c r="N316" s="3">
        <v>0.73</v>
      </c>
    </row>
    <row r="317" spans="1:14">
      <c r="A317" s="8" t="s">
        <v>329</v>
      </c>
      <c r="B317" s="2">
        <f>HYPERLINK("https://www.suredividend.com/sure-analysis-research-database/","Axogen Inc.")</f>
        <v>0</v>
      </c>
      <c r="C317" s="1" t="s">
        <v>3176</v>
      </c>
      <c r="D317" s="3">
        <v>6.97</v>
      </c>
      <c r="E317" s="4">
        <v>0</v>
      </c>
      <c r="F317" s="4" t="s">
        <v>3178</v>
      </c>
      <c r="G317" s="4" t="s">
        <v>3178</v>
      </c>
      <c r="H317" s="3">
        <v>0</v>
      </c>
      <c r="I317" s="5">
        <v>304.620881</v>
      </c>
      <c r="J317" s="6">
        <v>0</v>
      </c>
      <c r="K317" s="4" t="s">
        <v>3178</v>
      </c>
      <c r="L317" s="7">
        <v>1.798586950619569</v>
      </c>
      <c r="M317" s="3">
        <v>10.83</v>
      </c>
      <c r="N317" s="3">
        <v>3.45</v>
      </c>
    </row>
    <row r="318" spans="1:14">
      <c r="A318" s="8" t="s">
        <v>330</v>
      </c>
      <c r="B318" s="2">
        <f>HYPERLINK("https://www.suredividend.com/sure-analysis-research-database/","American Axle &amp; Manufacturing Holdings Inc")</f>
        <v>0</v>
      </c>
      <c r="C318" s="1" t="s">
        <v>3182</v>
      </c>
      <c r="D318" s="3">
        <v>7.53</v>
      </c>
      <c r="E318" s="4">
        <v>0</v>
      </c>
      <c r="F318" s="4" t="s">
        <v>3178</v>
      </c>
      <c r="G318" s="4" t="s">
        <v>3178</v>
      </c>
      <c r="H318" s="3">
        <v>0</v>
      </c>
      <c r="I318" s="5">
        <v>885.174256</v>
      </c>
      <c r="J318" s="6" t="s">
        <v>3178</v>
      </c>
      <c r="K318" s="4">
        <v>-0</v>
      </c>
      <c r="L318" s="7">
        <v>1.460993150632279</v>
      </c>
      <c r="M318" s="3">
        <v>9.550000000000001</v>
      </c>
      <c r="N318" s="3">
        <v>6.29</v>
      </c>
    </row>
    <row r="319" spans="1:14">
      <c r="A319" s="8" t="s">
        <v>331</v>
      </c>
      <c r="B319" s="2">
        <f>HYPERLINK("https://www.suredividend.com/sure-analysis-research-database/","Axonics Inc")</f>
        <v>0</v>
      </c>
      <c r="C319" s="1" t="s">
        <v>3176</v>
      </c>
      <c r="D319" s="3">
        <v>67.08</v>
      </c>
      <c r="E319" s="4">
        <v>0</v>
      </c>
      <c r="F319" s="4" t="s">
        <v>3178</v>
      </c>
      <c r="G319" s="4" t="s">
        <v>3178</v>
      </c>
      <c r="H319" s="3">
        <v>0</v>
      </c>
      <c r="I319" s="5">
        <v>3422.319504</v>
      </c>
      <c r="J319" s="6" t="s">
        <v>3178</v>
      </c>
      <c r="K319" s="4">
        <v>-0</v>
      </c>
      <c r="L319" s="7">
        <v>1.137035438978505</v>
      </c>
      <c r="M319" s="3">
        <v>69.68000000000001</v>
      </c>
      <c r="N319" s="3">
        <v>47.94</v>
      </c>
    </row>
    <row r="320" spans="1:14">
      <c r="A320" s="8" t="s">
        <v>332</v>
      </c>
      <c r="B320" s="2">
        <f>HYPERLINK("https://www.suredividend.com/sure-analysis-AXP/","American Express Co.")</f>
        <v>0</v>
      </c>
      <c r="C320" s="1" t="s">
        <v>3180</v>
      </c>
      <c r="D320" s="3">
        <v>232.67</v>
      </c>
      <c r="E320" s="4">
        <v>0.01203421154424722</v>
      </c>
      <c r="F320" s="4">
        <v>0.1666666666666665</v>
      </c>
      <c r="G320" s="4">
        <v>0.1241045005663002</v>
      </c>
      <c r="H320" s="3">
        <v>2.488148558066784</v>
      </c>
      <c r="I320" s="5">
        <v>167360.241342</v>
      </c>
      <c r="J320" s="6">
        <v>18.87024933380426</v>
      </c>
      <c r="K320" s="4">
        <v>0.2049545764470168</v>
      </c>
      <c r="L320" s="7">
        <v>0.9697524906135491</v>
      </c>
      <c r="M320" s="3">
        <v>244.41</v>
      </c>
      <c r="N320" s="3">
        <v>140.02</v>
      </c>
    </row>
    <row r="321" spans="1:14">
      <c r="A321" s="8" t="s">
        <v>333</v>
      </c>
      <c r="B321" s="2">
        <f>HYPERLINK("https://www.suredividend.com/sure-analysis-research-database/","AMREP Corp.")</f>
        <v>0</v>
      </c>
      <c r="C321" s="1" t="s">
        <v>3183</v>
      </c>
      <c r="D321" s="3">
        <v>21.25</v>
      </c>
      <c r="E321" s="4">
        <v>0</v>
      </c>
      <c r="F321" s="4" t="s">
        <v>3178</v>
      </c>
      <c r="G321" s="4" t="s">
        <v>3178</v>
      </c>
      <c r="H321" s="3">
        <v>0</v>
      </c>
      <c r="I321" s="5">
        <v>112.015316</v>
      </c>
      <c r="J321" s="6">
        <v>50.25361877523553</v>
      </c>
      <c r="K321" s="4">
        <v>0</v>
      </c>
      <c r="L321" s="7">
        <v>0.5416209784502091</v>
      </c>
      <c r="M321" s="3">
        <v>24.36</v>
      </c>
      <c r="N321" s="3">
        <v>15.01</v>
      </c>
    </row>
    <row r="322" spans="1:14">
      <c r="A322" s="8" t="s">
        <v>334</v>
      </c>
      <c r="B322" s="2">
        <f>HYPERLINK("https://www.suredividend.com/sure-analysis-AXS/","Axis Capital Holdings Ltd")</f>
        <v>0</v>
      </c>
      <c r="C322" s="1" t="s">
        <v>3180</v>
      </c>
      <c r="D322" s="3">
        <v>72.09</v>
      </c>
      <c r="E322" s="4">
        <v>0.02441392703564988</v>
      </c>
      <c r="F322" s="4">
        <v>0</v>
      </c>
      <c r="G322" s="4">
        <v>0.01924487649145656</v>
      </c>
      <c r="H322" s="3">
        <v>1.740376954769478</v>
      </c>
      <c r="I322" s="5">
        <v>6103.137237</v>
      </c>
      <c r="J322" s="6">
        <v>10.8712036916374</v>
      </c>
      <c r="K322" s="4">
        <v>0.2657064053083173</v>
      </c>
      <c r="L322" s="7">
        <v>0.219990562101102</v>
      </c>
      <c r="M322" s="3">
        <v>74.05</v>
      </c>
      <c r="N322" s="3">
        <v>50.5</v>
      </c>
    </row>
    <row r="323" spans="1:14">
      <c r="A323" s="8" t="s">
        <v>335</v>
      </c>
      <c r="B323" s="2">
        <f>HYPERLINK("https://www.suredividend.com/sure-analysis-research-database/","Axsome Therapeutics Inc")</f>
        <v>0</v>
      </c>
      <c r="C323" s="1" t="s">
        <v>3176</v>
      </c>
      <c r="D323" s="3">
        <v>73.90000000000001</v>
      </c>
      <c r="E323" s="4">
        <v>0</v>
      </c>
      <c r="F323" s="4" t="s">
        <v>3178</v>
      </c>
      <c r="G323" s="4" t="s">
        <v>3178</v>
      </c>
      <c r="H323" s="3">
        <v>0</v>
      </c>
      <c r="I323" s="5">
        <v>3509.941615</v>
      </c>
      <c r="J323" s="6" t="s">
        <v>3178</v>
      </c>
      <c r="K323" s="4">
        <v>-0</v>
      </c>
      <c r="L323" s="7">
        <v>0.9074769066779821</v>
      </c>
      <c r="M323" s="3">
        <v>98.40000000000001</v>
      </c>
      <c r="N323" s="3">
        <v>55.02</v>
      </c>
    </row>
    <row r="324" spans="1:14">
      <c r="A324" s="8" t="s">
        <v>336</v>
      </c>
      <c r="B324" s="2">
        <f>HYPERLINK("https://www.suredividend.com/sure-analysis-research-database/","Axalta Coating Systems Ltd")</f>
        <v>0</v>
      </c>
      <c r="C324" s="1" t="s">
        <v>3177</v>
      </c>
      <c r="D324" s="3">
        <v>36.03</v>
      </c>
      <c r="E324" s="4">
        <v>0</v>
      </c>
      <c r="F324" s="4" t="s">
        <v>3178</v>
      </c>
      <c r="G324" s="4" t="s">
        <v>3178</v>
      </c>
      <c r="H324" s="3">
        <v>0</v>
      </c>
      <c r="I324" s="5">
        <v>7949.857941</v>
      </c>
      <c r="J324" s="6">
        <v>32.06880976797096</v>
      </c>
      <c r="K324" s="4">
        <v>0</v>
      </c>
      <c r="L324" s="7">
        <v>1.082795847474205</v>
      </c>
      <c r="M324" s="3">
        <v>36.76</v>
      </c>
      <c r="N324" s="3">
        <v>25.03</v>
      </c>
    </row>
    <row r="325" spans="1:14">
      <c r="A325" s="8" t="s">
        <v>337</v>
      </c>
      <c r="B325" s="2">
        <f>HYPERLINK("https://www.suredividend.com/sure-analysis-research-database/","AXT Inc")</f>
        <v>0</v>
      </c>
      <c r="C325" s="1" t="s">
        <v>3181</v>
      </c>
      <c r="D325" s="3">
        <v>3.56</v>
      </c>
      <c r="E325" s="4">
        <v>0</v>
      </c>
      <c r="F325" s="4" t="s">
        <v>3178</v>
      </c>
      <c r="G325" s="4" t="s">
        <v>3178</v>
      </c>
      <c r="H325" s="3">
        <v>0</v>
      </c>
      <c r="I325" s="5">
        <v>158.059881</v>
      </c>
      <c r="J325" s="6" t="s">
        <v>3178</v>
      </c>
      <c r="K325" s="4">
        <v>-0</v>
      </c>
      <c r="L325" s="7">
        <v>2.274194754884949</v>
      </c>
      <c r="M325" s="3">
        <v>5.64</v>
      </c>
      <c r="N325" s="3">
        <v>1.89</v>
      </c>
    </row>
    <row r="326" spans="1:14">
      <c r="A326" s="8" t="s">
        <v>338</v>
      </c>
      <c r="B326" s="2">
        <f>HYPERLINK("https://www.suredividend.com/sure-analysis-research-database/","Acuity Brands, Inc.")</f>
        <v>0</v>
      </c>
      <c r="C326" s="1" t="s">
        <v>3179</v>
      </c>
      <c r="D326" s="3">
        <v>251.01</v>
      </c>
      <c r="E326" s="4">
        <v>0.002228995518934</v>
      </c>
      <c r="F326" s="4">
        <v>0.1538461538461537</v>
      </c>
      <c r="G326" s="4">
        <v>0.02903366107118788</v>
      </c>
      <c r="H326" s="3">
        <v>0.55950016520775</v>
      </c>
      <c r="I326" s="5">
        <v>7730.573851</v>
      </c>
      <c r="J326" s="6">
        <v>20.46749761906275</v>
      </c>
      <c r="K326" s="4">
        <v>0.04678095026820652</v>
      </c>
      <c r="L326" s="7">
        <v>0.9890220626728931</v>
      </c>
      <c r="M326" s="3">
        <v>272.58</v>
      </c>
      <c r="N326" s="3">
        <v>154.3</v>
      </c>
    </row>
    <row r="327" spans="1:14">
      <c r="A327" s="8" t="s">
        <v>339</v>
      </c>
      <c r="B327" s="2">
        <f>HYPERLINK("https://www.suredividend.com/sure-analysis-research-database/","Alteryx Inc")</f>
        <v>0</v>
      </c>
      <c r="C327" s="1" t="s">
        <v>3181</v>
      </c>
      <c r="D327" s="3">
        <v>48.26</v>
      </c>
      <c r="E327" s="4">
        <v>0</v>
      </c>
      <c r="F327" s="4" t="s">
        <v>3178</v>
      </c>
      <c r="G327" s="4" t="s">
        <v>3178</v>
      </c>
      <c r="H327" s="3">
        <v>0</v>
      </c>
      <c r="I327" s="5">
        <v>3172.397353</v>
      </c>
      <c r="J327" s="6" t="s">
        <v>3178</v>
      </c>
      <c r="K327" s="4">
        <v>-0</v>
      </c>
      <c r="L327" s="7">
        <v>1.186932559010805</v>
      </c>
      <c r="M327" s="3">
        <v>59.65</v>
      </c>
      <c r="N327" s="3">
        <v>27.92</v>
      </c>
    </row>
    <row r="328" spans="1:14">
      <c r="A328" s="8" t="s">
        <v>340</v>
      </c>
      <c r="B328" s="2">
        <f>HYPERLINK("https://www.suredividend.com/sure-analysis-research-database/","Autozone Inc.")</f>
        <v>0</v>
      </c>
      <c r="C328" s="1" t="s">
        <v>3182</v>
      </c>
      <c r="D328" s="3">
        <v>2800.7</v>
      </c>
      <c r="E328" s="4">
        <v>0</v>
      </c>
      <c r="F328" s="4" t="s">
        <v>3178</v>
      </c>
      <c r="G328" s="4" t="s">
        <v>3178</v>
      </c>
      <c r="H328" s="3">
        <v>0</v>
      </c>
      <c r="I328" s="5">
        <v>48505.3233</v>
      </c>
      <c r="J328" s="6">
        <v>18.50601619880834</v>
      </c>
      <c r="K328" s="4">
        <v>0</v>
      </c>
      <c r="L328" s="7">
        <v>0.597669913262116</v>
      </c>
      <c r="M328" s="3">
        <v>3256.37</v>
      </c>
      <c r="N328" s="3">
        <v>2375.35</v>
      </c>
    </row>
    <row r="329" spans="1:14">
      <c r="A329" s="8" t="s">
        <v>341</v>
      </c>
      <c r="B329" s="2">
        <f>HYPERLINK("https://www.suredividend.com/sure-analysis-research-database/","Aspen Technology Inc")</f>
        <v>0</v>
      </c>
      <c r="C329" s="1" t="s">
        <v>3181</v>
      </c>
      <c r="D329" s="3">
        <v>202.56</v>
      </c>
      <c r="E329" s="4">
        <v>0</v>
      </c>
      <c r="F329" s="4" t="s">
        <v>3178</v>
      </c>
      <c r="G329" s="4" t="s">
        <v>3178</v>
      </c>
      <c r="H329" s="3">
        <v>0</v>
      </c>
      <c r="I329" s="5">
        <v>12827.689904</v>
      </c>
      <c r="J329" s="6">
        <v>0</v>
      </c>
      <c r="K329" s="4" t="s">
        <v>3178</v>
      </c>
      <c r="L329" s="7">
        <v>1.117033622121586</v>
      </c>
      <c r="M329" s="3">
        <v>224.77</v>
      </c>
      <c r="N329" s="3">
        <v>161.32</v>
      </c>
    </row>
    <row r="330" spans="1:14">
      <c r="A330" s="8" t="s">
        <v>342</v>
      </c>
      <c r="B330" s="2">
        <f>HYPERLINK("https://www.suredividend.com/sure-analysis-research-database/","AZZ Inc")</f>
        <v>0</v>
      </c>
      <c r="C330" s="1" t="s">
        <v>3179</v>
      </c>
      <c r="D330" s="3">
        <v>76.64</v>
      </c>
      <c r="E330" s="4">
        <v>0.008838070611873</v>
      </c>
      <c r="F330" s="4">
        <v>0</v>
      </c>
      <c r="G330" s="4">
        <v>0</v>
      </c>
      <c r="H330" s="3">
        <v>0.677349731694005</v>
      </c>
      <c r="I330" s="5">
        <v>2281.901049</v>
      </c>
      <c r="J330" s="6">
        <v>26.16648949189859</v>
      </c>
      <c r="K330" s="4">
        <v>0.195765818408672</v>
      </c>
      <c r="L330" s="7">
        <v>1.082532462574282</v>
      </c>
      <c r="M330" s="3">
        <v>86.94</v>
      </c>
      <c r="N330" s="3">
        <v>38.12</v>
      </c>
    </row>
    <row r="331" spans="1:14">
      <c r="A331" s="8" t="s">
        <v>343</v>
      </c>
      <c r="B331" s="2">
        <f>HYPERLINK("https://www.suredividend.com/sure-analysis-research-database/","Barnes Group Inc.")</f>
        <v>0</v>
      </c>
      <c r="C331" s="1" t="s">
        <v>3179</v>
      </c>
      <c r="D331" s="3">
        <v>37.15</v>
      </c>
      <c r="E331" s="4">
        <v>0.017111296721442</v>
      </c>
      <c r="F331" s="4">
        <v>0</v>
      </c>
      <c r="G331" s="4">
        <v>0</v>
      </c>
      <c r="H331" s="3">
        <v>0.6356846732015781</v>
      </c>
      <c r="I331" s="5">
        <v>1883.581975</v>
      </c>
      <c r="J331" s="6">
        <v>393.725329180602</v>
      </c>
      <c r="K331" s="4">
        <v>6.80604575162289</v>
      </c>
      <c r="L331" s="7">
        <v>1.318526061322627</v>
      </c>
      <c r="M331" s="3">
        <v>42.84</v>
      </c>
      <c r="N331" s="3">
        <v>18.52</v>
      </c>
    </row>
    <row r="332" spans="1:14">
      <c r="A332" s="8" t="s">
        <v>344</v>
      </c>
      <c r="B332" s="2">
        <f>HYPERLINK("https://www.suredividend.com/sure-analysis-research-database/","Boeing Co.")</f>
        <v>0</v>
      </c>
      <c r="C332" s="1" t="s">
        <v>3179</v>
      </c>
      <c r="D332" s="3">
        <v>190.24</v>
      </c>
      <c r="E332" s="4">
        <v>0</v>
      </c>
      <c r="F332" s="4" t="s">
        <v>3178</v>
      </c>
      <c r="G332" s="4" t="s">
        <v>3178</v>
      </c>
      <c r="H332" s="3">
        <v>0</v>
      </c>
      <c r="I332" s="5">
        <v>116785.334774</v>
      </c>
      <c r="J332" s="6" t="s">
        <v>3178</v>
      </c>
      <c r="K332" s="4">
        <v>-0</v>
      </c>
      <c r="L332" s="7">
        <v>0.704427517677037</v>
      </c>
      <c r="M332" s="3">
        <v>267.54</v>
      </c>
      <c r="N332" s="3">
        <v>159.7</v>
      </c>
    </row>
    <row r="333" spans="1:14">
      <c r="A333" s="8" t="s">
        <v>345</v>
      </c>
      <c r="B333" s="2">
        <f>HYPERLINK("https://www.suredividend.com/sure-analysis-BAC/","Bank Of America Corp.")</f>
        <v>0</v>
      </c>
      <c r="C333" s="1" t="s">
        <v>3180</v>
      </c>
      <c r="D333" s="3">
        <v>39.78</v>
      </c>
      <c r="E333" s="4">
        <v>0.02413273001508295</v>
      </c>
      <c r="F333" s="4">
        <v>0.09090909090909083</v>
      </c>
      <c r="G333" s="4">
        <v>0.05922384104881218</v>
      </c>
      <c r="H333" s="3">
        <v>0.9504344977326441</v>
      </c>
      <c r="I333" s="5">
        <v>311094.330733</v>
      </c>
      <c r="J333" s="6">
        <v>13.32195660897996</v>
      </c>
      <c r="K333" s="4">
        <v>0.3254912663467959</v>
      </c>
      <c r="L333" s="7">
        <v>1.003705098843363</v>
      </c>
      <c r="M333" s="3">
        <v>39.96</v>
      </c>
      <c r="N333" s="3">
        <v>24.44</v>
      </c>
    </row>
    <row r="334" spans="1:14">
      <c r="A334" s="8" t="s">
        <v>346</v>
      </c>
      <c r="B334" s="2">
        <f>HYPERLINK("https://www.suredividend.com/sure-analysis-BAH/","Booz Allen Hamilton Holding Corp")</f>
        <v>0</v>
      </c>
      <c r="C334" s="1" t="s">
        <v>3179</v>
      </c>
      <c r="D334" s="3">
        <v>151.74</v>
      </c>
      <c r="E334" s="4">
        <v>0.01344404903123764</v>
      </c>
      <c r="F334" s="4">
        <v>0.08510638297872331</v>
      </c>
      <c r="G334" s="4">
        <v>0.1726501623341559</v>
      </c>
      <c r="H334" s="3">
        <v>1.909753084212341</v>
      </c>
      <c r="I334" s="5">
        <v>19623.090849</v>
      </c>
      <c r="J334" s="6">
        <v>32.39705541817317</v>
      </c>
      <c r="K334" s="4">
        <v>0.4124736682964019</v>
      </c>
      <c r="L334" s="7">
        <v>0.694808706577818</v>
      </c>
      <c r="M334" s="3">
        <v>164.43</v>
      </c>
      <c r="N334" s="3">
        <v>101.78</v>
      </c>
    </row>
    <row r="335" spans="1:14">
      <c r="A335" s="8" t="s">
        <v>347</v>
      </c>
      <c r="B335" s="2">
        <f>HYPERLINK("https://www.suredividend.com/sure-analysis-research-database/","Banc of California Inc")</f>
        <v>0</v>
      </c>
      <c r="C335" s="1" t="s">
        <v>3180</v>
      </c>
      <c r="D335" s="3">
        <v>13.04</v>
      </c>
      <c r="E335" s="4">
        <v>0.030343310449948</v>
      </c>
      <c r="F335" s="4">
        <v>0</v>
      </c>
      <c r="G335" s="4">
        <v>0.1075663432482901</v>
      </c>
      <c r="H335" s="3">
        <v>0.395676768267322</v>
      </c>
      <c r="I335" s="5">
        <v>2055.410023</v>
      </c>
      <c r="J335" s="6" t="s">
        <v>3178</v>
      </c>
      <c r="K335" s="4" t="s">
        <v>3178</v>
      </c>
      <c r="L335" s="7">
        <v>1.617974082008722</v>
      </c>
      <c r="M335" s="3">
        <v>15.72</v>
      </c>
      <c r="N335" s="3">
        <v>9.82</v>
      </c>
    </row>
    <row r="336" spans="1:14">
      <c r="A336" s="8" t="s">
        <v>348</v>
      </c>
      <c r="B336" s="2">
        <f>HYPERLINK("https://www.suredividend.com/sure-analysis-research-database/","Bandwidth Inc")</f>
        <v>0</v>
      </c>
      <c r="C336" s="1" t="s">
        <v>3181</v>
      </c>
      <c r="D336" s="3">
        <v>19.58</v>
      </c>
      <c r="E336" s="4">
        <v>0</v>
      </c>
      <c r="F336" s="4" t="s">
        <v>3178</v>
      </c>
      <c r="G336" s="4" t="s">
        <v>3178</v>
      </c>
      <c r="H336" s="3">
        <v>0</v>
      </c>
      <c r="I336" s="5">
        <v>490.472911</v>
      </c>
      <c r="J336" s="6" t="s">
        <v>3178</v>
      </c>
      <c r="K336" s="4">
        <v>-0</v>
      </c>
      <c r="L336" s="7">
        <v>2.340846076655642</v>
      </c>
      <c r="M336" s="3">
        <v>25.02</v>
      </c>
      <c r="N336" s="3">
        <v>9.34</v>
      </c>
    </row>
    <row r="337" spans="1:14">
      <c r="A337" s="8" t="s">
        <v>349</v>
      </c>
      <c r="B337" s="2">
        <f>HYPERLINK("https://www.suredividend.com/sure-analysis-BANF/","Bancfirst Corp.")</f>
        <v>0</v>
      </c>
      <c r="C337" s="1" t="s">
        <v>3180</v>
      </c>
      <c r="D337" s="3">
        <v>84.13</v>
      </c>
      <c r="E337" s="4">
        <v>0.02092000475454654</v>
      </c>
      <c r="F337" s="4">
        <v>0.07499999999999996</v>
      </c>
      <c r="G337" s="4">
        <v>0.07465593169226681</v>
      </c>
      <c r="H337" s="3">
        <v>1.666389396764201</v>
      </c>
      <c r="I337" s="5">
        <v>2775.536195</v>
      </c>
      <c r="J337" s="6">
        <v>13.52165577933023</v>
      </c>
      <c r="K337" s="4">
        <v>0.2718416634199349</v>
      </c>
      <c r="L337" s="7">
        <v>0.9008517557662831</v>
      </c>
      <c r="M337" s="3">
        <v>101.06</v>
      </c>
      <c r="N337" s="3">
        <v>78.51000000000001</v>
      </c>
    </row>
    <row r="338" spans="1:14">
      <c r="A338" s="8" t="s">
        <v>350</v>
      </c>
      <c r="B338" s="2">
        <f>HYPERLINK("https://www.suredividend.com/sure-analysis-research-database/","Banner Corp.")</f>
        <v>0</v>
      </c>
      <c r="C338" s="1" t="s">
        <v>3180</v>
      </c>
      <c r="D338" s="3">
        <v>46.25</v>
      </c>
      <c r="E338" s="4">
        <v>0.040414563598317</v>
      </c>
      <c r="F338" s="4">
        <v>0</v>
      </c>
      <c r="G338" s="4">
        <v>0.03202799005791701</v>
      </c>
      <c r="H338" s="3">
        <v>1.869173566422202</v>
      </c>
      <c r="I338" s="5">
        <v>1593.291595</v>
      </c>
      <c r="J338" s="6">
        <v>9.61969953751781</v>
      </c>
      <c r="K338" s="4">
        <v>0.3886015730607488</v>
      </c>
      <c r="L338" s="7">
        <v>1.06648045968445</v>
      </c>
      <c r="M338" s="3">
        <v>53.91</v>
      </c>
      <c r="N338" s="3">
        <v>37.21</v>
      </c>
    </row>
    <row r="339" spans="1:14">
      <c r="A339" s="8" t="s">
        <v>351</v>
      </c>
      <c r="B339" s="2">
        <f>HYPERLINK("https://www.suredividend.com/sure-analysis-research-database/","Atlanta Braves Holdings Inc")</f>
        <v>0</v>
      </c>
      <c r="C339" s="1" t="s">
        <v>3187</v>
      </c>
      <c r="D339" s="3">
        <v>41.82</v>
      </c>
      <c r="E339" s="4">
        <v>0</v>
      </c>
      <c r="F339" s="4" t="s">
        <v>3178</v>
      </c>
      <c r="G339" s="4" t="s">
        <v>3178</v>
      </c>
      <c r="H339" s="3">
        <v>0</v>
      </c>
      <c r="I339" s="5">
        <v>2448.144916</v>
      </c>
      <c r="J339" s="6">
        <v>0</v>
      </c>
      <c r="K339" s="4" t="s">
        <v>3178</v>
      </c>
      <c r="L339" s="7">
        <v>0.8840387151271231</v>
      </c>
      <c r="M339" s="3">
        <v>54.94</v>
      </c>
      <c r="N339" s="3">
        <v>36.78</v>
      </c>
    </row>
    <row r="340" spans="1:14">
      <c r="A340" s="8" t="s">
        <v>352</v>
      </c>
      <c r="B340" s="2">
        <f>HYPERLINK("https://www.suredividend.com/sure-analysis-research-database/","Atlanta Braves Holdings Inc")</f>
        <v>0</v>
      </c>
      <c r="C340" s="1" t="s">
        <v>3187</v>
      </c>
      <c r="D340" s="3">
        <v>39.82</v>
      </c>
      <c r="E340" s="4">
        <v>0</v>
      </c>
      <c r="F340" s="4" t="s">
        <v>3178</v>
      </c>
      <c r="G340" s="4" t="s">
        <v>3178</v>
      </c>
      <c r="H340" s="3">
        <v>0</v>
      </c>
      <c r="I340" s="5">
        <v>2448.144916</v>
      </c>
      <c r="J340" s="6">
        <v>0</v>
      </c>
      <c r="K340" s="4" t="s">
        <v>3178</v>
      </c>
      <c r="L340" s="7">
        <v>0.9032098667931451</v>
      </c>
      <c r="M340" s="3">
        <v>50.15</v>
      </c>
      <c r="N340" s="3">
        <v>33.95</v>
      </c>
    </row>
    <row r="341" spans="1:14">
      <c r="A341" s="8" t="s">
        <v>353</v>
      </c>
      <c r="B341" s="2">
        <f>HYPERLINK("https://www.suredividend.com/sure-analysis-BAX/","Baxter International Inc.")</f>
        <v>0</v>
      </c>
      <c r="C341" s="1" t="s">
        <v>3176</v>
      </c>
      <c r="D341" s="3">
        <v>33.16</v>
      </c>
      <c r="E341" s="4">
        <v>0.03498190591073583</v>
      </c>
      <c r="F341" s="4">
        <v>0</v>
      </c>
      <c r="G341" s="4">
        <v>0.05680549653640732</v>
      </c>
      <c r="H341" s="3">
        <v>1.146165647143182</v>
      </c>
      <c r="I341" s="5">
        <v>16897.6791</v>
      </c>
      <c r="J341" s="6">
        <v>6.378889807625518</v>
      </c>
      <c r="K341" s="4">
        <v>0.2191521313849296</v>
      </c>
      <c r="L341" s="7">
        <v>0.659313101071983</v>
      </c>
      <c r="M341" s="3">
        <v>48.69</v>
      </c>
      <c r="N341" s="3">
        <v>30.28</v>
      </c>
    </row>
    <row r="342" spans="1:14">
      <c r="A342" s="8" t="s">
        <v>354</v>
      </c>
      <c r="B342" s="2">
        <f>HYPERLINK("https://www.suredividend.com/sure-analysis-research-database/","Bed, Bath &amp; Beyond Inc.")</f>
        <v>0</v>
      </c>
      <c r="C342" s="1" t="s">
        <v>3182</v>
      </c>
      <c r="D342" s="3">
        <v>0.0751</v>
      </c>
      <c r="E342" s="4">
        <v>0</v>
      </c>
      <c r="F342" s="4" t="s">
        <v>3178</v>
      </c>
      <c r="G342" s="4" t="s">
        <v>3178</v>
      </c>
      <c r="H342" s="3">
        <v>0</v>
      </c>
      <c r="I342" s="5">
        <v>0</v>
      </c>
      <c r="J342" s="6">
        <v>0</v>
      </c>
      <c r="K342" s="4">
        <v>-0</v>
      </c>
    </row>
    <row r="343" spans="1:14">
      <c r="A343" s="8" t="s">
        <v>355</v>
      </c>
      <c r="B343" s="2">
        <f>HYPERLINK("https://www.suredividend.com/sure-analysis-research-database/","Concrete Pumping Holdings Inc")</f>
        <v>0</v>
      </c>
      <c r="C343" s="1" t="s">
        <v>3179</v>
      </c>
      <c r="D343" s="3">
        <v>6.555</v>
      </c>
      <c r="E343" s="4">
        <v>0</v>
      </c>
      <c r="F343" s="4" t="s">
        <v>3178</v>
      </c>
      <c r="G343" s="4" t="s">
        <v>3178</v>
      </c>
      <c r="H343" s="3">
        <v>0</v>
      </c>
      <c r="I343" s="5">
        <v>354.751717</v>
      </c>
      <c r="J343" s="6">
        <v>17.97121157674772</v>
      </c>
      <c r="K343" s="4">
        <v>0</v>
      </c>
      <c r="L343" s="7">
        <v>1.156256656338406</v>
      </c>
      <c r="M343" s="3">
        <v>9.15</v>
      </c>
      <c r="N343" s="3">
        <v>6.12</v>
      </c>
    </row>
    <row r="344" spans="1:14">
      <c r="A344" s="8" t="s">
        <v>356</v>
      </c>
      <c r="B344" s="2">
        <f>HYPERLINK("https://www.suredividend.com/sure-analysis-research-database/","Beasley Broadcast Group Inc")</f>
        <v>0</v>
      </c>
      <c r="C344" s="1" t="s">
        <v>3187</v>
      </c>
      <c r="D344" s="3">
        <v>0.6516000000000001</v>
      </c>
      <c r="E344" s="4">
        <v>0</v>
      </c>
      <c r="F344" s="4" t="s">
        <v>3178</v>
      </c>
      <c r="G344" s="4" t="s">
        <v>3178</v>
      </c>
      <c r="H344" s="3">
        <v>0</v>
      </c>
      <c r="I344" s="5">
        <v>8.914887</v>
      </c>
      <c r="J344" s="6" t="s">
        <v>3178</v>
      </c>
      <c r="K344" s="4">
        <v>-0</v>
      </c>
      <c r="L344" s="7">
        <v>-0.235143908986874</v>
      </c>
      <c r="M344" s="3">
        <v>1.28</v>
      </c>
      <c r="N344" s="3">
        <v>0.6039</v>
      </c>
    </row>
    <row r="345" spans="1:14">
      <c r="A345" s="8" t="s">
        <v>357</v>
      </c>
      <c r="B345" s="2">
        <f>HYPERLINK("https://www.suredividend.com/sure-analysis-research-database/","Barrett Business Services Inc.")</f>
        <v>0</v>
      </c>
      <c r="C345" s="1" t="s">
        <v>3179</v>
      </c>
      <c r="D345" s="3">
        <v>131.56</v>
      </c>
      <c r="E345" s="4">
        <v>0.009053709686289001</v>
      </c>
      <c r="F345" s="4">
        <v>0</v>
      </c>
      <c r="G345" s="4">
        <v>0</v>
      </c>
      <c r="H345" s="3">
        <v>1.191106046328263</v>
      </c>
      <c r="I345" s="5">
        <v>860.639076</v>
      </c>
      <c r="J345" s="6">
        <v>17.33167683186661</v>
      </c>
      <c r="K345" s="4">
        <v>0.161835060642427</v>
      </c>
      <c r="L345" s="7">
        <v>0.7148066975649411</v>
      </c>
      <c r="M345" s="3">
        <v>137.37</v>
      </c>
      <c r="N345" s="3">
        <v>80.93000000000001</v>
      </c>
    </row>
    <row r="346" spans="1:14">
      <c r="A346" s="8" t="s">
        <v>358</v>
      </c>
      <c r="B346" s="2">
        <f>HYPERLINK("https://www.suredividend.com/sure-analysis-research-database/","Build A Bear Workshop Inc")</f>
        <v>0</v>
      </c>
      <c r="C346" s="1" t="s">
        <v>3182</v>
      </c>
      <c r="D346" s="3">
        <v>26.17</v>
      </c>
      <c r="E346" s="4">
        <v>0.007642338669477001</v>
      </c>
      <c r="F346" s="4" t="s">
        <v>3178</v>
      </c>
      <c r="G346" s="4" t="s">
        <v>3178</v>
      </c>
      <c r="H346" s="3">
        <v>0.200000002980232</v>
      </c>
      <c r="I346" s="5">
        <v>369.17561</v>
      </c>
      <c r="J346" s="6">
        <v>6.991300260392009</v>
      </c>
      <c r="K346" s="4">
        <v>0.05479452136444713</v>
      </c>
      <c r="L346" s="7">
        <v>0.8047385499902171</v>
      </c>
      <c r="M346" s="3">
        <v>32.47</v>
      </c>
      <c r="N346" s="3">
        <v>19.24</v>
      </c>
    </row>
    <row r="347" spans="1:14">
      <c r="A347" s="8" t="s">
        <v>359</v>
      </c>
      <c r="B347" s="2">
        <f>HYPERLINK("https://www.suredividend.com/sure-analysis-BBY/","Best Buy Co. Inc.")</f>
        <v>0</v>
      </c>
      <c r="C347" s="1" t="s">
        <v>3182</v>
      </c>
      <c r="D347" s="3">
        <v>87.92</v>
      </c>
      <c r="E347" s="4">
        <v>0.04276615104640582</v>
      </c>
      <c r="F347" s="4">
        <v>0.02173913043478271</v>
      </c>
      <c r="G347" s="4">
        <v>0.1345707157370173</v>
      </c>
      <c r="H347" s="3">
        <v>3.632824138347085</v>
      </c>
      <c r="I347" s="5">
        <v>19021.704591</v>
      </c>
      <c r="J347" s="6">
        <v>15.32772328006446</v>
      </c>
      <c r="K347" s="4">
        <v>0.6395817144977263</v>
      </c>
      <c r="L347" s="7">
        <v>1.017728547420058</v>
      </c>
      <c r="M347" s="3">
        <v>89</v>
      </c>
      <c r="N347" s="3">
        <v>60.79</v>
      </c>
    </row>
    <row r="348" spans="1:14">
      <c r="A348" s="8" t="s">
        <v>360</v>
      </c>
      <c r="B348" s="2">
        <f>HYPERLINK("https://www.suredividend.com/sure-analysis-BC/","Brunswick Corp.")</f>
        <v>0</v>
      </c>
      <c r="C348" s="1" t="s">
        <v>3182</v>
      </c>
      <c r="D348" s="3">
        <v>77.18000000000001</v>
      </c>
      <c r="E348" s="4">
        <v>0.02176729722726094</v>
      </c>
      <c r="F348" s="4">
        <v>0.04999999999999982</v>
      </c>
      <c r="G348" s="4">
        <v>0.1486983549970351</v>
      </c>
      <c r="H348" s="3">
        <v>1.628115999939177</v>
      </c>
      <c r="I348" s="5">
        <v>5214.834952</v>
      </c>
      <c r="J348" s="6">
        <v>13.86555424727466</v>
      </c>
      <c r="K348" s="4">
        <v>0.3015029629516994</v>
      </c>
      <c r="L348" s="7">
        <v>1.267628071888425</v>
      </c>
      <c r="M348" s="3">
        <v>98.70999999999999</v>
      </c>
      <c r="N348" s="3">
        <v>65.48999999999999</v>
      </c>
    </row>
    <row r="349" spans="1:14">
      <c r="A349" s="8" t="s">
        <v>361</v>
      </c>
      <c r="B349" s="2">
        <f>HYPERLINK("https://www.suredividend.com/sure-analysis-research-database/","BCB Bancorp Inc (NJ)")</f>
        <v>0</v>
      </c>
      <c r="C349" s="1" t="s">
        <v>3180</v>
      </c>
      <c r="D349" s="3">
        <v>9.73</v>
      </c>
      <c r="E349" s="4">
        <v>0.062873246727962</v>
      </c>
      <c r="F349" s="4">
        <v>0</v>
      </c>
      <c r="G349" s="4">
        <v>0.02706608708935176</v>
      </c>
      <c r="H349" s="3">
        <v>0.611756690663079</v>
      </c>
      <c r="I349" s="5">
        <v>164.995414</v>
      </c>
      <c r="J349" s="6">
        <v>0</v>
      </c>
      <c r="K349" s="4" t="s">
        <v>3178</v>
      </c>
      <c r="L349" s="7">
        <v>1.132247881013964</v>
      </c>
      <c r="M349" s="3">
        <v>13.11</v>
      </c>
      <c r="N349" s="3">
        <v>8.59</v>
      </c>
    </row>
    <row r="350" spans="1:14">
      <c r="A350" s="8" t="s">
        <v>362</v>
      </c>
      <c r="B350" s="2">
        <f>HYPERLINK("https://www.suredividend.com/sure-analysis-research-database/","Boise Cascade Co")</f>
        <v>0</v>
      </c>
      <c r="C350" s="1" t="s">
        <v>3177</v>
      </c>
      <c r="D350" s="3">
        <v>128.91</v>
      </c>
      <c r="E350" s="4">
        <v>0.006125858151306</v>
      </c>
      <c r="F350" s="4">
        <v>0</v>
      </c>
      <c r="G350" s="4">
        <v>0.1486983549970351</v>
      </c>
      <c r="H350" s="3">
        <v>0.7896843742849241</v>
      </c>
      <c r="I350" s="5">
        <v>5089.275918</v>
      </c>
      <c r="J350" s="6">
        <v>10.36413198420925</v>
      </c>
      <c r="K350" s="4">
        <v>0.06420198164918081</v>
      </c>
      <c r="L350" s="7">
        <v>1.505073758998196</v>
      </c>
      <c r="M350" s="3">
        <v>154.45</v>
      </c>
      <c r="N350" s="3">
        <v>73.25</v>
      </c>
    </row>
    <row r="351" spans="1:14">
      <c r="A351" s="8" t="s">
        <v>363</v>
      </c>
      <c r="B351" s="2">
        <f>HYPERLINK("https://www.suredividend.com/sure-analysis-research-database/","Brainstorm Cell Therapeutics, Inc.")</f>
        <v>0</v>
      </c>
      <c r="C351" s="1" t="s">
        <v>3176</v>
      </c>
      <c r="D351" s="3">
        <v>0.4111</v>
      </c>
      <c r="E351" s="4">
        <v>0</v>
      </c>
      <c r="F351" s="4" t="s">
        <v>3178</v>
      </c>
      <c r="G351" s="4" t="s">
        <v>3178</v>
      </c>
      <c r="H351" s="3">
        <v>0</v>
      </c>
      <c r="I351" s="5">
        <v>28.810103</v>
      </c>
      <c r="J351" s="6">
        <v>0</v>
      </c>
      <c r="K351" s="4" t="s">
        <v>3178</v>
      </c>
      <c r="M351" s="3">
        <v>2.91</v>
      </c>
      <c r="N351" s="3">
        <v>0.134</v>
      </c>
    </row>
    <row r="352" spans="1:14">
      <c r="A352" s="8" t="s">
        <v>364</v>
      </c>
      <c r="B352" s="2">
        <f>HYPERLINK("https://www.suredividend.com/sure-analysis-research-database/","Brink`s Co.")</f>
        <v>0</v>
      </c>
      <c r="C352" s="1" t="s">
        <v>3179</v>
      </c>
      <c r="D352" s="3">
        <v>101.7</v>
      </c>
      <c r="E352" s="4">
        <v>0.008839356980165001</v>
      </c>
      <c r="F352" s="4">
        <v>0.1022727272727273</v>
      </c>
      <c r="G352" s="4">
        <v>0.1008397341583922</v>
      </c>
      <c r="H352" s="3">
        <v>0.8989626048828371</v>
      </c>
      <c r="I352" s="5">
        <v>4521.784993</v>
      </c>
      <c r="J352" s="6">
        <v>37.06381141967213</v>
      </c>
      <c r="K352" s="4">
        <v>0.3418108763813069</v>
      </c>
      <c r="L352" s="7">
        <v>1.139387242839398</v>
      </c>
      <c r="M352" s="3">
        <v>104.01</v>
      </c>
      <c r="N352" s="3">
        <v>63.06</v>
      </c>
    </row>
    <row r="353" spans="1:14">
      <c r="A353" s="8" t="s">
        <v>365</v>
      </c>
      <c r="B353" s="2">
        <f>HYPERLINK("https://www.suredividend.com/sure-analysis-research-database/","Blucora Inc")</f>
        <v>0</v>
      </c>
      <c r="C353" s="1" t="s">
        <v>3180</v>
      </c>
      <c r="D353" s="3">
        <v>27.19</v>
      </c>
      <c r="E353" s="4">
        <v>0</v>
      </c>
      <c r="F353" s="4" t="s">
        <v>3178</v>
      </c>
      <c r="G353" s="4" t="s">
        <v>3178</v>
      </c>
      <c r="H353" s="3">
        <v>0</v>
      </c>
      <c r="I353" s="5">
        <v>1309.030955</v>
      </c>
      <c r="J353" s="6">
        <v>45.91480025324448</v>
      </c>
      <c r="K353" s="4">
        <v>0</v>
      </c>
      <c r="L353" s="7">
        <v>0.8322828011960771</v>
      </c>
      <c r="M353" s="3">
        <v>27.75</v>
      </c>
      <c r="N353" s="3">
        <v>15.17</v>
      </c>
    </row>
    <row r="354" spans="1:14">
      <c r="A354" s="8" t="s">
        <v>366</v>
      </c>
      <c r="B354" s="2">
        <f>HYPERLINK("https://www.suredividend.com/sure-analysis-research-database/","Brightcove Inc")</f>
        <v>0</v>
      </c>
      <c r="C354" s="1" t="s">
        <v>3181</v>
      </c>
      <c r="D354" s="3">
        <v>2.05</v>
      </c>
      <c r="E354" s="4">
        <v>0</v>
      </c>
      <c r="F354" s="4" t="s">
        <v>3178</v>
      </c>
      <c r="G354" s="4" t="s">
        <v>3178</v>
      </c>
      <c r="H354" s="3">
        <v>0</v>
      </c>
      <c r="I354" s="5">
        <v>91.394086</v>
      </c>
      <c r="J354" s="6" t="s">
        <v>3178</v>
      </c>
      <c r="K354" s="4">
        <v>-0</v>
      </c>
      <c r="L354" s="7">
        <v>0.8255392367228871</v>
      </c>
      <c r="M354" s="3">
        <v>4.56</v>
      </c>
      <c r="N354" s="3">
        <v>1.55</v>
      </c>
    </row>
    <row r="355" spans="1:14">
      <c r="A355" s="8" t="s">
        <v>367</v>
      </c>
      <c r="B355" s="2">
        <f>HYPERLINK("https://www.suredividend.com/sure-analysis-BCPC/","Balchem Corp.")</f>
        <v>0</v>
      </c>
      <c r="C355" s="1" t="s">
        <v>3177</v>
      </c>
      <c r="D355" s="3">
        <v>152.25</v>
      </c>
      <c r="E355" s="4">
        <v>0.005188834154351396</v>
      </c>
      <c r="F355" s="4" t="s">
        <v>3178</v>
      </c>
      <c r="G355" s="4" t="s">
        <v>3178</v>
      </c>
      <c r="H355" s="3">
        <v>0.790000021457672</v>
      </c>
      <c r="I355" s="5">
        <v>5752.571693</v>
      </c>
      <c r="J355" s="6">
        <v>50.10121750372326</v>
      </c>
      <c r="K355" s="4">
        <v>0.2237960400729949</v>
      </c>
      <c r="M355" s="3">
        <v>159.52</v>
      </c>
      <c r="N355" s="3">
        <v>21.76</v>
      </c>
    </row>
    <row r="356" spans="1:14">
      <c r="A356" s="8" t="s">
        <v>368</v>
      </c>
      <c r="B356" s="2">
        <f>HYPERLINK("https://www.suredividend.com/sure-analysis-research-database/","Biocryst Pharmaceuticals Inc.")</f>
        <v>0</v>
      </c>
      <c r="C356" s="1" t="s">
        <v>3176</v>
      </c>
      <c r="D356" s="3">
        <v>6.31</v>
      </c>
      <c r="E356" s="4">
        <v>0</v>
      </c>
      <c r="F356" s="4" t="s">
        <v>3178</v>
      </c>
      <c r="G356" s="4" t="s">
        <v>3178</v>
      </c>
      <c r="H356" s="3">
        <v>0</v>
      </c>
      <c r="I356" s="5">
        <v>1302.239425</v>
      </c>
      <c r="J356" s="6" t="s">
        <v>3178</v>
      </c>
      <c r="K356" s="4">
        <v>-0</v>
      </c>
      <c r="L356" s="7">
        <v>1.564103772384041</v>
      </c>
      <c r="M356" s="3">
        <v>8.66</v>
      </c>
      <c r="N356" s="3">
        <v>4.03</v>
      </c>
    </row>
    <row r="357" spans="1:14">
      <c r="A357" s="8" t="s">
        <v>369</v>
      </c>
      <c r="B357" s="2">
        <f>HYPERLINK("https://www.suredividend.com/sure-analysis-research-database/","Belden Inc")</f>
        <v>0</v>
      </c>
      <c r="C357" s="1" t="s">
        <v>3179</v>
      </c>
      <c r="D357" s="3">
        <v>94.76000000000001</v>
      </c>
      <c r="E357" s="4">
        <v>0.002108694036633</v>
      </c>
      <c r="F357" s="4">
        <v>0</v>
      </c>
      <c r="G357" s="4">
        <v>0</v>
      </c>
      <c r="H357" s="3">
        <v>0.199819846911369</v>
      </c>
      <c r="I357" s="5">
        <v>3854.670307</v>
      </c>
      <c r="J357" s="6">
        <v>17.77328617982294</v>
      </c>
      <c r="K357" s="4">
        <v>0.03895123721469181</v>
      </c>
      <c r="L357" s="7">
        <v>1.195403186879997</v>
      </c>
      <c r="M357" s="3">
        <v>98.95</v>
      </c>
      <c r="N357" s="3">
        <v>60.47</v>
      </c>
    </row>
    <row r="358" spans="1:14">
      <c r="A358" s="8" t="s">
        <v>370</v>
      </c>
      <c r="B358" s="2">
        <f>HYPERLINK("https://www.suredividend.com/sure-analysis-research-database/","Bridge Bancorp, Inc.")</f>
        <v>0</v>
      </c>
      <c r="C358" s="1" t="s">
        <v>3180</v>
      </c>
      <c r="D358" s="3">
        <v>24.43</v>
      </c>
      <c r="E358" s="4">
        <v>0.029108780048538</v>
      </c>
      <c r="F358" s="4" t="s">
        <v>3178</v>
      </c>
      <c r="G358" s="4" t="s">
        <v>3178</v>
      </c>
      <c r="H358" s="3">
        <v>0.711127496585787</v>
      </c>
      <c r="I358" s="5">
        <v>482.72974</v>
      </c>
      <c r="J358" s="6">
        <v>10.42950717791941</v>
      </c>
      <c r="K358" s="4">
        <v>0.3000537960277582</v>
      </c>
      <c r="L358" s="7">
        <v>1.295065825778457</v>
      </c>
      <c r="M358" s="3">
        <v>30.55</v>
      </c>
      <c r="N358" s="3">
        <v>16.33</v>
      </c>
    </row>
    <row r="359" spans="1:14">
      <c r="A359" s="8" t="s">
        <v>371</v>
      </c>
      <c r="B359" s="2">
        <f>HYPERLINK("https://www.suredividend.com/sure-analysis-research-database/","Flanigan`s Enterprises, Inc.")</f>
        <v>0</v>
      </c>
      <c r="C359" s="1" t="s">
        <v>3182</v>
      </c>
      <c r="D359" s="3">
        <v>26.03</v>
      </c>
      <c r="E359" s="4">
        <v>0.01728774445175</v>
      </c>
      <c r="F359" s="4" t="s">
        <v>3178</v>
      </c>
      <c r="G359" s="4" t="s">
        <v>3178</v>
      </c>
      <c r="H359" s="3">
        <v>0.449999988079071</v>
      </c>
      <c r="I359" s="5">
        <v>48.380581</v>
      </c>
      <c r="J359" s="6">
        <v>0</v>
      </c>
      <c r="K359" s="4" t="s">
        <v>3178</v>
      </c>
      <c r="M359" s="3">
        <v>34.59</v>
      </c>
      <c r="N359" s="3">
        <v>24.43</v>
      </c>
    </row>
    <row r="360" spans="1:14">
      <c r="A360" s="8" t="s">
        <v>372</v>
      </c>
      <c r="B360" s="2">
        <f>HYPERLINK("https://www.suredividend.com/sure-analysis-BDN/","Brandywine Realty Trust")</f>
        <v>0</v>
      </c>
      <c r="C360" s="1" t="s">
        <v>3183</v>
      </c>
      <c r="D360" s="3">
        <v>4.54</v>
      </c>
      <c r="E360" s="4">
        <v>0.13215859030837</v>
      </c>
      <c r="F360" s="4">
        <v>-0.2105263157894737</v>
      </c>
      <c r="G360" s="4">
        <v>-0.04617756873980916</v>
      </c>
      <c r="H360" s="3">
        <v>0.608836412424637</v>
      </c>
      <c r="I360" s="5">
        <v>782.109918</v>
      </c>
      <c r="J360" s="6" t="s">
        <v>3178</v>
      </c>
      <c r="K360" s="4" t="s">
        <v>3178</v>
      </c>
      <c r="L360" s="7">
        <v>1.819708151614263</v>
      </c>
      <c r="M360" s="3">
        <v>5.48</v>
      </c>
      <c r="N360" s="3">
        <v>3.41</v>
      </c>
    </row>
    <row r="361" spans="1:14">
      <c r="A361" s="8" t="s">
        <v>373</v>
      </c>
      <c r="B361" s="2">
        <f>HYPERLINK("https://www.suredividend.com/sure-analysis-research-database/","Biodelivery Sciences International")</f>
        <v>0</v>
      </c>
      <c r="C361" s="1" t="s">
        <v>3176</v>
      </c>
      <c r="D361" s="3">
        <v>5.59</v>
      </c>
      <c r="E361" s="4">
        <v>0</v>
      </c>
      <c r="F361" s="4" t="s">
        <v>3178</v>
      </c>
      <c r="G361" s="4" t="s">
        <v>3178</v>
      </c>
      <c r="H361" s="3">
        <v>0</v>
      </c>
      <c r="I361" s="5">
        <v>0</v>
      </c>
      <c r="J361" s="6">
        <v>0</v>
      </c>
      <c r="K361" s="4" t="s">
        <v>3178</v>
      </c>
    </row>
    <row r="362" spans="1:14">
      <c r="A362" s="8" t="s">
        <v>374</v>
      </c>
      <c r="B362" s="2">
        <f>HYPERLINK("https://www.suredividend.com/sure-analysis-BDX/","Becton Dickinson &amp; Co.")</f>
        <v>0</v>
      </c>
      <c r="C362" s="1" t="s">
        <v>3176</v>
      </c>
      <c r="D362" s="3">
        <v>240.63</v>
      </c>
      <c r="E362" s="4">
        <v>0.01579187964925404</v>
      </c>
      <c r="F362" s="4" t="s">
        <v>3178</v>
      </c>
      <c r="G362" s="4" t="s">
        <v>3178</v>
      </c>
      <c r="H362" s="3">
        <v>2.798811913006156</v>
      </c>
      <c r="I362" s="5">
        <v>69543.62471</v>
      </c>
      <c r="J362" s="6">
        <v>52.76451040245068</v>
      </c>
      <c r="K362" s="4">
        <v>0.617839274394295</v>
      </c>
      <c r="L362" s="7">
        <v>0.5249413644505301</v>
      </c>
      <c r="M362" s="3">
        <v>284.02</v>
      </c>
      <c r="N362" s="3">
        <v>224</v>
      </c>
    </row>
    <row r="363" spans="1:14">
      <c r="A363" s="8" t="s">
        <v>375</v>
      </c>
      <c r="B363" s="2">
        <f>HYPERLINK("https://www.suredividend.com/sure-analysis-research-database/","Bloom Energy Corp")</f>
        <v>0</v>
      </c>
      <c r="C363" s="1" t="s">
        <v>3179</v>
      </c>
      <c r="D363" s="3">
        <v>14.84</v>
      </c>
      <c r="E363" s="4">
        <v>0</v>
      </c>
      <c r="F363" s="4" t="s">
        <v>3178</v>
      </c>
      <c r="G363" s="4" t="s">
        <v>3178</v>
      </c>
      <c r="H363" s="3">
        <v>0</v>
      </c>
      <c r="I363" s="5">
        <v>3324.16</v>
      </c>
      <c r="J363" s="6" t="s">
        <v>3178</v>
      </c>
      <c r="K363" s="4">
        <v>-0</v>
      </c>
      <c r="L363" s="7">
        <v>2.500979559225932</v>
      </c>
      <c r="M363" s="3">
        <v>18.76</v>
      </c>
      <c r="N363" s="3">
        <v>8.41</v>
      </c>
    </row>
    <row r="364" spans="1:14">
      <c r="A364" s="8" t="s">
        <v>376</v>
      </c>
      <c r="B364" s="2">
        <f>HYPERLINK("https://www.suredividend.com/sure-analysis-research-database/","HeartBeam Inc")</f>
        <v>0</v>
      </c>
      <c r="C364" s="1" t="s">
        <v>3176</v>
      </c>
      <c r="D364" s="3">
        <v>2.42</v>
      </c>
      <c r="E364" s="4">
        <v>0</v>
      </c>
      <c r="F364" s="4" t="s">
        <v>3178</v>
      </c>
      <c r="G364" s="4" t="s">
        <v>3178</v>
      </c>
      <c r="H364" s="3">
        <v>0</v>
      </c>
      <c r="I364" s="5">
        <v>63.716257</v>
      </c>
      <c r="J364" s="6">
        <v>0</v>
      </c>
      <c r="K364" s="4" t="s">
        <v>3178</v>
      </c>
      <c r="L364" s="7">
        <v>1.616648116012338</v>
      </c>
      <c r="M364" s="3">
        <v>3.74</v>
      </c>
      <c r="N364" s="3">
        <v>1.06</v>
      </c>
    </row>
    <row r="365" spans="1:14">
      <c r="A365" s="8" t="s">
        <v>377</v>
      </c>
      <c r="B365" s="2">
        <f>HYPERLINK("https://www.suredividend.com/sure-analysis-research-database/","Beacon Roofing Supply Inc")</f>
        <v>0</v>
      </c>
      <c r="C365" s="1" t="s">
        <v>3179</v>
      </c>
      <c r="D365" s="3">
        <v>96.41</v>
      </c>
      <c r="E365" s="4">
        <v>0</v>
      </c>
      <c r="F365" s="4" t="s">
        <v>3178</v>
      </c>
      <c r="G365" s="4" t="s">
        <v>3178</v>
      </c>
      <c r="H365" s="3">
        <v>0</v>
      </c>
      <c r="I365" s="5">
        <v>6131.582579</v>
      </c>
      <c r="J365" s="6" t="s">
        <v>3178</v>
      </c>
      <c r="K365" s="4">
        <v>-0</v>
      </c>
      <c r="L365" s="7">
        <v>1.116048616496139</v>
      </c>
      <c r="M365" s="3">
        <v>103.75</v>
      </c>
      <c r="N365" s="3">
        <v>68.5</v>
      </c>
    </row>
    <row r="366" spans="1:14">
      <c r="A366" s="8" t="s">
        <v>378</v>
      </c>
      <c r="B366" s="2">
        <f>HYPERLINK("https://www.suredividend.com/sure-analysis-research-database/","Bel Fuse Inc.")</f>
        <v>0</v>
      </c>
      <c r="C366" s="1" t="s">
        <v>3181</v>
      </c>
      <c r="D366" s="3">
        <v>81.7</v>
      </c>
      <c r="E366" s="4">
        <v>0.002928663283747</v>
      </c>
      <c r="F366" s="4">
        <v>0</v>
      </c>
      <c r="G366" s="4">
        <v>0</v>
      </c>
      <c r="H366" s="3">
        <v>0.239271790282211</v>
      </c>
      <c r="I366" s="5">
        <v>857.232239</v>
      </c>
      <c r="J366" s="6">
        <v>11.40953028815567</v>
      </c>
      <c r="K366" s="4">
        <v>0.0402814461754564</v>
      </c>
      <c r="M366" s="3">
        <v>85.91</v>
      </c>
      <c r="N366" s="3">
        <v>38.67</v>
      </c>
    </row>
    <row r="367" spans="1:14">
      <c r="A367" s="8" t="s">
        <v>379</v>
      </c>
      <c r="B367" s="2">
        <f>HYPERLINK("https://www.suredividend.com/sure-analysis-research-database/","Bel Fuse Inc.")</f>
        <v>0</v>
      </c>
      <c r="C367" s="1" t="s">
        <v>3181</v>
      </c>
      <c r="D367" s="3">
        <v>65.14</v>
      </c>
      <c r="E367" s="4">
        <v>0.004282885054915001</v>
      </c>
      <c r="F367" s="4">
        <v>0</v>
      </c>
      <c r="G367" s="4">
        <v>0</v>
      </c>
      <c r="H367" s="3">
        <v>0.278987132477172</v>
      </c>
      <c r="I367" s="5">
        <v>857.232239</v>
      </c>
      <c r="J367" s="6">
        <v>11.40953028815567</v>
      </c>
      <c r="K367" s="4">
        <v>0.04696753072006262</v>
      </c>
      <c r="L367" s="7">
        <v>0.577531202541106</v>
      </c>
      <c r="M367" s="3">
        <v>74.56999999999999</v>
      </c>
      <c r="N367" s="3">
        <v>38.95</v>
      </c>
    </row>
    <row r="368" spans="1:14">
      <c r="A368" s="8" t="s">
        <v>380</v>
      </c>
      <c r="B368" s="2">
        <f>HYPERLINK("https://www.suredividend.com/sure-analysis-BEN/","Franklin Resources, Inc.")</f>
        <v>0</v>
      </c>
      <c r="C368" s="1" t="s">
        <v>3180</v>
      </c>
      <c r="D368" s="3">
        <v>22.89</v>
      </c>
      <c r="E368" s="4">
        <v>0.05417212756662298</v>
      </c>
      <c r="F368" s="4">
        <v>0.03333333333333321</v>
      </c>
      <c r="G368" s="4">
        <v>0.03580420358021419</v>
      </c>
      <c r="H368" s="3">
        <v>1.199764654143738</v>
      </c>
      <c r="I368" s="5">
        <v>12042.229903</v>
      </c>
      <c r="J368" s="6">
        <v>13.99283047034627</v>
      </c>
      <c r="K368" s="4">
        <v>0.6935055804299063</v>
      </c>
      <c r="L368" s="7">
        <v>1.36020957789419</v>
      </c>
      <c r="M368" s="3">
        <v>29.66</v>
      </c>
      <c r="N368" s="3">
        <v>21.4</v>
      </c>
    </row>
    <row r="369" spans="1:14">
      <c r="A369" s="8" t="s">
        <v>381</v>
      </c>
      <c r="B369" s="2">
        <f>HYPERLINK("https://www.suredividend.com/sure-analysis-research-database/","Berry Global Group Inc")</f>
        <v>0</v>
      </c>
      <c r="C369" s="1" t="s">
        <v>3182</v>
      </c>
      <c r="D369" s="3">
        <v>59.51</v>
      </c>
      <c r="E369" s="4">
        <v>0.017942906328555</v>
      </c>
      <c r="F369" s="4" t="s">
        <v>3178</v>
      </c>
      <c r="G369" s="4" t="s">
        <v>3178</v>
      </c>
      <c r="H369" s="3">
        <v>1.06778235561235</v>
      </c>
      <c r="I369" s="5">
        <v>6807.944</v>
      </c>
      <c r="J369" s="6">
        <v>13.5078253968254</v>
      </c>
      <c r="K369" s="4">
        <v>0.2548406576640453</v>
      </c>
      <c r="L369" s="7">
        <v>0.94748354450238</v>
      </c>
      <c r="M369" s="3">
        <v>69.28</v>
      </c>
      <c r="N369" s="3">
        <v>53.19</v>
      </c>
    </row>
    <row r="370" spans="1:14">
      <c r="A370" s="8" t="s">
        <v>382</v>
      </c>
      <c r="B370" s="2">
        <f>HYPERLINK("https://www.suredividend.com/sure-analysis-research-database/","Bright Horizons Family Solutions, Inc.")</f>
        <v>0</v>
      </c>
      <c r="C370" s="1" t="s">
        <v>3182</v>
      </c>
      <c r="D370" s="3">
        <v>106.97</v>
      </c>
      <c r="E370" s="4">
        <v>0</v>
      </c>
      <c r="F370" s="4" t="s">
        <v>3178</v>
      </c>
      <c r="G370" s="4" t="s">
        <v>3178</v>
      </c>
      <c r="H370" s="3">
        <v>0</v>
      </c>
      <c r="I370" s="5">
        <v>6204.704567</v>
      </c>
      <c r="J370" s="6">
        <v>74.80955591174342</v>
      </c>
      <c r="K370" s="4">
        <v>0</v>
      </c>
      <c r="L370" s="7">
        <v>1.317314825475996</v>
      </c>
      <c r="M370" s="3">
        <v>119.21</v>
      </c>
      <c r="N370" s="3">
        <v>71.65000000000001</v>
      </c>
    </row>
    <row r="371" spans="1:14">
      <c r="A371" s="8" t="s">
        <v>383</v>
      </c>
      <c r="B371" s="2">
        <f>HYPERLINK("https://www.suredividend.com/sure-analysis-research-database/","Bankfinancial Corp")</f>
        <v>0</v>
      </c>
      <c r="C371" s="1" t="s">
        <v>3180</v>
      </c>
      <c r="D371" s="3">
        <v>9.82</v>
      </c>
      <c r="E371" s="4">
        <v>0.039508727135652</v>
      </c>
      <c r="F371" s="4">
        <v>0</v>
      </c>
      <c r="G371" s="4">
        <v>0</v>
      </c>
      <c r="H371" s="3">
        <v>0.3879757004721061</v>
      </c>
      <c r="I371" s="5">
        <v>122.363858</v>
      </c>
      <c r="J371" s="6">
        <v>14.44673647697757</v>
      </c>
      <c r="K371" s="4">
        <v>0.5752901845671798</v>
      </c>
      <c r="L371" s="7">
        <v>0.359143675040517</v>
      </c>
      <c r="M371" s="3">
        <v>10.7</v>
      </c>
      <c r="N371" s="3">
        <v>7.05</v>
      </c>
    </row>
    <row r="372" spans="1:14">
      <c r="A372" s="8" t="s">
        <v>384</v>
      </c>
      <c r="B372" s="2">
        <f>HYPERLINK("https://www.suredividend.com/sure-analysis-BFS/","Saul Centers, Inc.")</f>
        <v>0</v>
      </c>
      <c r="C372" s="1" t="s">
        <v>3183</v>
      </c>
      <c r="D372" s="3">
        <v>36.35</v>
      </c>
      <c r="E372" s="4">
        <v>0.06492434662998624</v>
      </c>
      <c r="F372" s="4">
        <v>0</v>
      </c>
      <c r="G372" s="4">
        <v>0.02168079166422654</v>
      </c>
      <c r="H372" s="3">
        <v>2.305062279859833</v>
      </c>
      <c r="I372" s="5">
        <v>871.734613</v>
      </c>
      <c r="J372" s="6">
        <v>20.9435795894097</v>
      </c>
      <c r="K372" s="4">
        <v>1.33240594211551</v>
      </c>
      <c r="L372" s="7">
        <v>0.8230515973233931</v>
      </c>
      <c r="M372" s="3">
        <v>39.79</v>
      </c>
      <c r="N372" s="3">
        <v>32.14</v>
      </c>
    </row>
    <row r="373" spans="1:14">
      <c r="A373" s="8" t="s">
        <v>385</v>
      </c>
      <c r="B373" s="2">
        <f>HYPERLINK("https://www.suredividend.com/sure-analysis-research-database/","Business First Bancshares Inc.")</f>
        <v>0</v>
      </c>
      <c r="C373" s="1" t="s">
        <v>3180</v>
      </c>
      <c r="D373" s="3">
        <v>20.57</v>
      </c>
      <c r="E373" s="4">
        <v>0.025755899493959</v>
      </c>
      <c r="F373" s="4" t="s">
        <v>3178</v>
      </c>
      <c r="G373" s="4" t="s">
        <v>3178</v>
      </c>
      <c r="H373" s="3">
        <v>0.529798852590745</v>
      </c>
      <c r="I373" s="5">
        <v>524.585993</v>
      </c>
      <c r="J373" s="6">
        <v>8.172776310312058</v>
      </c>
      <c r="K373" s="4">
        <v>0.2094066611030612</v>
      </c>
      <c r="L373" s="7">
        <v>1.16702465122444</v>
      </c>
      <c r="M373" s="3">
        <v>24.9</v>
      </c>
      <c r="N373" s="3">
        <v>13.67</v>
      </c>
    </row>
    <row r="374" spans="1:14">
      <c r="A374" s="8" t="s">
        <v>386</v>
      </c>
      <c r="B374" s="2">
        <f>HYPERLINK("https://www.suredividend.com/sure-analysis-BG/","Bunge Global SA")</f>
        <v>0</v>
      </c>
      <c r="C374" s="1" t="s">
        <v>3184</v>
      </c>
      <c r="D374" s="3">
        <v>104.13</v>
      </c>
      <c r="E374" s="4">
        <v>0.0254489580332277</v>
      </c>
      <c r="F374" s="4">
        <v>0.08800000000000008</v>
      </c>
      <c r="G374" s="4">
        <v>0.06342724238285391</v>
      </c>
      <c r="H374" s="3">
        <v>2.640738907571672</v>
      </c>
      <c r="I374" s="5">
        <v>14744.298492</v>
      </c>
      <c r="J374" s="6">
        <v>7.511104682582781</v>
      </c>
      <c r="K374" s="4">
        <v>0.2045498766515625</v>
      </c>
      <c r="L374" s="7">
        <v>0.330542820546629</v>
      </c>
      <c r="M374" s="3">
        <v>113.58</v>
      </c>
      <c r="N374" s="3">
        <v>84.91</v>
      </c>
    </row>
    <row r="375" spans="1:14">
      <c r="A375" s="8" t="s">
        <v>387</v>
      </c>
      <c r="B375" s="2">
        <f>HYPERLINK("https://www.suredividend.com/sure-analysis-research-database/","BGC Partners Inc")</f>
        <v>0</v>
      </c>
      <c r="C375" s="1" t="s">
        <v>3180</v>
      </c>
      <c r="D375" s="3">
        <v>4.43</v>
      </c>
      <c r="E375" s="4">
        <v>0.008983444857413</v>
      </c>
      <c r="F375" s="4" t="s">
        <v>3178</v>
      </c>
      <c r="G375" s="4" t="s">
        <v>3178</v>
      </c>
      <c r="H375" s="3">
        <v>0.039796660718343</v>
      </c>
      <c r="I375" s="5">
        <v>1499.497849</v>
      </c>
      <c r="J375" s="6">
        <v>35.94366576945203</v>
      </c>
      <c r="K375" s="4">
        <v>0.476036611463433</v>
      </c>
      <c r="L375" s="7">
        <v>1.284285304931228</v>
      </c>
      <c r="M375" s="3">
        <v>5.48</v>
      </c>
      <c r="N375" s="3">
        <v>3.11</v>
      </c>
    </row>
    <row r="376" spans="1:14">
      <c r="A376" s="8" t="s">
        <v>388</v>
      </c>
      <c r="B376" s="2">
        <f>HYPERLINK("https://www.suredividend.com/sure-analysis-research-database/","Big 5 Sporting Goods Corp")</f>
        <v>0</v>
      </c>
      <c r="C376" s="1" t="s">
        <v>3182</v>
      </c>
      <c r="D376" s="3">
        <v>3.27</v>
      </c>
      <c r="E376" s="4">
        <v>0.135879329850676</v>
      </c>
      <c r="F376" s="4">
        <v>-0.8</v>
      </c>
      <c r="G376" s="4">
        <v>0</v>
      </c>
      <c r="H376" s="3">
        <v>0.44432540861171</v>
      </c>
      <c r="I376" s="5">
        <v>73.981239</v>
      </c>
      <c r="J376" s="6" t="s">
        <v>3178</v>
      </c>
      <c r="K376" s="4" t="s">
        <v>3178</v>
      </c>
      <c r="L376" s="7">
        <v>1.179678665154936</v>
      </c>
      <c r="M376" s="3">
        <v>8.56</v>
      </c>
      <c r="N376" s="3">
        <v>2.91</v>
      </c>
    </row>
    <row r="377" spans="1:14">
      <c r="A377" s="8" t="s">
        <v>389</v>
      </c>
      <c r="B377" s="2">
        <f>HYPERLINK("https://www.suredividend.com/sure-analysis-BGS/","B&amp;G Foods, Inc")</f>
        <v>0</v>
      </c>
      <c r="C377" s="1" t="s">
        <v>3184</v>
      </c>
      <c r="D377" s="3">
        <v>9.35</v>
      </c>
      <c r="E377" s="4">
        <v>0.08128342245989305</v>
      </c>
      <c r="F377" s="4">
        <v>0</v>
      </c>
      <c r="G377" s="4">
        <v>-0.1674467925981269</v>
      </c>
      <c r="H377" s="3">
        <v>0.740322386954117</v>
      </c>
      <c r="I377" s="5">
        <v>739.127972</v>
      </c>
      <c r="J377" s="6" t="s">
        <v>3178</v>
      </c>
      <c r="K377" s="4" t="s">
        <v>3178</v>
      </c>
      <c r="L377" s="7">
        <v>0.8124638945164501</v>
      </c>
      <c r="M377" s="3">
        <v>14.35</v>
      </c>
      <c r="N377" s="3">
        <v>6.96</v>
      </c>
    </row>
    <row r="378" spans="1:14">
      <c r="A378" s="8" t="s">
        <v>390</v>
      </c>
      <c r="B378" s="2">
        <f>HYPERLINK("https://www.suredividend.com/sure-analysis-research-database/","BGSF Inc")</f>
        <v>0</v>
      </c>
      <c r="C378" s="1" t="s">
        <v>3179</v>
      </c>
      <c r="D378" s="3">
        <v>6.61</v>
      </c>
      <c r="E378" s="4">
        <v>0.067076824189921</v>
      </c>
      <c r="F378" s="4">
        <v>0</v>
      </c>
      <c r="G378" s="4">
        <v>-0.1294494367038759</v>
      </c>
      <c r="H378" s="3">
        <v>0.4433778078953811</v>
      </c>
      <c r="I378" s="5">
        <v>72.338604</v>
      </c>
      <c r="J378" s="6">
        <v>13.27070334434049</v>
      </c>
      <c r="K378" s="4">
        <v>0.8781497482578353</v>
      </c>
      <c r="L378" s="7">
        <v>0.416313786202092</v>
      </c>
      <c r="M378" s="3">
        <v>11.19</v>
      </c>
      <c r="N378" s="3">
        <v>6.4</v>
      </c>
    </row>
    <row r="379" spans="1:14">
      <c r="A379" s="8" t="s">
        <v>391</v>
      </c>
      <c r="B379" s="2">
        <f>HYPERLINK("https://www.suredividend.com/sure-analysis-research-database/","Biglari Holdings Inc.")</f>
        <v>0</v>
      </c>
      <c r="C379" s="1" t="s">
        <v>3182</v>
      </c>
      <c r="D379" s="3">
        <v>195.6</v>
      </c>
      <c r="E379" s="4">
        <v>0</v>
      </c>
      <c r="F379" s="4" t="s">
        <v>3178</v>
      </c>
      <c r="G379" s="4" t="s">
        <v>3178</v>
      </c>
      <c r="H379" s="3">
        <v>0</v>
      </c>
      <c r="I379" s="5">
        <v>607.352704</v>
      </c>
      <c r="J379" s="6">
        <v>11.05322675984567</v>
      </c>
      <c r="K379" s="4">
        <v>0</v>
      </c>
      <c r="L379" s="7">
        <v>0.889006569284668</v>
      </c>
      <c r="M379" s="3">
        <v>219</v>
      </c>
      <c r="N379" s="3">
        <v>137.01</v>
      </c>
    </row>
    <row r="380" spans="1:14">
      <c r="A380" s="8" t="s">
        <v>392</v>
      </c>
      <c r="B380" s="2">
        <f>HYPERLINK("https://www.suredividend.com/sure-analysis-BHB/","Bar Harbor Bankshares Inc")</f>
        <v>0</v>
      </c>
      <c r="C380" s="1" t="s">
        <v>3180</v>
      </c>
      <c r="D380" s="3">
        <v>25.53</v>
      </c>
      <c r="E380" s="4">
        <v>0.04700352526439482</v>
      </c>
      <c r="F380" s="4">
        <v>0.0714285714285714</v>
      </c>
      <c r="G380" s="4">
        <v>0.06399531281508364</v>
      </c>
      <c r="H380" s="3">
        <v>1.102684244519045</v>
      </c>
      <c r="I380" s="5">
        <v>388.88381</v>
      </c>
      <c r="J380" s="6">
        <v>0</v>
      </c>
      <c r="K380" s="4" t="s">
        <v>3178</v>
      </c>
      <c r="L380" s="7">
        <v>0.849429383881467</v>
      </c>
      <c r="M380" s="3">
        <v>29.01</v>
      </c>
      <c r="N380" s="3">
        <v>21.28</v>
      </c>
    </row>
    <row r="381" spans="1:14">
      <c r="A381" s="8" t="s">
        <v>393</v>
      </c>
      <c r="B381" s="2">
        <f>HYPERLINK("https://www.suredividend.com/sure-analysis-research-database/","Benchmark Electronics Inc.")</f>
        <v>0</v>
      </c>
      <c r="C381" s="1" t="s">
        <v>3181</v>
      </c>
      <c r="D381" s="3">
        <v>40.5</v>
      </c>
      <c r="E381" s="4">
        <v>0.016152503905837</v>
      </c>
      <c r="F381" s="4">
        <v>0</v>
      </c>
      <c r="G381" s="4">
        <v>0.01924487649145656</v>
      </c>
      <c r="H381" s="3">
        <v>0.6541764081864141</v>
      </c>
      <c r="I381" s="5">
        <v>1459.853969</v>
      </c>
      <c r="J381" s="6">
        <v>22.13341978106948</v>
      </c>
      <c r="K381" s="4">
        <v>0.3594375869156121</v>
      </c>
      <c r="L381" s="7">
        <v>1.113781732599001</v>
      </c>
      <c r="M381" s="3">
        <v>44.85</v>
      </c>
      <c r="N381" s="3">
        <v>22.4</v>
      </c>
    </row>
    <row r="382" spans="1:14">
      <c r="A382" s="8" t="s">
        <v>394</v>
      </c>
      <c r="B382" s="2">
        <f>HYPERLINK("https://www.suredividend.com/sure-analysis-research-database/","Brighthouse Financial Inc")</f>
        <v>0</v>
      </c>
      <c r="C382" s="1" t="s">
        <v>3180</v>
      </c>
      <c r="D382" s="3">
        <v>42.86</v>
      </c>
      <c r="E382" s="4">
        <v>0</v>
      </c>
      <c r="F382" s="4" t="s">
        <v>3178</v>
      </c>
      <c r="G382" s="4" t="s">
        <v>3178</v>
      </c>
      <c r="H382" s="3">
        <v>0</v>
      </c>
      <c r="I382" s="5">
        <v>2662.089804</v>
      </c>
      <c r="J382" s="6" t="s">
        <v>3178</v>
      </c>
      <c r="K382" s="4">
        <v>-0</v>
      </c>
      <c r="L382" s="7">
        <v>1.29721131793511</v>
      </c>
      <c r="M382" s="3">
        <v>56.25</v>
      </c>
      <c r="N382" s="3">
        <v>41.73</v>
      </c>
    </row>
    <row r="383" spans="1:14">
      <c r="A383" s="8" t="s">
        <v>395</v>
      </c>
      <c r="B383" s="2">
        <f>HYPERLINK("https://www.suredividend.com/sure-analysis-research-database/","Berkshire Hills Bancorp Inc.")</f>
        <v>0</v>
      </c>
      <c r="C383" s="1" t="s">
        <v>3180</v>
      </c>
      <c r="D383" s="3">
        <v>21.65</v>
      </c>
      <c r="E383" s="4">
        <v>0.024735307228663</v>
      </c>
      <c r="F383" s="4" t="s">
        <v>3178</v>
      </c>
      <c r="G383" s="4" t="s">
        <v>3178</v>
      </c>
      <c r="H383" s="3">
        <v>0.5355194015005671</v>
      </c>
      <c r="I383" s="5">
        <v>937.291415</v>
      </c>
      <c r="J383" s="6">
        <v>13.46721766286388</v>
      </c>
      <c r="K383" s="4">
        <v>0.3346996259378544</v>
      </c>
      <c r="L383" s="7">
        <v>1.015906823996493</v>
      </c>
      <c r="M383" s="3">
        <v>25.57</v>
      </c>
      <c r="N383" s="3">
        <v>18.01</v>
      </c>
    </row>
    <row r="384" spans="1:14">
      <c r="A384" s="8" t="s">
        <v>396</v>
      </c>
      <c r="B384" s="2">
        <f>HYPERLINK("https://www.suredividend.com/sure-analysis-research-database/","Braemar Hotels &amp; Resorts Inc")</f>
        <v>0</v>
      </c>
      <c r="C384" s="1" t="s">
        <v>3183</v>
      </c>
      <c r="D384" s="3">
        <v>2.84</v>
      </c>
      <c r="E384" s="4">
        <v>0.06814115785932201</v>
      </c>
      <c r="F384" s="4" t="s">
        <v>3178</v>
      </c>
      <c r="G384" s="4" t="s">
        <v>3178</v>
      </c>
      <c r="H384" s="3">
        <v>0.193520888320476</v>
      </c>
      <c r="I384" s="5">
        <v>188.795904</v>
      </c>
      <c r="J384" s="6" t="s">
        <v>3178</v>
      </c>
      <c r="K384" s="4" t="s">
        <v>3178</v>
      </c>
      <c r="L384" s="7">
        <v>1.894687385455423</v>
      </c>
      <c r="M384" s="3">
        <v>3.98</v>
      </c>
      <c r="N384" s="3">
        <v>1.75</v>
      </c>
    </row>
    <row r="385" spans="1:14">
      <c r="A385" s="8" t="s">
        <v>397</v>
      </c>
      <c r="B385" s="2">
        <f>HYPERLINK("https://www.suredividend.com/sure-analysis-research-database/","Biohaven Ltd")</f>
        <v>0</v>
      </c>
      <c r="C385" s="1" t="s">
        <v>3176</v>
      </c>
      <c r="D385" s="3">
        <v>33.64</v>
      </c>
      <c r="E385" s="4">
        <v>0</v>
      </c>
      <c r="F385" s="4" t="s">
        <v>3178</v>
      </c>
      <c r="G385" s="4" t="s">
        <v>3178</v>
      </c>
      <c r="H385" s="3">
        <v>0</v>
      </c>
      <c r="I385" s="5">
        <v>2970.139819</v>
      </c>
      <c r="J385" s="6">
        <v>0</v>
      </c>
      <c r="K385" s="4" t="s">
        <v>3178</v>
      </c>
      <c r="L385" s="7">
        <v>1.726251232136277</v>
      </c>
      <c r="M385" s="3">
        <v>62.21</v>
      </c>
      <c r="N385" s="3">
        <v>16.45</v>
      </c>
    </row>
    <row r="386" spans="1:14">
      <c r="A386" s="8" t="s">
        <v>398</v>
      </c>
      <c r="B386" s="2">
        <f>HYPERLINK("https://www.suredividend.com/sure-analysis-research-database/","Big Lots Inc")</f>
        <v>0</v>
      </c>
      <c r="C386" s="1" t="s">
        <v>3184</v>
      </c>
      <c r="D386" s="3">
        <v>2.66</v>
      </c>
      <c r="E386" s="4">
        <v>0</v>
      </c>
      <c r="F386" s="4" t="s">
        <v>3178</v>
      </c>
      <c r="G386" s="4" t="s">
        <v>3178</v>
      </c>
      <c r="H386" s="3">
        <v>0</v>
      </c>
      <c r="I386" s="5">
        <v>78.50338600000001</v>
      </c>
      <c r="J386" s="6" t="s">
        <v>3178</v>
      </c>
      <c r="K386" s="4">
        <v>-0</v>
      </c>
      <c r="L386" s="7">
        <v>2.608559113520469</v>
      </c>
      <c r="M386" s="3">
        <v>11.06</v>
      </c>
      <c r="N386" s="3">
        <v>2.59</v>
      </c>
    </row>
    <row r="387" spans="1:14">
      <c r="A387" s="8" t="s">
        <v>399</v>
      </c>
      <c r="B387" s="2">
        <f>HYPERLINK("https://www.suredividend.com/sure-analysis-research-database/","Biogen Inc")</f>
        <v>0</v>
      </c>
      <c r="C387" s="1" t="s">
        <v>3176</v>
      </c>
      <c r="D387" s="3">
        <v>225.43</v>
      </c>
      <c r="E387" s="4">
        <v>0</v>
      </c>
      <c r="F387" s="4" t="s">
        <v>3178</v>
      </c>
      <c r="G387" s="4" t="s">
        <v>3178</v>
      </c>
      <c r="H387" s="3">
        <v>0</v>
      </c>
      <c r="I387" s="5">
        <v>32821.90804</v>
      </c>
      <c r="J387" s="6">
        <v>28.13467172968456</v>
      </c>
      <c r="K387" s="4">
        <v>0</v>
      </c>
      <c r="L387" s="7">
        <v>0.8327792635214351</v>
      </c>
      <c r="M387" s="3">
        <v>319.76</v>
      </c>
      <c r="N387" s="3">
        <v>189.44</v>
      </c>
    </row>
    <row r="388" spans="1:14">
      <c r="A388" s="8" t="s">
        <v>400</v>
      </c>
      <c r="B388" s="2">
        <f>HYPERLINK("https://www.suredividend.com/sure-analysis-research-database/","Bio-Rad Laboratories Inc.")</f>
        <v>0</v>
      </c>
      <c r="C388" s="1" t="s">
        <v>3176</v>
      </c>
      <c r="D388" s="3">
        <v>287.02</v>
      </c>
      <c r="E388" s="4">
        <v>0</v>
      </c>
      <c r="F388" s="4" t="s">
        <v>3178</v>
      </c>
      <c r="G388" s="4" t="s">
        <v>3178</v>
      </c>
      <c r="H388" s="3">
        <v>0</v>
      </c>
      <c r="I388" s="5">
        <v>8194.196400000001</v>
      </c>
      <c r="J388" s="6" t="s">
        <v>3178</v>
      </c>
      <c r="K388" s="4">
        <v>-0</v>
      </c>
      <c r="L388" s="7">
        <v>1.116899103633368</v>
      </c>
      <c r="M388" s="3">
        <v>431.79</v>
      </c>
      <c r="N388" s="3">
        <v>261.59</v>
      </c>
    </row>
    <row r="389" spans="1:14">
      <c r="A389" s="8" t="s">
        <v>401</v>
      </c>
      <c r="B389" s="2">
        <f>HYPERLINK("https://www.suredividend.com/sure-analysis-research-database/","Biocept Inc")</f>
        <v>0</v>
      </c>
      <c r="C389" s="1" t="s">
        <v>3176</v>
      </c>
      <c r="D389" s="3">
        <v>0.4349</v>
      </c>
      <c r="E389" s="4">
        <v>0</v>
      </c>
      <c r="F389" s="4" t="s">
        <v>3178</v>
      </c>
      <c r="G389" s="4" t="s">
        <v>3178</v>
      </c>
      <c r="H389" s="3">
        <v>0</v>
      </c>
      <c r="I389" s="5">
        <v>0</v>
      </c>
      <c r="J389" s="6">
        <v>0</v>
      </c>
      <c r="K389" s="4" t="s">
        <v>3178</v>
      </c>
    </row>
    <row r="390" spans="1:14">
      <c r="A390" s="8" t="s">
        <v>402</v>
      </c>
      <c r="B390" s="2">
        <f>HYPERLINK("https://www.suredividend.com/sure-analysis-research-database/","Biolase Inc")</f>
        <v>0</v>
      </c>
      <c r="C390" s="1" t="s">
        <v>3176</v>
      </c>
      <c r="D390" s="3">
        <v>0.145</v>
      </c>
      <c r="E390" s="4">
        <v>0</v>
      </c>
      <c r="F390" s="4" t="s">
        <v>3178</v>
      </c>
      <c r="G390" s="4" t="s">
        <v>3178</v>
      </c>
      <c r="H390" s="3">
        <v>0</v>
      </c>
      <c r="I390" s="5">
        <v>4.842272</v>
      </c>
      <c r="J390" s="6" t="s">
        <v>3178</v>
      </c>
      <c r="K390" s="4">
        <v>-0</v>
      </c>
      <c r="L390" s="7">
        <v>0.765921986522021</v>
      </c>
      <c r="M390" s="3">
        <v>10.31</v>
      </c>
      <c r="N390" s="3">
        <v>0.1251</v>
      </c>
    </row>
    <row r="391" spans="1:14">
      <c r="A391" s="8" t="s">
        <v>403</v>
      </c>
      <c r="B391" s="2">
        <f>HYPERLINK("https://www.suredividend.com/sure-analysis-research-database/","BioPlus Acquisition Corp")</f>
        <v>0</v>
      </c>
      <c r="C391" s="1" t="s">
        <v>3178</v>
      </c>
      <c r="D391" s="3">
        <v>10.795</v>
      </c>
      <c r="E391" s="4">
        <v>0</v>
      </c>
      <c r="F391" s="4" t="s">
        <v>3178</v>
      </c>
      <c r="G391" s="4" t="s">
        <v>3178</v>
      </c>
      <c r="H391" s="3">
        <v>0</v>
      </c>
      <c r="I391" s="5">
        <v>0</v>
      </c>
      <c r="J391" s="6">
        <v>0</v>
      </c>
      <c r="K391" s="4" t="s">
        <v>3178</v>
      </c>
    </row>
    <row r="392" spans="1:14">
      <c r="A392" s="8" t="s">
        <v>404</v>
      </c>
      <c r="B392" s="2">
        <f>HYPERLINK("https://www.suredividend.com/sure-analysis-research-database/","BJ`s Wholesale Club Holdings Inc")</f>
        <v>0</v>
      </c>
      <c r="C392" s="1" t="s">
        <v>3184</v>
      </c>
      <c r="D392" s="3">
        <v>88.44</v>
      </c>
      <c r="E392" s="4">
        <v>0</v>
      </c>
      <c r="F392" s="4" t="s">
        <v>3178</v>
      </c>
      <c r="G392" s="4" t="s">
        <v>3178</v>
      </c>
      <c r="H392" s="3">
        <v>0</v>
      </c>
      <c r="I392" s="5">
        <v>11736.790947</v>
      </c>
      <c r="J392" s="6">
        <v>22.62806173859564</v>
      </c>
      <c r="K392" s="4">
        <v>0</v>
      </c>
      <c r="L392" s="7">
        <v>0.335124154132151</v>
      </c>
      <c r="M392" s="3">
        <v>88.95</v>
      </c>
      <c r="N392" s="3">
        <v>60.45</v>
      </c>
    </row>
    <row r="393" spans="1:14">
      <c r="A393" s="8" t="s">
        <v>405</v>
      </c>
      <c r="B393" s="2">
        <f>HYPERLINK("https://www.suredividend.com/sure-analysis-research-database/","BJ`s Restaurant Inc.")</f>
        <v>0</v>
      </c>
      <c r="C393" s="1" t="s">
        <v>3182</v>
      </c>
      <c r="D393" s="3">
        <v>34.13</v>
      </c>
      <c r="E393" s="4">
        <v>0</v>
      </c>
      <c r="F393" s="4" t="s">
        <v>3178</v>
      </c>
      <c r="G393" s="4" t="s">
        <v>3178</v>
      </c>
      <c r="H393" s="3">
        <v>0</v>
      </c>
      <c r="I393" s="5">
        <v>798.065851</v>
      </c>
      <c r="J393" s="6">
        <v>33.38908256505731</v>
      </c>
      <c r="K393" s="4">
        <v>0</v>
      </c>
      <c r="L393" s="7">
        <v>1.539032032624132</v>
      </c>
      <c r="M393" s="3">
        <v>38.77</v>
      </c>
      <c r="N393" s="3">
        <v>21.64</v>
      </c>
    </row>
    <row r="394" spans="1:14">
      <c r="A394" s="8" t="s">
        <v>406</v>
      </c>
      <c r="B394" s="2">
        <f>HYPERLINK("https://www.suredividend.com/sure-analysis-BK/","Bank Of New York Mellon Corp")</f>
        <v>0</v>
      </c>
      <c r="C394" s="1" t="s">
        <v>3180</v>
      </c>
      <c r="D394" s="3">
        <v>60.31</v>
      </c>
      <c r="E394" s="4">
        <v>0.02785607693583153</v>
      </c>
      <c r="F394" s="4">
        <v>0.1351351351351351</v>
      </c>
      <c r="G394" s="4">
        <v>0.06261885889987062</v>
      </c>
      <c r="H394" s="3">
        <v>1.660305497672958</v>
      </c>
      <c r="I394" s="5">
        <v>45100.773009</v>
      </c>
      <c r="J394" s="6">
        <v>14.55333107739593</v>
      </c>
      <c r="K394" s="4">
        <v>0.4161166660834481</v>
      </c>
      <c r="L394" s="7">
        <v>0.7742259378812031</v>
      </c>
      <c r="M394" s="3">
        <v>60.67</v>
      </c>
      <c r="N394" s="3">
        <v>38.68</v>
      </c>
    </row>
    <row r="395" spans="1:14">
      <c r="A395" s="8" t="s">
        <v>407</v>
      </c>
      <c r="B395" s="2">
        <f>HYPERLINK("https://www.suredividend.com/sure-analysis-research-database/","Brookdale Senior Living Inc")</f>
        <v>0</v>
      </c>
      <c r="C395" s="1" t="s">
        <v>3176</v>
      </c>
      <c r="D395" s="3">
        <v>6.62</v>
      </c>
      <c r="E395" s="4">
        <v>0</v>
      </c>
      <c r="F395" s="4" t="s">
        <v>3178</v>
      </c>
      <c r="G395" s="4" t="s">
        <v>3178</v>
      </c>
      <c r="H395" s="3">
        <v>0</v>
      </c>
      <c r="I395" s="5">
        <v>1277.743154</v>
      </c>
      <c r="J395" s="6" t="s">
        <v>3178</v>
      </c>
      <c r="K395" s="4">
        <v>-0</v>
      </c>
      <c r="L395" s="7">
        <v>1.225690713014752</v>
      </c>
      <c r="M395" s="3">
        <v>7.62</v>
      </c>
      <c r="N395" s="3">
        <v>3.44</v>
      </c>
    </row>
    <row r="396" spans="1:14">
      <c r="A396" s="8" t="s">
        <v>408</v>
      </c>
      <c r="B396" s="2">
        <f>HYPERLINK("https://www.suredividend.com/sure-analysis-research-database/","Buckle, Inc.")</f>
        <v>0</v>
      </c>
      <c r="C396" s="1" t="s">
        <v>3182</v>
      </c>
      <c r="D396" s="3">
        <v>36.76</v>
      </c>
      <c r="E396" s="4">
        <v>0.036650640259728</v>
      </c>
      <c r="F396" s="4">
        <v>0</v>
      </c>
      <c r="G396" s="4">
        <v>-0.224768151615811</v>
      </c>
      <c r="H396" s="3">
        <v>1.347277535947602</v>
      </c>
      <c r="I396" s="5">
        <v>1866.725587</v>
      </c>
      <c r="J396" s="6">
        <v>8.488241522378694</v>
      </c>
      <c r="K396" s="4">
        <v>0.3061994399880913</v>
      </c>
      <c r="L396" s="7">
        <v>1.005587435861416</v>
      </c>
      <c r="M396" s="3">
        <v>44.98</v>
      </c>
      <c r="N396" s="3">
        <v>28.02</v>
      </c>
    </row>
    <row r="397" spans="1:14">
      <c r="A397" s="8" t="s">
        <v>409</v>
      </c>
      <c r="B397" s="2">
        <f>HYPERLINK("https://www.suredividend.com/sure-analysis-BKH/","Black Hills Corporation")</f>
        <v>0</v>
      </c>
      <c r="C397" s="1" t="s">
        <v>3186</v>
      </c>
      <c r="D397" s="3">
        <v>53.61</v>
      </c>
      <c r="E397" s="4">
        <v>0.0484984144749114</v>
      </c>
      <c r="F397" s="4">
        <v>0.04000000000000004</v>
      </c>
      <c r="G397" s="4">
        <v>0.05177875863992543</v>
      </c>
      <c r="H397" s="3">
        <v>2.505372877383</v>
      </c>
      <c r="I397" s="5">
        <v>3695.514535</v>
      </c>
      <c r="J397" s="6">
        <v>13.38876925489827</v>
      </c>
      <c r="K397" s="4">
        <v>0.6140619797507353</v>
      </c>
      <c r="L397" s="7">
        <v>0.690331027913758</v>
      </c>
      <c r="M397" s="3">
        <v>60.57</v>
      </c>
      <c r="N397" s="3">
        <v>44.78</v>
      </c>
    </row>
    <row r="398" spans="1:14">
      <c r="A398" s="8" t="s">
        <v>410</v>
      </c>
      <c r="B398" s="2">
        <f>HYPERLINK("https://www.suredividend.com/sure-analysis-research-database/","Black Knight Inc")</f>
        <v>0</v>
      </c>
      <c r="C398" s="1" t="s">
        <v>3181</v>
      </c>
      <c r="D398" s="3">
        <v>75.76000000000001</v>
      </c>
      <c r="E398" s="4">
        <v>0</v>
      </c>
      <c r="F398" s="4" t="s">
        <v>3178</v>
      </c>
      <c r="G398" s="4" t="s">
        <v>3178</v>
      </c>
      <c r="H398" s="3">
        <v>0</v>
      </c>
      <c r="I398" s="5">
        <v>11876.042218</v>
      </c>
      <c r="J398" s="6">
        <v>48.53306995570087</v>
      </c>
      <c r="K398" s="4">
        <v>0</v>
      </c>
      <c r="L398" s="7">
        <v>0.530217167068046</v>
      </c>
      <c r="M398" s="3">
        <v>75.98999999999999</v>
      </c>
      <c r="N398" s="3">
        <v>53.15</v>
      </c>
    </row>
    <row r="399" spans="1:14">
      <c r="A399" s="8" t="s">
        <v>411</v>
      </c>
      <c r="B399" s="2">
        <f>HYPERLINK("https://www.suredividend.com/sure-analysis-research-database/","Booking Holdings Inc")</f>
        <v>0</v>
      </c>
      <c r="C399" s="1" t="s">
        <v>3182</v>
      </c>
      <c r="D399" s="3">
        <v>3813.09</v>
      </c>
      <c r="E399" s="4">
        <v>0.004578928699544</v>
      </c>
      <c r="F399" s="4" t="s">
        <v>3178</v>
      </c>
      <c r="G399" s="4" t="s">
        <v>3178</v>
      </c>
      <c r="H399" s="3">
        <v>17.45986723494433</v>
      </c>
      <c r="I399" s="5">
        <v>129368.752059</v>
      </c>
      <c r="J399" s="6">
        <v>26.95743947891853</v>
      </c>
      <c r="K399" s="4">
        <v>0.129919393071987</v>
      </c>
      <c r="L399" s="7">
        <v>1.235788236454236</v>
      </c>
      <c r="M399" s="3">
        <v>3880.11</v>
      </c>
      <c r="N399" s="3">
        <v>2554.42</v>
      </c>
    </row>
    <row r="400" spans="1:14">
      <c r="A400" s="8" t="s">
        <v>412</v>
      </c>
      <c r="B400" s="2">
        <f>HYPERLINK("https://www.suredividend.com/sure-analysis-research-database/","Bank Of South Carolina Corp.")</f>
        <v>0</v>
      </c>
      <c r="C400" s="1" t="s">
        <v>3180</v>
      </c>
      <c r="D400" s="3">
        <v>11.48</v>
      </c>
      <c r="E400" s="4">
        <v>0</v>
      </c>
      <c r="F400" s="4">
        <v>0</v>
      </c>
      <c r="G400" s="4">
        <v>0.01219872924994259</v>
      </c>
      <c r="H400" s="3">
        <v>0.510000005364418</v>
      </c>
      <c r="I400" s="5">
        <v>0</v>
      </c>
      <c r="J400" s="6">
        <v>0</v>
      </c>
      <c r="K400" s="4" t="s">
        <v>3178</v>
      </c>
    </row>
    <row r="401" spans="1:14">
      <c r="A401" s="8" t="s">
        <v>413</v>
      </c>
      <c r="B401" s="2">
        <f>HYPERLINK("https://www.suredividend.com/sure-analysis-research-database/","BK Technologies Corp")</f>
        <v>0</v>
      </c>
      <c r="C401" s="1" t="s">
        <v>3181</v>
      </c>
      <c r="D401" s="3">
        <v>13.15</v>
      </c>
      <c r="E401" s="4">
        <v>0</v>
      </c>
      <c r="F401" s="4" t="s">
        <v>3178</v>
      </c>
      <c r="G401" s="4" t="s">
        <v>3178</v>
      </c>
      <c r="H401" s="3">
        <v>0</v>
      </c>
      <c r="I401" s="5">
        <v>46.415713</v>
      </c>
      <c r="J401" s="6">
        <v>0</v>
      </c>
      <c r="K401" s="4" t="s">
        <v>3178</v>
      </c>
      <c r="M401" s="3">
        <v>16.84</v>
      </c>
      <c r="N401" s="3">
        <v>8.789999999999999</v>
      </c>
    </row>
    <row r="402" spans="1:14">
      <c r="A402" s="8" t="s">
        <v>414</v>
      </c>
      <c r="B402" s="2">
        <f>HYPERLINK("https://www.suredividend.com/sure-analysis-research-database/","BankUnited Inc")</f>
        <v>0</v>
      </c>
      <c r="C402" s="1" t="s">
        <v>3180</v>
      </c>
      <c r="D402" s="3">
        <v>28.31</v>
      </c>
      <c r="E402" s="4">
        <v>0.03825521641623601</v>
      </c>
      <c r="F402" s="4">
        <v>0.07407407407407396</v>
      </c>
      <c r="G402" s="4">
        <v>0.06668390127527379</v>
      </c>
      <c r="H402" s="3">
        <v>1.083005176743666</v>
      </c>
      <c r="I402" s="5">
        <v>2116.363762</v>
      </c>
      <c r="J402" s="6">
        <v>12.42566293467667</v>
      </c>
      <c r="K402" s="4">
        <v>0.4668125761826147</v>
      </c>
      <c r="L402" s="7">
        <v>1.622864602830302</v>
      </c>
      <c r="M402" s="3">
        <v>33.54</v>
      </c>
      <c r="N402" s="3">
        <v>19.98</v>
      </c>
    </row>
    <row r="403" spans="1:14">
      <c r="A403" s="8" t="s">
        <v>415</v>
      </c>
      <c r="B403" s="2">
        <f>HYPERLINK("https://www.suredividend.com/sure-analysis-research-database/","BlackLine Inc")</f>
        <v>0</v>
      </c>
      <c r="C403" s="1" t="s">
        <v>3181</v>
      </c>
      <c r="D403" s="3">
        <v>46.01</v>
      </c>
      <c r="E403" s="4">
        <v>0</v>
      </c>
      <c r="F403" s="4" t="s">
        <v>3178</v>
      </c>
      <c r="G403" s="4" t="s">
        <v>3178</v>
      </c>
      <c r="H403" s="3">
        <v>0</v>
      </c>
      <c r="I403" s="5">
        <v>2844.219034</v>
      </c>
      <c r="J403" s="6">
        <v>37.58714198625611</v>
      </c>
      <c r="K403" s="4">
        <v>0</v>
      </c>
      <c r="L403" s="7">
        <v>1.986075955220572</v>
      </c>
      <c r="M403" s="3">
        <v>69.31</v>
      </c>
      <c r="N403" s="3">
        <v>45.63</v>
      </c>
    </row>
    <row r="404" spans="1:14">
      <c r="A404" s="8" t="s">
        <v>416</v>
      </c>
      <c r="B404" s="2">
        <f>HYPERLINK("https://www.suredividend.com/sure-analysis-research-database/","Blue Bird Corp")</f>
        <v>0</v>
      </c>
      <c r="C404" s="1" t="s">
        <v>3182</v>
      </c>
      <c r="D404" s="3">
        <v>56.35</v>
      </c>
      <c r="E404" s="4">
        <v>0</v>
      </c>
      <c r="F404" s="4" t="s">
        <v>3178</v>
      </c>
      <c r="G404" s="4" t="s">
        <v>3178</v>
      </c>
      <c r="H404" s="3">
        <v>0</v>
      </c>
      <c r="I404" s="5">
        <v>1820.052313</v>
      </c>
      <c r="J404" s="6">
        <v>22.7083595896393</v>
      </c>
      <c r="K404" s="4">
        <v>0</v>
      </c>
      <c r="L404" s="7">
        <v>1.961109096020042</v>
      </c>
      <c r="M404" s="3">
        <v>58.47</v>
      </c>
      <c r="N404" s="3">
        <v>17.59</v>
      </c>
    </row>
    <row r="405" spans="1:14">
      <c r="A405" s="8" t="s">
        <v>417</v>
      </c>
      <c r="B405" s="2">
        <f>HYPERLINK("https://www.suredividend.com/sure-analysis-research-database/","Bellicum Pharmaceuticals Inc")</f>
        <v>0</v>
      </c>
      <c r="C405" s="1" t="s">
        <v>3176</v>
      </c>
      <c r="D405" s="3">
        <v>0.07480000000000001</v>
      </c>
      <c r="E405" s="4">
        <v>0</v>
      </c>
      <c r="F405" s="4" t="s">
        <v>3178</v>
      </c>
      <c r="G405" s="4" t="s">
        <v>3178</v>
      </c>
      <c r="H405" s="3">
        <v>0</v>
      </c>
      <c r="I405" s="5">
        <v>0.726826</v>
      </c>
      <c r="J405" s="6">
        <v>0</v>
      </c>
      <c r="K405" s="4" t="s">
        <v>3178</v>
      </c>
      <c r="M405" s="3">
        <v>0.59</v>
      </c>
      <c r="N405" s="3">
        <v>0.06</v>
      </c>
    </row>
    <row r="406" spans="1:14">
      <c r="A406" s="8" t="s">
        <v>418</v>
      </c>
      <c r="B406" s="2">
        <f>HYPERLINK("https://www.suredividend.com/sure-analysis-research-database/","TopBuild Corp")</f>
        <v>0</v>
      </c>
      <c r="C406" s="1" t="s">
        <v>3179</v>
      </c>
      <c r="D406" s="3">
        <v>402.09</v>
      </c>
      <c r="E406" s="4">
        <v>0</v>
      </c>
      <c r="F406" s="4" t="s">
        <v>3178</v>
      </c>
      <c r="G406" s="4" t="s">
        <v>3178</v>
      </c>
      <c r="H406" s="3">
        <v>0</v>
      </c>
      <c r="I406" s="5">
        <v>12793.582612</v>
      </c>
      <c r="J406" s="6">
        <v>20.28264506085468</v>
      </c>
      <c r="K406" s="4">
        <v>0</v>
      </c>
      <c r="L406" s="7">
        <v>1.891538207218507</v>
      </c>
      <c r="M406" s="3">
        <v>452.87</v>
      </c>
      <c r="N406" s="3">
        <v>217.08</v>
      </c>
    </row>
    <row r="407" spans="1:14">
      <c r="A407" s="8" t="s">
        <v>419</v>
      </c>
      <c r="B407" s="2">
        <f>HYPERLINK("https://www.suredividend.com/sure-analysis-research-database/","Builders Firstsource Inc")</f>
        <v>0</v>
      </c>
      <c r="C407" s="1" t="s">
        <v>3179</v>
      </c>
      <c r="D407" s="3">
        <v>146.28</v>
      </c>
      <c r="E407" s="4">
        <v>0</v>
      </c>
      <c r="F407" s="4" t="s">
        <v>3178</v>
      </c>
      <c r="G407" s="4" t="s">
        <v>3178</v>
      </c>
      <c r="H407" s="3">
        <v>0</v>
      </c>
      <c r="I407" s="5">
        <v>17854.522681</v>
      </c>
      <c r="J407" s="6">
        <v>12.18281374318174</v>
      </c>
      <c r="K407" s="4">
        <v>0</v>
      </c>
      <c r="L407" s="7">
        <v>2.109963948689163</v>
      </c>
      <c r="M407" s="3">
        <v>214.7</v>
      </c>
      <c r="N407" s="3">
        <v>105.24</v>
      </c>
    </row>
    <row r="408" spans="1:14">
      <c r="A408" s="8" t="s">
        <v>420</v>
      </c>
      <c r="B408" s="2">
        <f>HYPERLINK("https://www.suredividend.com/sure-analysis-research-database/","Biolife Solutions Inc")</f>
        <v>0</v>
      </c>
      <c r="C408" s="1" t="s">
        <v>3176</v>
      </c>
      <c r="D408" s="3">
        <v>20.3</v>
      </c>
      <c r="E408" s="4">
        <v>0</v>
      </c>
      <c r="F408" s="4" t="s">
        <v>3178</v>
      </c>
      <c r="G408" s="4" t="s">
        <v>3178</v>
      </c>
      <c r="H408" s="3">
        <v>0</v>
      </c>
      <c r="I408" s="5">
        <v>935.195727</v>
      </c>
      <c r="J408" s="6" t="s">
        <v>3178</v>
      </c>
      <c r="K408" s="4">
        <v>-0</v>
      </c>
      <c r="L408" s="7">
        <v>2.238180353834958</v>
      </c>
      <c r="M408" s="3">
        <v>24.46</v>
      </c>
      <c r="N408" s="3">
        <v>8.92</v>
      </c>
    </row>
    <row r="409" spans="1:14">
      <c r="A409" s="8" t="s">
        <v>421</v>
      </c>
      <c r="B409" s="2">
        <f>HYPERLINK("https://www.suredividend.com/sure-analysis-BLK/","Blackrock Inc.")</f>
        <v>0</v>
      </c>
      <c r="C409" s="1" t="s">
        <v>3180</v>
      </c>
      <c r="D409" s="3">
        <v>768.6900000000001</v>
      </c>
      <c r="E409" s="4">
        <v>0.02653865667564297</v>
      </c>
      <c r="F409" s="4">
        <v>0.02000000000000002</v>
      </c>
      <c r="G409" s="4">
        <v>0.09096607850144967</v>
      </c>
      <c r="H409" s="3">
        <v>20.00709048801143</v>
      </c>
      <c r="I409" s="5">
        <v>114227.319395</v>
      </c>
      <c r="J409" s="6">
        <v>19.30167613972457</v>
      </c>
      <c r="K409" s="4">
        <v>0.5084394024907606</v>
      </c>
      <c r="L409" s="7">
        <v>1.177310514047812</v>
      </c>
      <c r="M409" s="3">
        <v>839.46</v>
      </c>
      <c r="N409" s="3">
        <v>584.72</v>
      </c>
    </row>
    <row r="410" spans="1:14">
      <c r="A410" s="8" t="s">
        <v>422</v>
      </c>
      <c r="B410" s="2">
        <f>HYPERLINK("https://www.suredividend.com/sure-analysis-research-database/","Blackbaud Inc")</f>
        <v>0</v>
      </c>
      <c r="C410" s="1" t="s">
        <v>3181</v>
      </c>
      <c r="D410" s="3">
        <v>78.12</v>
      </c>
      <c r="E410" s="4">
        <v>0</v>
      </c>
      <c r="F410" s="4" t="s">
        <v>3178</v>
      </c>
      <c r="G410" s="4" t="s">
        <v>3178</v>
      </c>
      <c r="H410" s="3">
        <v>0</v>
      </c>
      <c r="I410" s="5">
        <v>4033.029057</v>
      </c>
      <c r="J410" s="6">
        <v>185.2818053530574</v>
      </c>
      <c r="K410" s="4">
        <v>0</v>
      </c>
      <c r="L410" s="7">
        <v>1.212563185881168</v>
      </c>
      <c r="M410" s="3">
        <v>88.56</v>
      </c>
      <c r="N410" s="3">
        <v>64.31999999999999</v>
      </c>
    </row>
    <row r="411" spans="1:14">
      <c r="A411" s="8" t="s">
        <v>423</v>
      </c>
      <c r="B411" s="2">
        <f>HYPERLINK("https://www.suredividend.com/sure-analysis-research-database/","Ball Corp.")</f>
        <v>0</v>
      </c>
      <c r="C411" s="1" t="s">
        <v>3182</v>
      </c>
      <c r="D411" s="3">
        <v>69.48999999999999</v>
      </c>
      <c r="E411" s="4">
        <v>0.010760406380108</v>
      </c>
      <c r="F411" s="4" t="s">
        <v>3178</v>
      </c>
      <c r="G411" s="4" t="s">
        <v>3178</v>
      </c>
      <c r="H411" s="3">
        <v>0.7477406393537671</v>
      </c>
      <c r="I411" s="5">
        <v>22222.129619</v>
      </c>
      <c r="J411" s="6">
        <v>19.77057795253558</v>
      </c>
      <c r="K411" s="4">
        <v>0.2192787798691399</v>
      </c>
      <c r="M411" s="3">
        <v>97.77</v>
      </c>
      <c r="N411" s="3">
        <v>69.09999999999999</v>
      </c>
    </row>
    <row r="412" spans="1:14">
      <c r="A412" s="8" t="s">
        <v>424</v>
      </c>
      <c r="B412" s="2">
        <f>HYPERLINK("https://www.suredividend.com/sure-analysis-research-database/","Bloomin Brands Inc")</f>
        <v>0</v>
      </c>
      <c r="C412" s="1" t="s">
        <v>3182</v>
      </c>
      <c r="D412" s="3">
        <v>19.8</v>
      </c>
      <c r="E412" s="4">
        <v>0.047242359628758</v>
      </c>
      <c r="F412" s="4" t="s">
        <v>3178</v>
      </c>
      <c r="G412" s="4" t="s">
        <v>3178</v>
      </c>
      <c r="H412" s="3">
        <v>0.9353987206494251</v>
      </c>
      <c r="I412" s="5">
        <v>1712.232146</v>
      </c>
      <c r="J412" s="6">
        <v>23.71414132099774</v>
      </c>
      <c r="K412" s="4">
        <v>1.214015211744873</v>
      </c>
      <c r="L412" s="7">
        <v>0.8680555853932621</v>
      </c>
      <c r="M412" s="3">
        <v>29.53</v>
      </c>
      <c r="N412" s="3">
        <v>19.67</v>
      </c>
    </row>
    <row r="413" spans="1:14">
      <c r="A413" s="8" t="s">
        <v>425</v>
      </c>
      <c r="B413" s="2">
        <f>HYPERLINK("https://www.suredividend.com/sure-analysis-research-database/","Bluebird bio Inc")</f>
        <v>0</v>
      </c>
      <c r="C413" s="1" t="s">
        <v>3176</v>
      </c>
      <c r="D413" s="3">
        <v>0.905</v>
      </c>
      <c r="E413" s="4">
        <v>0</v>
      </c>
      <c r="F413" s="4" t="s">
        <v>3178</v>
      </c>
      <c r="G413" s="4" t="s">
        <v>3178</v>
      </c>
      <c r="H413" s="3">
        <v>0</v>
      </c>
      <c r="I413" s="5">
        <v>98.949271</v>
      </c>
      <c r="J413" s="6" t="s">
        <v>3178</v>
      </c>
      <c r="K413" s="4">
        <v>-0</v>
      </c>
      <c r="L413" s="7">
        <v>1.916333926310815</v>
      </c>
      <c r="M413" s="3">
        <v>5.53</v>
      </c>
      <c r="N413" s="3">
        <v>0.851</v>
      </c>
    </row>
    <row r="414" spans="1:14">
      <c r="A414" s="8" t="s">
        <v>426</v>
      </c>
      <c r="B414" s="2">
        <f>HYPERLINK("https://www.suredividend.com/sure-analysis-research-database/","BMC Stock Holdings Inc")</f>
        <v>0</v>
      </c>
      <c r="C414" s="1" t="s">
        <v>3179</v>
      </c>
      <c r="D414" s="3">
        <v>53.68</v>
      </c>
      <c r="E414" s="4">
        <v>0</v>
      </c>
      <c r="F414" s="4" t="s">
        <v>3178</v>
      </c>
      <c r="G414" s="4" t="s">
        <v>3178</v>
      </c>
      <c r="H414" s="3">
        <v>0</v>
      </c>
      <c r="I414" s="5">
        <v>0</v>
      </c>
      <c r="J414" s="6">
        <v>0</v>
      </c>
      <c r="K414" s="4" t="s">
        <v>3178</v>
      </c>
    </row>
    <row r="415" spans="1:14">
      <c r="A415" s="8" t="s">
        <v>427</v>
      </c>
      <c r="B415" s="2">
        <f>HYPERLINK("https://www.suredividend.com/sure-analysis-BMI/","Badger Meter Inc.")</f>
        <v>0</v>
      </c>
      <c r="C415" s="1" t="s">
        <v>3179</v>
      </c>
      <c r="D415" s="3">
        <v>185.32</v>
      </c>
      <c r="E415" s="4">
        <v>0.005827757392618174</v>
      </c>
      <c r="F415" s="4">
        <v>0.2</v>
      </c>
      <c r="G415" s="4">
        <v>0.09694024046466465</v>
      </c>
      <c r="H415" s="3">
        <v>1.077474850427285</v>
      </c>
      <c r="I415" s="5">
        <v>5447.246044</v>
      </c>
      <c r="J415" s="6">
        <v>53.24047582540023</v>
      </c>
      <c r="K415" s="4">
        <v>0.3105114842729928</v>
      </c>
      <c r="L415" s="7">
        <v>0.824373065413868</v>
      </c>
      <c r="M415" s="3">
        <v>202.81</v>
      </c>
      <c r="N415" s="3">
        <v>133.4</v>
      </c>
    </row>
    <row r="416" spans="1:14">
      <c r="A416" s="8" t="s">
        <v>428</v>
      </c>
      <c r="B416" s="2">
        <f>HYPERLINK("https://www.suredividend.com/sure-analysis-BMRC/","Bank of Marin Bancorp")</f>
        <v>0</v>
      </c>
      <c r="C416" s="1" t="s">
        <v>3180</v>
      </c>
      <c r="D416" s="3">
        <v>15.13</v>
      </c>
      <c r="E416" s="4">
        <v>0.06609385327164573</v>
      </c>
      <c r="F416" s="4">
        <v>0</v>
      </c>
      <c r="G416" s="4">
        <v>0.03548578845590522</v>
      </c>
      <c r="H416" s="3">
        <v>0.9564617246663191</v>
      </c>
      <c r="I416" s="5">
        <v>246.403942</v>
      </c>
      <c r="J416" s="6">
        <v>18.41997026089557</v>
      </c>
      <c r="K416" s="4">
        <v>1.147524564686645</v>
      </c>
      <c r="L416" s="7">
        <v>0.9377245663365381</v>
      </c>
      <c r="M416" s="3">
        <v>21.9</v>
      </c>
      <c r="N416" s="3">
        <v>13.67</v>
      </c>
    </row>
    <row r="417" spans="1:14">
      <c r="A417" s="8" t="s">
        <v>429</v>
      </c>
      <c r="B417" s="2">
        <f>HYPERLINK("https://www.suredividend.com/sure-analysis-research-database/","Biomarin Pharmaceutical Inc.")</f>
        <v>0</v>
      </c>
      <c r="C417" s="1" t="s">
        <v>3176</v>
      </c>
      <c r="D417" s="3">
        <v>80.69</v>
      </c>
      <c r="E417" s="4">
        <v>0</v>
      </c>
      <c r="F417" s="4" t="s">
        <v>3178</v>
      </c>
      <c r="G417" s="4" t="s">
        <v>3178</v>
      </c>
      <c r="H417" s="3">
        <v>0</v>
      </c>
      <c r="I417" s="5">
        <v>15321.401304</v>
      </c>
      <c r="J417" s="6">
        <v>74.57302720337786</v>
      </c>
      <c r="K417" s="4">
        <v>0</v>
      </c>
      <c r="L417" s="7">
        <v>0.4574569400230351</v>
      </c>
      <c r="M417" s="3">
        <v>99.56</v>
      </c>
      <c r="N417" s="3">
        <v>73.68000000000001</v>
      </c>
    </row>
    <row r="418" spans="1:14">
      <c r="A418" s="8" t="s">
        <v>430</v>
      </c>
      <c r="B418" s="2">
        <f>HYPERLINK("https://www.suredividend.com/sure-analysis-research-database/","Bryn Mawr Bank Corp.")</f>
        <v>0</v>
      </c>
      <c r="C418" s="1" t="s">
        <v>3180</v>
      </c>
      <c r="D418" s="3">
        <v>45.01</v>
      </c>
      <c r="E418" s="4">
        <v>0</v>
      </c>
      <c r="F418" s="4" t="s">
        <v>3178</v>
      </c>
      <c r="G418" s="4" t="s">
        <v>3178</v>
      </c>
      <c r="H418" s="3">
        <v>1.100000023841858</v>
      </c>
      <c r="I418" s="5">
        <v>0</v>
      </c>
      <c r="J418" s="6">
        <v>0</v>
      </c>
      <c r="K418" s="4">
        <v>0.304709147878631</v>
      </c>
    </row>
    <row r="419" spans="1:14">
      <c r="A419" s="8" t="s">
        <v>431</v>
      </c>
      <c r="B419" s="2">
        <f>HYPERLINK("https://www.suredividend.com/sure-analysis-BMY/","Bristol-Myers Squibb Co.")</f>
        <v>0</v>
      </c>
      <c r="C419" s="1" t="s">
        <v>3176</v>
      </c>
      <c r="D419" s="3">
        <v>41.48</v>
      </c>
      <c r="E419" s="4">
        <v>0.05785920925747348</v>
      </c>
      <c r="F419" s="4">
        <v>0.05263157894736836</v>
      </c>
      <c r="G419" s="4">
        <v>0.07912928578583145</v>
      </c>
      <c r="H419" s="3">
        <v>2.30146740797289</v>
      </c>
      <c r="I419" s="5">
        <v>84084.111982</v>
      </c>
      <c r="J419" s="6" t="s">
        <v>3178</v>
      </c>
      <c r="K419" s="4" t="s">
        <v>3178</v>
      </c>
      <c r="L419" s="7">
        <v>0.483029324795582</v>
      </c>
      <c r="M419" s="3">
        <v>63.65</v>
      </c>
      <c r="N419" s="3">
        <v>39.91</v>
      </c>
    </row>
    <row r="420" spans="1:14">
      <c r="A420" s="8" t="s">
        <v>432</v>
      </c>
      <c r="B420" s="2">
        <f>HYPERLINK("https://www.suredividend.com/sure-analysis-research-database/","Barnes &amp; Noble Education Inc")</f>
        <v>0</v>
      </c>
      <c r="C420" s="1" t="s">
        <v>3182</v>
      </c>
      <c r="D420" s="3">
        <v>0.1733</v>
      </c>
      <c r="E420" s="4">
        <v>0</v>
      </c>
      <c r="F420" s="4" t="s">
        <v>3178</v>
      </c>
      <c r="G420" s="4" t="s">
        <v>3178</v>
      </c>
      <c r="H420" s="3">
        <v>0</v>
      </c>
      <c r="I420" s="5">
        <v>9.211999</v>
      </c>
      <c r="J420" s="6" t="s">
        <v>3178</v>
      </c>
      <c r="K420" s="4">
        <v>-0</v>
      </c>
      <c r="M420" s="3">
        <v>2.26</v>
      </c>
      <c r="N420" s="3">
        <v>0.1515</v>
      </c>
    </row>
    <row r="421" spans="1:14">
      <c r="A421" s="8" t="s">
        <v>433</v>
      </c>
      <c r="B421" s="2">
        <f>HYPERLINK("https://www.suredividend.com/sure-analysis-research-database/","Benefitfocus Inc")</f>
        <v>0</v>
      </c>
      <c r="C421" s="1" t="s">
        <v>3181</v>
      </c>
      <c r="D421" s="3">
        <v>10.5</v>
      </c>
      <c r="E421" s="4">
        <v>0</v>
      </c>
      <c r="F421" s="4" t="s">
        <v>3178</v>
      </c>
      <c r="G421" s="4" t="s">
        <v>3178</v>
      </c>
      <c r="H421" s="3">
        <v>0</v>
      </c>
      <c r="I421" s="5">
        <v>0</v>
      </c>
      <c r="J421" s="6">
        <v>0</v>
      </c>
      <c r="K421" s="4">
        <v>-0</v>
      </c>
    </row>
    <row r="422" spans="1:14">
      <c r="A422" s="8" t="s">
        <v>434</v>
      </c>
      <c r="B422" s="2">
        <f>HYPERLINK("https://www.suredividend.com/sure-analysis-research-database/","Bank of Commerce Holdings")</f>
        <v>0</v>
      </c>
      <c r="C422" s="1" t="s">
        <v>3180</v>
      </c>
      <c r="D422" s="3">
        <v>15.17</v>
      </c>
      <c r="E422" s="4">
        <v>0</v>
      </c>
      <c r="F422" s="4" t="s">
        <v>3178</v>
      </c>
      <c r="G422" s="4" t="s">
        <v>3178</v>
      </c>
      <c r="H422" s="3">
        <v>0.239999994635582</v>
      </c>
      <c r="I422" s="5">
        <v>0</v>
      </c>
      <c r="J422" s="6">
        <v>0</v>
      </c>
      <c r="K422" s="4" t="s">
        <v>3178</v>
      </c>
    </row>
    <row r="423" spans="1:14">
      <c r="A423" s="8" t="s">
        <v>435</v>
      </c>
      <c r="B423" s="2">
        <f>HYPERLINK("https://www.suredividend.com/sure-analysis-research-database/","Bank of Hawaii Corp.")</f>
        <v>0</v>
      </c>
      <c r="C423" s="1" t="s">
        <v>3180</v>
      </c>
      <c r="D423" s="3">
        <v>56.9</v>
      </c>
      <c r="E423" s="4">
        <v>0.04833360471808901</v>
      </c>
      <c r="F423" s="4">
        <v>0</v>
      </c>
      <c r="G423" s="4">
        <v>0.01493197894539389</v>
      </c>
      <c r="H423" s="3">
        <v>2.750182108459278</v>
      </c>
      <c r="I423" s="5">
        <v>2258.690565</v>
      </c>
      <c r="J423" s="6">
        <v>14.77485095438073</v>
      </c>
      <c r="K423" s="4">
        <v>0.7106413716949039</v>
      </c>
      <c r="L423" s="7">
        <v>1.283927628753668</v>
      </c>
      <c r="M423" s="3">
        <v>73.42</v>
      </c>
      <c r="N423" s="3">
        <v>37.15</v>
      </c>
    </row>
    <row r="424" spans="1:14">
      <c r="A424" s="8" t="s">
        <v>436</v>
      </c>
      <c r="B424" s="2">
        <f>HYPERLINK("https://www.suredividend.com/sure-analysis-BOKF/","BOK Financial Corp.")</f>
        <v>0</v>
      </c>
      <c r="C424" s="1" t="s">
        <v>3180</v>
      </c>
      <c r="D424" s="3">
        <v>89.3</v>
      </c>
      <c r="E424" s="4">
        <v>0.02463605823068309</v>
      </c>
      <c r="F424" s="4">
        <v>0.0185185185185186</v>
      </c>
      <c r="G424" s="4">
        <v>0.01924487649145656</v>
      </c>
      <c r="H424" s="3">
        <v>2.148559277594457</v>
      </c>
      <c r="I424" s="5">
        <v>5761.192626</v>
      </c>
      <c r="J424" s="6">
        <v>12.8481326685355</v>
      </c>
      <c r="K424" s="4">
        <v>0.3122905926736129</v>
      </c>
      <c r="L424" s="7">
        <v>1.23543601567903</v>
      </c>
      <c r="M424" s="3">
        <v>96.41</v>
      </c>
      <c r="N424" s="3">
        <v>59.92</v>
      </c>
    </row>
    <row r="425" spans="1:14">
      <c r="A425" s="8" t="s">
        <v>437</v>
      </c>
      <c r="B425" s="2">
        <f>HYPERLINK("https://www.suredividend.com/sure-analysis-research-database/","Boundless Bio Inc.")</f>
        <v>0</v>
      </c>
      <c r="C425" s="1" t="s">
        <v>3178</v>
      </c>
      <c r="D425" s="3">
        <v>9.619999999999999</v>
      </c>
      <c r="E425" s="4">
        <v>0</v>
      </c>
      <c r="F425" s="4" t="s">
        <v>3178</v>
      </c>
      <c r="G425" s="4" t="s">
        <v>3178</v>
      </c>
      <c r="H425" s="3">
        <v>0</v>
      </c>
      <c r="I425" s="5">
        <v>214.088646</v>
      </c>
      <c r="J425" s="6">
        <v>0</v>
      </c>
      <c r="K425" s="4" t="s">
        <v>3178</v>
      </c>
      <c r="L425" s="7">
        <v>2.372386205873729</v>
      </c>
      <c r="M425" s="3">
        <v>15.24</v>
      </c>
      <c r="N425" s="3">
        <v>8.25</v>
      </c>
    </row>
    <row r="426" spans="1:14">
      <c r="A426" s="8" t="s">
        <v>438</v>
      </c>
      <c r="B426" s="2">
        <f>HYPERLINK("https://www.suredividend.com/sure-analysis-research-database/","Boston Omaha Corp")</f>
        <v>0</v>
      </c>
      <c r="C426" s="1" t="s">
        <v>3187</v>
      </c>
      <c r="D426" s="3">
        <v>25.76</v>
      </c>
      <c r="E426" s="4">
        <v>0</v>
      </c>
      <c r="F426" s="4" t="s">
        <v>3178</v>
      </c>
      <c r="G426" s="4" t="s">
        <v>3178</v>
      </c>
      <c r="H426" s="3">
        <v>0</v>
      </c>
      <c r="I426" s="5">
        <v>734.689497</v>
      </c>
      <c r="J426" s="6">
        <v>0</v>
      </c>
      <c r="K426" s="4" t="s">
        <v>3178</v>
      </c>
      <c r="L426" s="7">
        <v>1.424991853937054</v>
      </c>
      <c r="M426" s="3">
        <v>47.65</v>
      </c>
      <c r="N426" s="3">
        <v>23.85</v>
      </c>
    </row>
    <row r="427" spans="1:14">
      <c r="A427" s="8" t="s">
        <v>439</v>
      </c>
      <c r="B427" s="2">
        <f>HYPERLINK("https://www.suredividend.com/sure-analysis-research-database/","DMC Global Inc")</f>
        <v>0</v>
      </c>
      <c r="C427" s="1" t="s">
        <v>3185</v>
      </c>
      <c r="D427" s="3">
        <v>12.6</v>
      </c>
      <c r="E427" s="4">
        <v>0</v>
      </c>
      <c r="F427" s="4" t="s">
        <v>3178</v>
      </c>
      <c r="G427" s="4" t="s">
        <v>3178</v>
      </c>
      <c r="H427" s="3">
        <v>0</v>
      </c>
      <c r="I427" s="5">
        <v>251.774132</v>
      </c>
      <c r="J427" s="6">
        <v>11.67566928213689</v>
      </c>
      <c r="K427" s="4">
        <v>0</v>
      </c>
      <c r="L427" s="7">
        <v>0.7264663216141021</v>
      </c>
      <c r="M427" s="3">
        <v>27.16</v>
      </c>
      <c r="N427" s="3">
        <v>11.12</v>
      </c>
    </row>
    <row r="428" spans="1:14">
      <c r="A428" s="8" t="s">
        <v>440</v>
      </c>
      <c r="B428" s="2">
        <f>HYPERLINK("https://www.suredividend.com/sure-analysis-research-database/","Boot Barn Holdings Inc")</f>
        <v>0</v>
      </c>
      <c r="C428" s="1" t="s">
        <v>3182</v>
      </c>
      <c r="D428" s="3">
        <v>128.01</v>
      </c>
      <c r="E428" s="4">
        <v>0</v>
      </c>
      <c r="F428" s="4" t="s">
        <v>3178</v>
      </c>
      <c r="G428" s="4" t="s">
        <v>3178</v>
      </c>
      <c r="H428" s="3">
        <v>0</v>
      </c>
      <c r="I428" s="5">
        <v>3891.384951</v>
      </c>
      <c r="J428" s="6">
        <v>26.47272681365479</v>
      </c>
      <c r="K428" s="4">
        <v>0</v>
      </c>
      <c r="L428" s="7">
        <v>1.518467231513837</v>
      </c>
      <c r="M428" s="3">
        <v>131.85</v>
      </c>
      <c r="N428" s="3">
        <v>66.73</v>
      </c>
    </row>
    <row r="429" spans="1:14">
      <c r="A429" s="8" t="s">
        <v>441</v>
      </c>
      <c r="B429" s="2">
        <f>HYPERLINK("https://www.suredividend.com/sure-analysis-research-database/","Bank of the James Financial Group Inc.")</f>
        <v>0</v>
      </c>
      <c r="C429" s="1" t="s">
        <v>3180</v>
      </c>
      <c r="D429" s="3">
        <v>10.75</v>
      </c>
      <c r="E429" s="4">
        <v>0.032907335766616</v>
      </c>
      <c r="F429" s="4">
        <v>0.25</v>
      </c>
      <c r="G429" s="4">
        <v>0.2011244339814313</v>
      </c>
      <c r="H429" s="3">
        <v>0.353753859491125</v>
      </c>
      <c r="I429" s="5">
        <v>48.840884</v>
      </c>
      <c r="J429" s="6">
        <v>0</v>
      </c>
      <c r="K429" s="4" t="s">
        <v>3178</v>
      </c>
      <c r="M429" s="3">
        <v>12.01</v>
      </c>
      <c r="N429" s="3">
        <v>8.27</v>
      </c>
    </row>
    <row r="430" spans="1:14">
      <c r="A430" s="8" t="s">
        <v>442</v>
      </c>
      <c r="B430" s="2">
        <f>HYPERLINK("https://www.suredividend.com/sure-analysis-research-database/","Box Inc")</f>
        <v>0</v>
      </c>
      <c r="C430" s="1" t="s">
        <v>3181</v>
      </c>
      <c r="D430" s="3">
        <v>26.69</v>
      </c>
      <c r="E430" s="4">
        <v>0</v>
      </c>
      <c r="F430" s="4" t="s">
        <v>3178</v>
      </c>
      <c r="G430" s="4" t="s">
        <v>3178</v>
      </c>
      <c r="H430" s="3">
        <v>0</v>
      </c>
      <c r="I430" s="5">
        <v>3883.069569</v>
      </c>
      <c r="J430" s="6">
        <v>36.2890132035251</v>
      </c>
      <c r="K430" s="4">
        <v>0</v>
      </c>
      <c r="L430" s="7">
        <v>0.8899340750374181</v>
      </c>
      <c r="M430" s="3">
        <v>31.94</v>
      </c>
      <c r="N430" s="3">
        <v>23.29</v>
      </c>
    </row>
    <row r="431" spans="1:14">
      <c r="A431" s="8" t="s">
        <v>443</v>
      </c>
      <c r="B431" s="2">
        <f>HYPERLINK("https://www.suredividend.com/sure-analysis-research-database/","Boston Private Financial Holdings Inc")</f>
        <v>0</v>
      </c>
      <c r="C431" s="1" t="s">
        <v>3180</v>
      </c>
      <c r="D431" s="3">
        <v>14.75</v>
      </c>
      <c r="E431" s="4">
        <v>0</v>
      </c>
      <c r="F431" s="4" t="s">
        <v>3178</v>
      </c>
      <c r="G431" s="4" t="s">
        <v>3178</v>
      </c>
      <c r="H431" s="3">
        <v>0.239999994635581</v>
      </c>
      <c r="I431" s="5">
        <v>0</v>
      </c>
      <c r="J431" s="6">
        <v>0</v>
      </c>
      <c r="K431" s="4">
        <v>0.3617726780759437</v>
      </c>
    </row>
    <row r="432" spans="1:14">
      <c r="A432" s="8" t="s">
        <v>444</v>
      </c>
      <c r="B432" s="2">
        <f>HYPERLINK("https://www.suredividend.com/sure-analysis-research-database/","Blueprint Medicines Corp")</f>
        <v>0</v>
      </c>
      <c r="C432" s="1" t="s">
        <v>3176</v>
      </c>
      <c r="D432" s="3">
        <v>103.34</v>
      </c>
      <c r="E432" s="4">
        <v>0</v>
      </c>
      <c r="F432" s="4" t="s">
        <v>3178</v>
      </c>
      <c r="G432" s="4" t="s">
        <v>3178</v>
      </c>
      <c r="H432" s="3">
        <v>0</v>
      </c>
      <c r="I432" s="5">
        <v>6470.830653</v>
      </c>
      <c r="J432" s="6" t="s">
        <v>3178</v>
      </c>
      <c r="K432" s="4">
        <v>-0</v>
      </c>
      <c r="L432" s="7">
        <v>1.343900130925583</v>
      </c>
      <c r="M432" s="3">
        <v>111.02</v>
      </c>
      <c r="N432" s="3">
        <v>43.89</v>
      </c>
    </row>
    <row r="433" spans="1:14">
      <c r="A433" s="8" t="s">
        <v>445</v>
      </c>
      <c r="B433" s="2">
        <f>HYPERLINK("https://www.suredividend.com/sure-analysis-research-database/","Popular Inc.")</f>
        <v>0</v>
      </c>
      <c r="C433" s="1" t="s">
        <v>3180</v>
      </c>
      <c r="D433" s="3">
        <v>85.91</v>
      </c>
      <c r="E433" s="4">
        <v>0.027511533534378</v>
      </c>
      <c r="F433" s="4">
        <v>0.1272727272727272</v>
      </c>
      <c r="G433" s="4">
        <v>0.1562562331664041</v>
      </c>
      <c r="H433" s="3">
        <v>2.363515845938464</v>
      </c>
      <c r="I433" s="5">
        <v>6208.868448</v>
      </c>
      <c r="J433" s="6">
        <v>11.49939519563647</v>
      </c>
      <c r="K433" s="4">
        <v>0.3142973199386256</v>
      </c>
      <c r="L433" s="7">
        <v>0.988370564494197</v>
      </c>
      <c r="M433" s="3">
        <v>91.77</v>
      </c>
      <c r="N433" s="3">
        <v>54.95</v>
      </c>
    </row>
    <row r="434" spans="1:14">
      <c r="A434" s="8" t="s">
        <v>446</v>
      </c>
      <c r="B434" s="2">
        <f>HYPERLINK("https://www.suredividend.com/sure-analysis-research-database/","Princeton Bancorp Inc")</f>
        <v>0</v>
      </c>
      <c r="C434" s="1" t="s">
        <v>3180</v>
      </c>
      <c r="D434" s="3">
        <v>29.88</v>
      </c>
      <c r="E434" s="4">
        <v>0.03899624538652401</v>
      </c>
      <c r="F434" s="4">
        <v>0</v>
      </c>
      <c r="G434" s="4">
        <v>0.5848931924611136</v>
      </c>
      <c r="H434" s="3">
        <v>1.165207812149358</v>
      </c>
      <c r="I434" s="5">
        <v>188.822507</v>
      </c>
      <c r="J434" s="6">
        <v>0</v>
      </c>
      <c r="K434" s="4" t="s">
        <v>3178</v>
      </c>
      <c r="L434" s="7">
        <v>0.6463500099636841</v>
      </c>
      <c r="M434" s="3">
        <v>36.72</v>
      </c>
      <c r="N434" s="3">
        <v>24.35</v>
      </c>
    </row>
    <row r="435" spans="1:14">
      <c r="A435" s="8" t="s">
        <v>447</v>
      </c>
      <c r="B435" s="2">
        <f>HYPERLINK("https://www.suredividend.com/sure-analysis-research-database/","Bio-Path Holdings Inc")</f>
        <v>0</v>
      </c>
      <c r="C435" s="1" t="s">
        <v>3176</v>
      </c>
      <c r="D435" s="3">
        <v>2.48</v>
      </c>
      <c r="E435" s="4">
        <v>0</v>
      </c>
      <c r="F435" s="4" t="s">
        <v>3178</v>
      </c>
      <c r="G435" s="4" t="s">
        <v>3178</v>
      </c>
      <c r="H435" s="3">
        <v>0</v>
      </c>
      <c r="I435" s="5">
        <v>4.107463</v>
      </c>
      <c r="J435" s="6">
        <v>0</v>
      </c>
      <c r="K435" s="4" t="s">
        <v>3178</v>
      </c>
      <c r="L435" s="7">
        <v>-0.006414838871103</v>
      </c>
      <c r="M435" s="3">
        <v>44.8</v>
      </c>
      <c r="N435" s="3">
        <v>1.85</v>
      </c>
    </row>
    <row r="436" spans="1:14">
      <c r="A436" s="8" t="s">
        <v>448</v>
      </c>
      <c r="B436" s="2">
        <f>HYPERLINK("https://www.suredividend.com/sure-analysis-BR/","Broadridge Financial Solutions, Inc.")</f>
        <v>0</v>
      </c>
      <c r="C436" s="1" t="s">
        <v>3181</v>
      </c>
      <c r="D436" s="3">
        <v>198.04</v>
      </c>
      <c r="E436" s="4">
        <v>0.0161583518481115</v>
      </c>
      <c r="F436" s="4">
        <v>0.103448275862069</v>
      </c>
      <c r="G436" s="4">
        <v>0.1052732255496012</v>
      </c>
      <c r="H436" s="3">
        <v>3.106491910608228</v>
      </c>
      <c r="I436" s="5">
        <v>23404.461665</v>
      </c>
      <c r="J436" s="6">
        <v>33.47798836372479</v>
      </c>
      <c r="K436" s="4">
        <v>0.5301180734826327</v>
      </c>
      <c r="L436" s="7">
        <v>0.7971029987186781</v>
      </c>
      <c r="M436" s="3">
        <v>209.41</v>
      </c>
      <c r="N436" s="3">
        <v>150.51</v>
      </c>
    </row>
    <row r="437" spans="1:14">
      <c r="A437" s="8" t="s">
        <v>449</v>
      </c>
      <c r="B437" s="2">
        <f>HYPERLINK("https://www.suredividend.com/sure-analysis-BRC/","Brady Corp.")</f>
        <v>0</v>
      </c>
      <c r="C437" s="1" t="s">
        <v>3179</v>
      </c>
      <c r="D437" s="3">
        <v>66.40000000000001</v>
      </c>
      <c r="E437" s="4">
        <v>0.01415662650602409</v>
      </c>
      <c r="F437" s="4">
        <v>0.02173913043478271</v>
      </c>
      <c r="G437" s="4">
        <v>0.01559772696248674</v>
      </c>
      <c r="H437" s="3">
        <v>0.929463426790445</v>
      </c>
      <c r="I437" s="5">
        <v>2917.729743</v>
      </c>
      <c r="J437" s="6">
        <v>15.3270283045728</v>
      </c>
      <c r="K437" s="4">
        <v>0.2383239555872936</v>
      </c>
      <c r="L437" s="7">
        <v>0.379496445823546</v>
      </c>
      <c r="M437" s="3">
        <v>68.8</v>
      </c>
      <c r="N437" s="3">
        <v>46.13</v>
      </c>
    </row>
    <row r="438" spans="1:14">
      <c r="A438" s="8" t="s">
        <v>450</v>
      </c>
      <c r="B438" s="2">
        <f>HYPERLINK("https://www.suredividend.com/sure-analysis-research-database/","Bluerock Residential Growth REIT Inc")</f>
        <v>0</v>
      </c>
      <c r="C438" s="1" t="s">
        <v>3183</v>
      </c>
      <c r="D438" s="3">
        <v>26.6</v>
      </c>
      <c r="E438" s="4">
        <v>0.018213238686806</v>
      </c>
      <c r="F438" s="4" t="s">
        <v>3178</v>
      </c>
      <c r="G438" s="4" t="s">
        <v>3178</v>
      </c>
      <c r="H438" s="3">
        <v>0.48447214906904</v>
      </c>
      <c r="I438" s="5">
        <v>811.47806</v>
      </c>
      <c r="J438" s="6" t="s">
        <v>3178</v>
      </c>
      <c r="K438" s="4" t="s">
        <v>3178</v>
      </c>
      <c r="L438" s="7">
        <v>0.027659703872715</v>
      </c>
      <c r="M438" s="3">
        <v>27.03</v>
      </c>
      <c r="N438" s="3">
        <v>12.31</v>
      </c>
    </row>
    <row r="439" spans="1:14">
      <c r="A439" s="8" t="s">
        <v>451</v>
      </c>
      <c r="B439" s="2">
        <f>HYPERLINK("https://www.suredividend.com/sure-analysis-research-database/","Bridgford Foods Corp.")</f>
        <v>0</v>
      </c>
      <c r="C439" s="1" t="s">
        <v>3184</v>
      </c>
      <c r="D439" s="3">
        <v>9.98</v>
      </c>
      <c r="E439" s="4">
        <v>0</v>
      </c>
      <c r="F439" s="4" t="s">
        <v>3178</v>
      </c>
      <c r="G439" s="4" t="s">
        <v>3178</v>
      </c>
      <c r="H439" s="3">
        <v>0</v>
      </c>
      <c r="I439" s="5">
        <v>90.178326</v>
      </c>
      <c r="J439" s="6">
        <v>0</v>
      </c>
      <c r="K439" s="4" t="s">
        <v>3178</v>
      </c>
      <c r="M439" s="3">
        <v>12.78</v>
      </c>
      <c r="N439" s="3">
        <v>9.9</v>
      </c>
    </row>
    <row r="440" spans="1:14">
      <c r="A440" s="8" t="s">
        <v>452</v>
      </c>
      <c r="B440" s="2">
        <f>HYPERLINK("https://www.suredividend.com/sure-analysis-research-database/","Brookline Bancorp, Inc.")</f>
        <v>0</v>
      </c>
      <c r="C440" s="1" t="s">
        <v>3180</v>
      </c>
      <c r="D440" s="3">
        <v>8.4</v>
      </c>
      <c r="E440" s="4">
        <v>0.06221134454016201</v>
      </c>
      <c r="F440" s="4">
        <v>0</v>
      </c>
      <c r="G440" s="4">
        <v>0.03258826616987576</v>
      </c>
      <c r="H440" s="3">
        <v>0.522575294137368</v>
      </c>
      <c r="I440" s="5">
        <v>746.714447</v>
      </c>
      <c r="J440" s="6">
        <v>9.09473895059924</v>
      </c>
      <c r="K440" s="4">
        <v>0.5667230171753259</v>
      </c>
      <c r="L440" s="7">
        <v>1.242033821068675</v>
      </c>
      <c r="M440" s="3">
        <v>11.03</v>
      </c>
      <c r="N440" s="3">
        <v>7.36</v>
      </c>
    </row>
    <row r="441" spans="1:14">
      <c r="A441" s="8" t="s">
        <v>453</v>
      </c>
      <c r="B441" s="2">
        <f>HYPERLINK("https://www.suredividend.com/sure-analysis-research-database/","Bruker Corp")</f>
        <v>0</v>
      </c>
      <c r="C441" s="1" t="s">
        <v>3176</v>
      </c>
      <c r="D441" s="3">
        <v>64.7</v>
      </c>
      <c r="E441" s="4">
        <v>0.00308468703275</v>
      </c>
      <c r="F441" s="4">
        <v>0</v>
      </c>
      <c r="G441" s="4">
        <v>0.04563955259127317</v>
      </c>
      <c r="H441" s="3">
        <v>0.199579251018927</v>
      </c>
      <c r="I441" s="5">
        <v>9403.198827</v>
      </c>
      <c r="J441" s="6">
        <v>22.01123320973783</v>
      </c>
      <c r="K441" s="4">
        <v>0.06882043138583691</v>
      </c>
      <c r="L441" s="7">
        <v>1.217593788083494</v>
      </c>
      <c r="M441" s="3">
        <v>94.72</v>
      </c>
      <c r="N441" s="3">
        <v>53.56</v>
      </c>
    </row>
    <row r="442" spans="1:14">
      <c r="A442" s="8" t="s">
        <v>454</v>
      </c>
      <c r="B442" s="2">
        <f>HYPERLINK("https://www.suredividend.com/sure-analysis-research-database/","Barnwell Industries Inc.")</f>
        <v>0</v>
      </c>
      <c r="C442" s="1" t="s">
        <v>3185</v>
      </c>
      <c r="D442" s="3">
        <v>2.57</v>
      </c>
      <c r="E442" s="4">
        <v>0.005836575745028</v>
      </c>
      <c r="F442" s="4" t="s">
        <v>3178</v>
      </c>
      <c r="G442" s="4" t="s">
        <v>3178</v>
      </c>
      <c r="H442" s="3">
        <v>0.014999999664723</v>
      </c>
      <c r="I442" s="5">
        <v>25.772191</v>
      </c>
      <c r="J442" s="6">
        <v>0</v>
      </c>
      <c r="K442" s="4" t="s">
        <v>3178</v>
      </c>
      <c r="M442" s="3">
        <v>3.2</v>
      </c>
      <c r="N442" s="3">
        <v>2.06</v>
      </c>
    </row>
    <row r="443" spans="1:14">
      <c r="A443" s="8" t="s">
        <v>455</v>
      </c>
      <c r="B443" s="2">
        <f>HYPERLINK("https://www.suredividend.com/sure-analysis-BRO/","Brown &amp; Brown, Inc.")</f>
        <v>0</v>
      </c>
      <c r="C443" s="1" t="s">
        <v>3180</v>
      </c>
      <c r="D443" s="3">
        <v>90.28</v>
      </c>
      <c r="E443" s="4">
        <v>0.005759858218874613</v>
      </c>
      <c r="F443" s="4" t="s">
        <v>3178</v>
      </c>
      <c r="G443" s="4" t="s">
        <v>3178</v>
      </c>
      <c r="H443" s="3">
        <v>0.5037851588286081</v>
      </c>
      <c r="I443" s="5">
        <v>25752.303373</v>
      </c>
      <c r="J443" s="6">
        <v>28.15382461283481</v>
      </c>
      <c r="K443" s="4">
        <v>0.1550108181011102</v>
      </c>
      <c r="L443" s="7">
        <v>0.6144333515868731</v>
      </c>
      <c r="M443" s="3">
        <v>91.7</v>
      </c>
      <c r="N443" s="3">
        <v>62.94</v>
      </c>
    </row>
    <row r="444" spans="1:14">
      <c r="A444" s="8" t="s">
        <v>456</v>
      </c>
      <c r="B444" s="2">
        <f>HYPERLINK("https://www.suredividend.com/sure-analysis-BRT/","BRT Apartments Corp")</f>
        <v>0</v>
      </c>
      <c r="C444" s="1" t="s">
        <v>3183</v>
      </c>
      <c r="D444" s="3">
        <v>17.79</v>
      </c>
      <c r="E444" s="4">
        <v>0.05621135469364812</v>
      </c>
      <c r="F444" s="4">
        <v>0</v>
      </c>
      <c r="G444" s="4">
        <v>0.04563955259127317</v>
      </c>
      <c r="H444" s="3">
        <v>0.9784852679895211</v>
      </c>
      <c r="I444" s="5">
        <v>331.614993</v>
      </c>
      <c r="J444" s="6">
        <v>69.08645689999999</v>
      </c>
      <c r="K444" s="4">
        <v>3.636139977664515</v>
      </c>
      <c r="L444" s="7">
        <v>0.960475795556833</v>
      </c>
      <c r="M444" s="3">
        <v>19.81</v>
      </c>
      <c r="N444" s="3">
        <v>14.98</v>
      </c>
    </row>
    <row r="445" spans="1:14">
      <c r="A445" s="8" t="s">
        <v>457</v>
      </c>
      <c r="B445" s="2">
        <f>HYPERLINK("https://www.suredividend.com/sure-analysis-BRX/","Brixmor Property Group Inc")</f>
        <v>0</v>
      </c>
      <c r="C445" s="1" t="s">
        <v>3183</v>
      </c>
      <c r="D445" s="3">
        <v>22.59</v>
      </c>
      <c r="E445" s="4">
        <v>0.04825143868968571</v>
      </c>
      <c r="F445" s="4" t="s">
        <v>3178</v>
      </c>
      <c r="G445" s="4" t="s">
        <v>3178</v>
      </c>
      <c r="H445" s="3">
        <v>1.04659414427977</v>
      </c>
      <c r="I445" s="5">
        <v>6806.339079</v>
      </c>
      <c r="J445" s="6">
        <v>24.21960629536057</v>
      </c>
      <c r="K445" s="4">
        <v>1.126945347560859</v>
      </c>
      <c r="L445" s="7">
        <v>0.8898285934466781</v>
      </c>
      <c r="M445" s="3">
        <v>23.9</v>
      </c>
      <c r="N445" s="3">
        <v>19.01</v>
      </c>
    </row>
    <row r="446" spans="1:14">
      <c r="A446" s="8" t="s">
        <v>458</v>
      </c>
      <c r="B446" s="2">
        <f>HYPERLINK("https://www.suredividend.com/sure-analysis-research-database/","Berry Corp")</f>
        <v>0</v>
      </c>
      <c r="C446" s="1" t="s">
        <v>3185</v>
      </c>
      <c r="D446" s="3">
        <v>6.44</v>
      </c>
      <c r="E446" s="4">
        <v>0.07161672429839301</v>
      </c>
      <c r="F446" s="4">
        <v>0</v>
      </c>
      <c r="G446" s="4">
        <v>0.2457309396155174</v>
      </c>
      <c r="H446" s="3">
        <v>0.4612117044816531</v>
      </c>
      <c r="I446" s="5">
        <v>495.487121</v>
      </c>
      <c r="J446" s="6">
        <v>156.0589358614173</v>
      </c>
      <c r="K446" s="4">
        <v>11.27656979172746</v>
      </c>
      <c r="L446" s="7">
        <v>0.535415706992461</v>
      </c>
      <c r="M446" s="3">
        <v>8.59</v>
      </c>
      <c r="N446" s="3">
        <v>5.79</v>
      </c>
    </row>
    <row r="447" spans="1:14">
      <c r="A447" s="8" t="s">
        <v>459</v>
      </c>
      <c r="B447" s="2">
        <f>HYPERLINK("https://www.suredividend.com/sure-analysis-research-database/","Bassett Furniture Industries Inc.")</f>
        <v>0</v>
      </c>
      <c r="C447" s="1" t="s">
        <v>3182</v>
      </c>
      <c r="D447" s="3">
        <v>14.16</v>
      </c>
      <c r="E447" s="4">
        <v>0.049046752449912</v>
      </c>
      <c r="F447" s="4">
        <v>0</v>
      </c>
      <c r="G447" s="4">
        <v>-0.02567526327954128</v>
      </c>
      <c r="H447" s="3">
        <v>0.694502014690758</v>
      </c>
      <c r="I447" s="5">
        <v>125.015114</v>
      </c>
      <c r="J447" s="6" t="s">
        <v>3178</v>
      </c>
      <c r="K447" s="4" t="s">
        <v>3178</v>
      </c>
      <c r="L447" s="7">
        <v>0.5648750021733461</v>
      </c>
      <c r="M447" s="3">
        <v>17.04</v>
      </c>
      <c r="N447" s="3">
        <v>12.7</v>
      </c>
    </row>
    <row r="448" spans="1:14">
      <c r="A448" s="8" t="s">
        <v>460</v>
      </c>
      <c r="B448" s="2">
        <f>HYPERLINK("https://www.suredividend.com/sure-analysis-research-database/","Biosig Technologies Inc")</f>
        <v>0</v>
      </c>
      <c r="C448" s="1" t="s">
        <v>3176</v>
      </c>
      <c r="D448" s="3">
        <v>1.865</v>
      </c>
      <c r="E448" s="4">
        <v>0</v>
      </c>
      <c r="F448" s="4" t="s">
        <v>3178</v>
      </c>
      <c r="G448" s="4" t="s">
        <v>3178</v>
      </c>
      <c r="H448" s="3">
        <v>0</v>
      </c>
      <c r="I448" s="5">
        <v>23.26851</v>
      </c>
      <c r="J448" s="6">
        <v>0</v>
      </c>
      <c r="K448" s="4" t="s">
        <v>3178</v>
      </c>
      <c r="L448" s="7">
        <v>0.156802659316836</v>
      </c>
      <c r="M448" s="3">
        <v>15.5</v>
      </c>
      <c r="N448" s="3">
        <v>0.2619</v>
      </c>
    </row>
    <row r="449" spans="1:14">
      <c r="A449" s="8" t="s">
        <v>461</v>
      </c>
      <c r="B449" s="2">
        <f>HYPERLINK("https://www.suredividend.com/sure-analysis-research-database/","BSquare Corp")</f>
        <v>0</v>
      </c>
      <c r="C449" s="1" t="s">
        <v>3181</v>
      </c>
      <c r="D449" s="3">
        <v>1.89</v>
      </c>
      <c r="E449" s="4">
        <v>0</v>
      </c>
      <c r="F449" s="4" t="s">
        <v>3178</v>
      </c>
      <c r="G449" s="4" t="s">
        <v>3178</v>
      </c>
      <c r="H449" s="3">
        <v>0</v>
      </c>
      <c r="I449" s="5">
        <v>0</v>
      </c>
      <c r="J449" s="6">
        <v>0</v>
      </c>
      <c r="K449" s="4">
        <v>-0</v>
      </c>
    </row>
    <row r="450" spans="1:14">
      <c r="A450" s="8" t="s">
        <v>462</v>
      </c>
      <c r="B450" s="2">
        <f>HYPERLINK("https://www.suredividend.com/sure-analysis-research-database/","Sierra Bancorp")</f>
        <v>0</v>
      </c>
      <c r="C450" s="1" t="s">
        <v>3180</v>
      </c>
      <c r="D450" s="3">
        <v>20.25</v>
      </c>
      <c r="E450" s="4">
        <v>0.04394144976960301</v>
      </c>
      <c r="F450" s="4">
        <v>0</v>
      </c>
      <c r="G450" s="4">
        <v>0.03895047748988278</v>
      </c>
      <c r="H450" s="3">
        <v>0.889814357834473</v>
      </c>
      <c r="I450" s="5">
        <v>295.56331</v>
      </c>
      <c r="J450" s="6">
        <v>8.343824908957457</v>
      </c>
      <c r="K450" s="4">
        <v>0.36617874808003</v>
      </c>
      <c r="L450" s="7">
        <v>0.987139164309039</v>
      </c>
      <c r="M450" s="3">
        <v>22.66</v>
      </c>
      <c r="N450" s="3">
        <v>14.89</v>
      </c>
    </row>
    <row r="451" spans="1:14">
      <c r="A451" s="8" t="s">
        <v>463</v>
      </c>
      <c r="B451" s="2">
        <f>HYPERLINK("https://www.suredividend.com/sure-analysis-research-database/","Biospecifics Technologies Corp.")</f>
        <v>0</v>
      </c>
      <c r="C451" s="1" t="s">
        <v>3176</v>
      </c>
      <c r="D451" s="3">
        <v>88.53</v>
      </c>
      <c r="E451" s="4">
        <v>0</v>
      </c>
      <c r="F451" s="4" t="s">
        <v>3178</v>
      </c>
      <c r="G451" s="4" t="s">
        <v>3178</v>
      </c>
      <c r="H451" s="3">
        <v>0</v>
      </c>
      <c r="I451" s="5">
        <v>0</v>
      </c>
      <c r="J451" s="6">
        <v>0</v>
      </c>
      <c r="K451" s="4">
        <v>0</v>
      </c>
    </row>
    <row r="452" spans="1:14">
      <c r="A452" s="8" t="s">
        <v>464</v>
      </c>
      <c r="B452" s="2">
        <f>HYPERLINK("https://www.suredividend.com/sure-analysis-research-database/","Boston Scientific Corp.")</f>
        <v>0</v>
      </c>
      <c r="C452" s="1" t="s">
        <v>3176</v>
      </c>
      <c r="D452" s="3">
        <v>77.11</v>
      </c>
      <c r="E452" s="4">
        <v>0</v>
      </c>
      <c r="F452" s="4" t="s">
        <v>3178</v>
      </c>
      <c r="G452" s="4" t="s">
        <v>3178</v>
      </c>
      <c r="H452" s="3">
        <v>0</v>
      </c>
      <c r="I452" s="5">
        <v>113365.567694</v>
      </c>
      <c r="J452" s="6">
        <v>64.22978339588101</v>
      </c>
      <c r="K452" s="4">
        <v>0</v>
      </c>
      <c r="L452" s="7">
        <v>0.527884165596135</v>
      </c>
      <c r="M452" s="3">
        <v>77.56</v>
      </c>
      <c r="N452" s="3">
        <v>48.35</v>
      </c>
    </row>
    <row r="453" spans="1:14">
      <c r="A453" s="8" t="s">
        <v>465</v>
      </c>
      <c r="B453" s="2">
        <f>HYPERLINK("https://www.suredividend.com/sure-analysis-research-database/","Peabody Energy Corp.")</f>
        <v>0</v>
      </c>
      <c r="C453" s="1" t="s">
        <v>3185</v>
      </c>
      <c r="D453" s="3">
        <v>23.65</v>
      </c>
      <c r="E453" s="4">
        <v>0.012622916158649</v>
      </c>
      <c r="F453" s="4" t="s">
        <v>3178</v>
      </c>
      <c r="G453" s="4" t="s">
        <v>3178</v>
      </c>
      <c r="H453" s="3">
        <v>0.298531967152055</v>
      </c>
      <c r="I453" s="5">
        <v>3010.465662</v>
      </c>
      <c r="J453" s="6">
        <v>5.672631735537968</v>
      </c>
      <c r="K453" s="4">
        <v>0.08456996236602125</v>
      </c>
      <c r="L453" s="7">
        <v>0.6989796729280301</v>
      </c>
      <c r="M453" s="3">
        <v>27.15</v>
      </c>
      <c r="N453" s="3">
        <v>19.09</v>
      </c>
    </row>
    <row r="454" spans="1:14">
      <c r="A454" s="8" t="s">
        <v>466</v>
      </c>
      <c r="B454" s="2">
        <f>HYPERLINK("https://www.suredividend.com/sure-analysis-research-database/","Burlington Stores Inc")</f>
        <v>0</v>
      </c>
      <c r="C454" s="1" t="s">
        <v>3182</v>
      </c>
      <c r="D454" s="3">
        <v>229.21</v>
      </c>
      <c r="E454" s="4">
        <v>0</v>
      </c>
      <c r="F454" s="4" t="s">
        <v>3178</v>
      </c>
      <c r="G454" s="4" t="s">
        <v>3178</v>
      </c>
      <c r="H454" s="3">
        <v>0</v>
      </c>
      <c r="I454" s="5">
        <v>14629.562273</v>
      </c>
      <c r="J454" s="6">
        <v>37.95794733834958</v>
      </c>
      <c r="K454" s="4">
        <v>0</v>
      </c>
      <c r="L454" s="7">
        <v>1.462966075798198</v>
      </c>
      <c r="M454" s="3">
        <v>243.64</v>
      </c>
      <c r="N454" s="3">
        <v>115.66</v>
      </c>
    </row>
    <row r="455" spans="1:14">
      <c r="A455" s="8" t="s">
        <v>467</v>
      </c>
      <c r="B455" s="2">
        <f>HYPERLINK("https://www.suredividend.com/sure-analysis-research-database/","First Busey Corp.")</f>
        <v>0</v>
      </c>
      <c r="C455" s="1" t="s">
        <v>3180</v>
      </c>
      <c r="D455" s="3">
        <v>22.49</v>
      </c>
      <c r="E455" s="4">
        <v>0.041521944118285</v>
      </c>
      <c r="F455" s="4">
        <v>0</v>
      </c>
      <c r="G455" s="4">
        <v>0.02706608708935176</v>
      </c>
      <c r="H455" s="3">
        <v>0.9338285232202411</v>
      </c>
      <c r="I455" s="5">
        <v>1275.842227</v>
      </c>
      <c r="J455" s="6">
        <v>11.39104163137031</v>
      </c>
      <c r="K455" s="4">
        <v>0.469260564432282</v>
      </c>
      <c r="L455" s="7">
        <v>0.890588530466315</v>
      </c>
      <c r="M455" s="3">
        <v>24.98</v>
      </c>
      <c r="N455" s="3">
        <v>16.95</v>
      </c>
    </row>
    <row r="456" spans="1:14">
      <c r="A456" s="8" t="s">
        <v>468</v>
      </c>
      <c r="B456" s="2">
        <f>HYPERLINK("https://www.suredividend.com/sure-analysis-research-database/","BrightView Holdings Inc")</f>
        <v>0</v>
      </c>
      <c r="C456" s="1" t="s">
        <v>3179</v>
      </c>
      <c r="D456" s="3">
        <v>13.75</v>
      </c>
      <c r="E456" s="4">
        <v>0</v>
      </c>
      <c r="F456" s="4" t="s">
        <v>3178</v>
      </c>
      <c r="G456" s="4" t="s">
        <v>3178</v>
      </c>
      <c r="H456" s="3">
        <v>0</v>
      </c>
      <c r="I456" s="5">
        <v>1299.375</v>
      </c>
      <c r="J456" s="6">
        <v>39.73623853211009</v>
      </c>
      <c r="K456" s="4">
        <v>0</v>
      </c>
      <c r="L456" s="7">
        <v>1.419359059727742</v>
      </c>
      <c r="M456" s="3">
        <v>14.42</v>
      </c>
      <c r="N456" s="3">
        <v>6.58</v>
      </c>
    </row>
    <row r="457" spans="1:14">
      <c r="A457" s="8" t="s">
        <v>469</v>
      </c>
      <c r="B457" s="2">
        <f>HYPERLINK("https://www.suredividend.com/sure-analysis-research-database/","Babcock &amp; Wilcox Enterprises Inc")</f>
        <v>0</v>
      </c>
      <c r="C457" s="1" t="s">
        <v>3179</v>
      </c>
      <c r="D457" s="3">
        <v>1.19</v>
      </c>
      <c r="E457" s="4">
        <v>0</v>
      </c>
      <c r="F457" s="4" t="s">
        <v>3178</v>
      </c>
      <c r="G457" s="4" t="s">
        <v>3178</v>
      </c>
      <c r="H457" s="3">
        <v>0</v>
      </c>
      <c r="I457" s="5">
        <v>108.304334</v>
      </c>
      <c r="J457" s="6" t="s">
        <v>3178</v>
      </c>
      <c r="K457" s="4">
        <v>-0</v>
      </c>
      <c r="L457" s="7">
        <v>2.193388176781874</v>
      </c>
      <c r="M457" s="3">
        <v>6.64</v>
      </c>
      <c r="N457" s="3">
        <v>0.753</v>
      </c>
    </row>
    <row r="458" spans="1:14">
      <c r="A458" s="8" t="s">
        <v>470</v>
      </c>
      <c r="B458" s="2">
        <f>HYPERLINK("https://www.suredividend.com/sure-analysis-research-database/","BorgWarner Inc")</f>
        <v>0</v>
      </c>
      <c r="C458" s="1" t="s">
        <v>3182</v>
      </c>
      <c r="D458" s="3">
        <v>34.61</v>
      </c>
      <c r="E458" s="4">
        <v>0.012650864110158</v>
      </c>
      <c r="F458" s="4">
        <v>-0.3529411764705883</v>
      </c>
      <c r="G458" s="4">
        <v>-0.08338121623946426</v>
      </c>
      <c r="H458" s="3">
        <v>0.437846406852568</v>
      </c>
      <c r="I458" s="5">
        <v>7885.461482</v>
      </c>
      <c r="J458" s="6">
        <v>12.84277114302932</v>
      </c>
      <c r="K458" s="4">
        <v>0.1887268995054173</v>
      </c>
      <c r="L458" s="7">
        <v>1.006445141460954</v>
      </c>
      <c r="M458" s="3">
        <v>49.41</v>
      </c>
      <c r="N458" s="3">
        <v>29.31</v>
      </c>
    </row>
    <row r="459" spans="1:14">
      <c r="A459" s="8" t="s">
        <v>471</v>
      </c>
      <c r="B459" s="2">
        <f>HYPERLINK("https://www.suredividend.com/sure-analysis-research-database/","Bridgewater Bancshares Inc")</f>
        <v>0</v>
      </c>
      <c r="C459" s="1" t="s">
        <v>3180</v>
      </c>
      <c r="D459" s="3">
        <v>10.99</v>
      </c>
      <c r="E459" s="4">
        <v>0</v>
      </c>
      <c r="F459" s="4" t="s">
        <v>3178</v>
      </c>
      <c r="G459" s="4" t="s">
        <v>3178</v>
      </c>
      <c r="H459" s="3">
        <v>0</v>
      </c>
      <c r="I459" s="5">
        <v>300.839952</v>
      </c>
      <c r="J459" s="6">
        <v>9.373421164667391</v>
      </c>
      <c r="K459" s="4">
        <v>0</v>
      </c>
      <c r="L459" s="7">
        <v>1.071979398772785</v>
      </c>
      <c r="M459" s="3">
        <v>14.43</v>
      </c>
      <c r="N459" s="3">
        <v>8</v>
      </c>
    </row>
    <row r="460" spans="1:14">
      <c r="A460" s="8" t="s">
        <v>472</v>
      </c>
      <c r="B460" s="2">
        <f>HYPERLINK("https://www.suredividend.com/sure-analysis-research-database/","Broadwind Inc")</f>
        <v>0</v>
      </c>
      <c r="C460" s="1" t="s">
        <v>3179</v>
      </c>
      <c r="D460" s="3">
        <v>4.01</v>
      </c>
      <c r="E460" s="4">
        <v>0</v>
      </c>
      <c r="F460" s="4" t="s">
        <v>3178</v>
      </c>
      <c r="G460" s="4" t="s">
        <v>3178</v>
      </c>
      <c r="H460" s="3">
        <v>0</v>
      </c>
      <c r="I460" s="5">
        <v>87.152053</v>
      </c>
      <c r="J460" s="6">
        <v>10.38761058283671</v>
      </c>
      <c r="K460" s="4">
        <v>0</v>
      </c>
      <c r="L460" s="7">
        <v>1.847162328766002</v>
      </c>
      <c r="M460" s="3">
        <v>4.81</v>
      </c>
      <c r="N460" s="3">
        <v>2.01</v>
      </c>
    </row>
    <row r="461" spans="1:14">
      <c r="A461" s="8" t="s">
        <v>473</v>
      </c>
      <c r="B461" s="2">
        <f>HYPERLINK("https://www.suredividend.com/sure-analysis-research-database/","Bankwell Financial Group Inc")</f>
        <v>0</v>
      </c>
      <c r="C461" s="1" t="s">
        <v>3180</v>
      </c>
      <c r="D461" s="3">
        <v>24.04</v>
      </c>
      <c r="E461" s="4">
        <v>0.032465080082821</v>
      </c>
      <c r="F461" s="4">
        <v>0</v>
      </c>
      <c r="G461" s="4">
        <v>0.07394092378577932</v>
      </c>
      <c r="H461" s="3">
        <v>0.780460525191027</v>
      </c>
      <c r="I461" s="5">
        <v>189.878401</v>
      </c>
      <c r="J461" s="6">
        <v>0</v>
      </c>
      <c r="K461" s="4" t="s">
        <v>3178</v>
      </c>
      <c r="L461" s="7">
        <v>0.8802712404535971</v>
      </c>
      <c r="M461" s="3">
        <v>29.83</v>
      </c>
      <c r="N461" s="3">
        <v>22.05</v>
      </c>
    </row>
    <row r="462" spans="1:14">
      <c r="A462" s="8" t="s">
        <v>474</v>
      </c>
      <c r="B462" s="2">
        <f>HYPERLINK("https://www.suredividend.com/sure-analysis-research-database/","BWX Technologies Inc")</f>
        <v>0</v>
      </c>
      <c r="C462" s="1" t="s">
        <v>3179</v>
      </c>
      <c r="D462" s="3">
        <v>89.45</v>
      </c>
      <c r="E462" s="4">
        <v>0.010468648409707</v>
      </c>
      <c r="F462" s="4">
        <v>0.04347826086956519</v>
      </c>
      <c r="G462" s="4">
        <v>0.07140202794100681</v>
      </c>
      <c r="H462" s="3">
        <v>0.9364206002482911</v>
      </c>
      <c r="I462" s="5">
        <v>8176.516176</v>
      </c>
      <c r="J462" s="6">
        <v>32.28952977016488</v>
      </c>
      <c r="K462" s="4">
        <v>0.3392828261769171</v>
      </c>
      <c r="L462" s="7">
        <v>0.7025946257526301</v>
      </c>
      <c r="M462" s="3">
        <v>106.65</v>
      </c>
      <c r="N462" s="3">
        <v>64.05</v>
      </c>
    </row>
    <row r="463" spans="1:14">
      <c r="A463" s="8" t="s">
        <v>475</v>
      </c>
      <c r="B463" s="2">
        <f>HYPERLINK("https://www.suredividend.com/sure-analysis-research-database/","Bluelinx Hldgs Inc")</f>
        <v>0</v>
      </c>
      <c r="C463" s="1" t="s">
        <v>3179</v>
      </c>
      <c r="D463" s="3">
        <v>97.65000000000001</v>
      </c>
      <c r="E463" s="4">
        <v>0</v>
      </c>
      <c r="F463" s="4" t="s">
        <v>3178</v>
      </c>
      <c r="G463" s="4" t="s">
        <v>3178</v>
      </c>
      <c r="H463" s="3">
        <v>0</v>
      </c>
      <c r="I463" s="5">
        <v>845.8190090000001</v>
      </c>
      <c r="J463" s="6">
        <v>17.54228904616725</v>
      </c>
      <c r="K463" s="4">
        <v>0</v>
      </c>
      <c r="L463" s="7">
        <v>1.824966263150921</v>
      </c>
      <c r="M463" s="3">
        <v>132.67</v>
      </c>
      <c r="N463" s="3">
        <v>67.76000000000001</v>
      </c>
    </row>
    <row r="464" spans="1:14">
      <c r="A464" s="8" t="s">
        <v>476</v>
      </c>
      <c r="B464" s="2">
        <f>HYPERLINK("https://www.suredividend.com/sure-analysis-BXMT/","Blackstone Mortgage Trust Inc")</f>
        <v>0</v>
      </c>
      <c r="C464" s="1" t="s">
        <v>3183</v>
      </c>
      <c r="D464" s="3">
        <v>17.21</v>
      </c>
      <c r="E464" s="4">
        <v>0.1441022661243463</v>
      </c>
      <c r="F464" s="4">
        <v>0</v>
      </c>
      <c r="G464" s="4">
        <v>0</v>
      </c>
      <c r="H464" s="3">
        <v>2.373118014969239</v>
      </c>
      <c r="I464" s="5">
        <v>2987.381225</v>
      </c>
      <c r="J464" s="6">
        <v>602.2946018427419</v>
      </c>
      <c r="K464" s="4">
        <v>81.83165568859444</v>
      </c>
      <c r="L464" s="7">
        <v>1.444076413435928</v>
      </c>
      <c r="M464" s="3">
        <v>21.95</v>
      </c>
      <c r="N464" s="3">
        <v>16.73</v>
      </c>
    </row>
    <row r="465" spans="1:14">
      <c r="A465" s="8" t="s">
        <v>477</v>
      </c>
      <c r="B465" s="2">
        <f>HYPERLINK("https://www.suredividend.com/sure-analysis-BXP/","Boston Properties, Inc.")</f>
        <v>0</v>
      </c>
      <c r="C465" s="1" t="s">
        <v>3183</v>
      </c>
      <c r="D465" s="3">
        <v>59.26</v>
      </c>
      <c r="E465" s="4">
        <v>0.0661491731353358</v>
      </c>
      <c r="F465" s="4">
        <v>0</v>
      </c>
      <c r="G465" s="4">
        <v>0</v>
      </c>
      <c r="H465" s="3">
        <v>3.83064038706725</v>
      </c>
      <c r="I465" s="5">
        <v>9307.295717999999</v>
      </c>
      <c r="J465" s="6">
        <v>48.93039832568409</v>
      </c>
      <c r="K465" s="4">
        <v>3.165818501708471</v>
      </c>
      <c r="L465" s="7">
        <v>1.669857351430479</v>
      </c>
      <c r="M465" s="3">
        <v>71.79000000000001</v>
      </c>
      <c r="N465" s="3">
        <v>47.99</v>
      </c>
    </row>
    <row r="466" spans="1:14">
      <c r="A466" s="8" t="s">
        <v>478</v>
      </c>
      <c r="B466" s="2">
        <f>HYPERLINK("https://www.suredividend.com/sure-analysis-research-database/","Byline Bancorp Inc")</f>
        <v>0</v>
      </c>
      <c r="C466" s="1" t="s">
        <v>3180</v>
      </c>
      <c r="D466" s="3">
        <v>22.49</v>
      </c>
      <c r="E466" s="4">
        <v>0.015909074868171</v>
      </c>
      <c r="F466" s="4" t="s">
        <v>3178</v>
      </c>
      <c r="G466" s="4" t="s">
        <v>3178</v>
      </c>
      <c r="H466" s="3">
        <v>0.357795093785174</v>
      </c>
      <c r="I466" s="5">
        <v>992.351549</v>
      </c>
      <c r="J466" s="6">
        <v>8.676449413410507</v>
      </c>
      <c r="K466" s="4">
        <v>0.1315423138916081</v>
      </c>
      <c r="L466" s="7">
        <v>0.975705140470674</v>
      </c>
      <c r="M466" s="3">
        <v>24.32</v>
      </c>
      <c r="N466" s="3">
        <v>17.37</v>
      </c>
    </row>
    <row r="467" spans="1:14">
      <c r="A467" s="8" t="s">
        <v>479</v>
      </c>
      <c r="B467" s="2">
        <f>HYPERLINK("https://www.suredividend.com/sure-analysis-research-database/","Boyd Gaming Corp.")</f>
        <v>0</v>
      </c>
      <c r="C467" s="1" t="s">
        <v>3182</v>
      </c>
      <c r="D467" s="3">
        <v>53.01</v>
      </c>
      <c r="E467" s="4">
        <v>0.012214099601202</v>
      </c>
      <c r="F467" s="4" t="s">
        <v>3178</v>
      </c>
      <c r="G467" s="4" t="s">
        <v>3178</v>
      </c>
      <c r="H467" s="3">
        <v>0.6474694198597201</v>
      </c>
      <c r="I467" s="5">
        <v>5029.440584</v>
      </c>
      <c r="J467" s="6">
        <v>9.033327497310356</v>
      </c>
      <c r="K467" s="4">
        <v>0.1160339462114194</v>
      </c>
      <c r="L467" s="7">
        <v>0.9679948258051621</v>
      </c>
      <c r="M467" s="3">
        <v>72.43000000000001</v>
      </c>
      <c r="N467" s="3">
        <v>49.34</v>
      </c>
    </row>
    <row r="468" spans="1:14">
      <c r="A468" s="8" t="s">
        <v>480</v>
      </c>
      <c r="B468" s="2">
        <f>HYPERLINK("https://www.suredividend.com/sure-analysis-research-database/","Broadway Financial Corp.")</f>
        <v>0</v>
      </c>
      <c r="C468" s="1" t="s">
        <v>3180</v>
      </c>
      <c r="D468" s="3">
        <v>5.06</v>
      </c>
      <c r="E468" s="4">
        <v>0</v>
      </c>
      <c r="F468" s="4" t="s">
        <v>3178</v>
      </c>
      <c r="G468" s="4" t="s">
        <v>3178</v>
      </c>
      <c r="H468" s="3">
        <v>0</v>
      </c>
      <c r="I468" s="5">
        <v>30.528053</v>
      </c>
      <c r="J468" s="6">
        <v>0</v>
      </c>
      <c r="K468" s="4" t="s">
        <v>3178</v>
      </c>
      <c r="L468" s="7">
        <v>0.4180533900539911</v>
      </c>
      <c r="M468" s="3">
        <v>8.640000000000001</v>
      </c>
      <c r="N468" s="3">
        <v>4.41</v>
      </c>
    </row>
    <row r="469" spans="1:14">
      <c r="A469" s="8" t="s">
        <v>481</v>
      </c>
      <c r="B469" s="2">
        <f>HYPERLINK("https://www.suredividend.com/sure-analysis-research-database/","Beyond Meat Inc")</f>
        <v>0</v>
      </c>
      <c r="C469" s="1" t="s">
        <v>3184</v>
      </c>
      <c r="D469" s="3">
        <v>7.59</v>
      </c>
      <c r="E469" s="4">
        <v>0</v>
      </c>
      <c r="F469" s="4" t="s">
        <v>3178</v>
      </c>
      <c r="G469" s="4" t="s">
        <v>3178</v>
      </c>
      <c r="H469" s="3">
        <v>0</v>
      </c>
      <c r="I469" s="5">
        <v>492.474964</v>
      </c>
      <c r="J469" s="6" t="s">
        <v>3178</v>
      </c>
      <c r="K469" s="4">
        <v>-0</v>
      </c>
      <c r="L469" s="7">
        <v>1.862737386075113</v>
      </c>
      <c r="M469" s="3">
        <v>19.25</v>
      </c>
      <c r="N469" s="3">
        <v>5.58</v>
      </c>
    </row>
    <row r="470" spans="1:14">
      <c r="A470" s="8" t="s">
        <v>482</v>
      </c>
      <c r="B470" s="2">
        <f>HYPERLINK("https://www.suredividend.com/sure-analysis-research-database/","Beazer Homes USA Inc.")</f>
        <v>0</v>
      </c>
      <c r="C470" s="1" t="s">
        <v>3182</v>
      </c>
      <c r="D470" s="3">
        <v>28.1</v>
      </c>
      <c r="E470" s="4">
        <v>0</v>
      </c>
      <c r="F470" s="4" t="s">
        <v>3178</v>
      </c>
      <c r="G470" s="4" t="s">
        <v>3178</v>
      </c>
      <c r="H470" s="3">
        <v>0</v>
      </c>
      <c r="I470" s="5">
        <v>886.4786800000001</v>
      </c>
      <c r="J470" s="6">
        <v>5.524195376140386</v>
      </c>
      <c r="K470" s="4">
        <v>0</v>
      </c>
      <c r="L470" s="7">
        <v>2.049004679839829</v>
      </c>
      <c r="M470" s="3">
        <v>35.93</v>
      </c>
      <c r="N470" s="3">
        <v>22.03</v>
      </c>
    </row>
    <row r="471" spans="1:14">
      <c r="A471" s="8" t="s">
        <v>483</v>
      </c>
      <c r="B471" s="2">
        <f>HYPERLINK("https://www.suredividend.com/sure-analysis-C/","Citigroup Inc")</f>
        <v>0</v>
      </c>
      <c r="C471" s="1" t="s">
        <v>3180</v>
      </c>
      <c r="D471" s="3">
        <v>61.78</v>
      </c>
      <c r="E471" s="4">
        <v>0.03431531239883458</v>
      </c>
      <c r="F471" s="4">
        <v>0</v>
      </c>
      <c r="G471" s="4">
        <v>0.007722925296044458</v>
      </c>
      <c r="H471" s="3">
        <v>2.089701530114736</v>
      </c>
      <c r="I471" s="5">
        <v>117841.619291</v>
      </c>
      <c r="J471" s="6">
        <v>17.8493818980824</v>
      </c>
      <c r="K471" s="4">
        <v>0.61825489056649</v>
      </c>
      <c r="L471" s="7">
        <v>0.930220295187097</v>
      </c>
      <c r="M471" s="3">
        <v>64.98</v>
      </c>
      <c r="N471" s="3">
        <v>37</v>
      </c>
    </row>
    <row r="472" spans="1:14">
      <c r="A472" s="8" t="s">
        <v>484</v>
      </c>
      <c r="B472" s="2">
        <f>HYPERLINK("https://www.suredividend.com/sure-analysis-research-database/","Cable One Inc")</f>
        <v>0</v>
      </c>
      <c r="C472" s="1" t="s">
        <v>3187</v>
      </c>
      <c r="D472" s="3">
        <v>374.72</v>
      </c>
      <c r="E472" s="4">
        <v>0.031148768738392</v>
      </c>
      <c r="F472" s="4">
        <v>0.03508771929824572</v>
      </c>
      <c r="G472" s="4">
        <v>0.05566931843993772</v>
      </c>
      <c r="H472" s="3">
        <v>11.67206662165048</v>
      </c>
      <c r="I472" s="5">
        <v>2105.579784</v>
      </c>
      <c r="J472" s="6">
        <v>8.18171136808729</v>
      </c>
      <c r="K472" s="4">
        <v>0.2737993577680149</v>
      </c>
      <c r="L472" s="7">
        <v>0.9109148616518891</v>
      </c>
      <c r="M472" s="3">
        <v>730.61</v>
      </c>
      <c r="N472" s="3">
        <v>332.94</v>
      </c>
    </row>
    <row r="473" spans="1:14">
      <c r="A473" s="8" t="s">
        <v>485</v>
      </c>
      <c r="B473" s="2">
        <f>HYPERLINK("https://www.suredividend.com/sure-analysis-research-database/","Camden National Corp.")</f>
        <v>0</v>
      </c>
      <c r="C473" s="1" t="s">
        <v>3180</v>
      </c>
      <c r="D473" s="3">
        <v>32.35</v>
      </c>
      <c r="E473" s="4">
        <v>0.049948295599248</v>
      </c>
      <c r="F473" s="4">
        <v>0</v>
      </c>
      <c r="G473" s="4">
        <v>0.06961037572506878</v>
      </c>
      <c r="H473" s="3">
        <v>1.6158273626357</v>
      </c>
      <c r="I473" s="5">
        <v>472.526519</v>
      </c>
      <c r="J473" s="6">
        <v>10.76639974822848</v>
      </c>
      <c r="K473" s="4">
        <v>0.5386091208785667</v>
      </c>
      <c r="L473" s="7">
        <v>0.8972242972669081</v>
      </c>
      <c r="M473" s="3">
        <v>37.76</v>
      </c>
      <c r="N473" s="3">
        <v>24.92</v>
      </c>
    </row>
    <row r="474" spans="1:14">
      <c r="A474" s="8" t="s">
        <v>486</v>
      </c>
      <c r="B474" s="2">
        <f>HYPERLINK("https://www.suredividend.com/sure-analysis-research-database/","Credit Acceptance Corp.")</f>
        <v>0</v>
      </c>
      <c r="C474" s="1" t="s">
        <v>3180</v>
      </c>
      <c r="D474" s="3">
        <v>479.72</v>
      </c>
      <c r="E474" s="4">
        <v>0</v>
      </c>
      <c r="F474" s="4" t="s">
        <v>3178</v>
      </c>
      <c r="G474" s="4" t="s">
        <v>3178</v>
      </c>
      <c r="H474" s="3">
        <v>0</v>
      </c>
      <c r="I474" s="5">
        <v>5809.877407</v>
      </c>
      <c r="J474" s="6">
        <v>23.15614749589478</v>
      </c>
      <c r="K474" s="4">
        <v>0</v>
      </c>
      <c r="L474" s="7">
        <v>1.53211184793496</v>
      </c>
      <c r="M474" s="3">
        <v>616.66</v>
      </c>
      <c r="N474" s="3">
        <v>379.77</v>
      </c>
    </row>
    <row r="475" spans="1:14">
      <c r="A475" s="8" t="s">
        <v>487</v>
      </c>
      <c r="B475" s="2">
        <f>HYPERLINK("https://www.suredividend.com/sure-analysis-research-database/","Caci International Inc.")</f>
        <v>0</v>
      </c>
      <c r="C475" s="1" t="s">
        <v>3181</v>
      </c>
      <c r="D475" s="3">
        <v>417.52</v>
      </c>
      <c r="E475" s="4">
        <v>0</v>
      </c>
      <c r="F475" s="4" t="s">
        <v>3178</v>
      </c>
      <c r="G475" s="4" t="s">
        <v>3178</v>
      </c>
      <c r="H475" s="3">
        <v>0</v>
      </c>
      <c r="I475" s="5">
        <v>9309.197103</v>
      </c>
      <c r="J475" s="6">
        <v>23.68547531053293</v>
      </c>
      <c r="K475" s="4">
        <v>0</v>
      </c>
      <c r="L475" s="7">
        <v>0.5635748025438061</v>
      </c>
      <c r="M475" s="3">
        <v>432.03</v>
      </c>
      <c r="N475" s="3">
        <v>302.21</v>
      </c>
    </row>
    <row r="476" spans="1:14">
      <c r="A476" s="8" t="s">
        <v>488</v>
      </c>
      <c r="B476" s="2">
        <f>HYPERLINK("https://www.suredividend.com/sure-analysis-research-database/","Cadence Bank")</f>
        <v>0</v>
      </c>
      <c r="C476" s="1" t="s">
        <v>3180</v>
      </c>
      <c r="D476" s="3">
        <v>28.36</v>
      </c>
      <c r="E476" s="4">
        <v>0.033230539854459</v>
      </c>
      <c r="F476" s="4">
        <v>0.06382978723404253</v>
      </c>
      <c r="G476" s="4">
        <v>0.07394092378577932</v>
      </c>
      <c r="H476" s="3">
        <v>0.9424181102724771</v>
      </c>
      <c r="I476" s="5">
        <v>5167.782852</v>
      </c>
      <c r="J476" s="6">
        <v>9.016221946978618</v>
      </c>
      <c r="K476" s="4">
        <v>0.3010920480103761</v>
      </c>
      <c r="L476" s="7">
        <v>1.593475222721505</v>
      </c>
      <c r="M476" s="3">
        <v>31.17</v>
      </c>
      <c r="N476" s="3">
        <v>18.45</v>
      </c>
    </row>
    <row r="477" spans="1:14">
      <c r="A477" s="8" t="s">
        <v>489</v>
      </c>
      <c r="B477" s="2">
        <f>HYPERLINK("https://www.suredividend.com/sure-analysis-CAG/","Conagra Brands Inc")</f>
        <v>0</v>
      </c>
      <c r="C477" s="1" t="s">
        <v>3184</v>
      </c>
      <c r="D477" s="3">
        <v>29.72</v>
      </c>
      <c r="E477" s="4">
        <v>0.04710632570659488</v>
      </c>
      <c r="F477" s="4">
        <v>0.06060606060606055</v>
      </c>
      <c r="G477" s="4">
        <v>0.1049479537965032</v>
      </c>
      <c r="H477" s="3">
        <v>1.375623620781432</v>
      </c>
      <c r="I477" s="5">
        <v>14208.0249</v>
      </c>
      <c r="J477" s="6">
        <v>14.92439590365546</v>
      </c>
      <c r="K477" s="4">
        <v>0.6947594044350667</v>
      </c>
      <c r="L477" s="7">
        <v>0.248158603906691</v>
      </c>
      <c r="M477" s="3">
        <v>33.5</v>
      </c>
      <c r="N477" s="3">
        <v>24.27</v>
      </c>
    </row>
    <row r="478" spans="1:14">
      <c r="A478" s="8" t="s">
        <v>490</v>
      </c>
      <c r="B478" s="2">
        <f>HYPERLINK("https://www.suredividend.com/sure-analysis-CAH/","Cardinal Health, Inc.")</f>
        <v>0</v>
      </c>
      <c r="C478" s="1" t="s">
        <v>3176</v>
      </c>
      <c r="D478" s="3">
        <v>98.51000000000001</v>
      </c>
      <c r="E478" s="4">
        <v>0.02050553243325551</v>
      </c>
      <c r="F478" s="4">
        <v>0.009885011095420726</v>
      </c>
      <c r="G478" s="4">
        <v>0.007978102858393621</v>
      </c>
      <c r="H478" s="3">
        <v>1.987884706776934</v>
      </c>
      <c r="I478" s="5">
        <v>23993.780442</v>
      </c>
      <c r="J478" s="6">
        <v>43.46699355347826</v>
      </c>
      <c r="K478" s="4">
        <v>0.8994953424330019</v>
      </c>
      <c r="L478" s="7">
        <v>0.103896761432464</v>
      </c>
      <c r="M478" s="3">
        <v>115.52</v>
      </c>
      <c r="N478" s="3">
        <v>83.83</v>
      </c>
    </row>
    <row r="479" spans="1:14">
      <c r="A479" s="8" t="s">
        <v>491</v>
      </c>
      <c r="B479" s="2">
        <f>HYPERLINK("https://www.suredividend.com/sure-analysis-research-database/","Cai International Inc")</f>
        <v>0</v>
      </c>
      <c r="C479" s="1" t="s">
        <v>3179</v>
      </c>
      <c r="D479" s="3">
        <v>56</v>
      </c>
      <c r="E479" s="4">
        <v>0.020353586160917</v>
      </c>
      <c r="F479" s="4" t="s">
        <v>3178</v>
      </c>
      <c r="G479" s="4" t="s">
        <v>3178</v>
      </c>
      <c r="H479" s="3">
        <v>1.139800825011352</v>
      </c>
      <c r="I479" s="5">
        <v>972.022744</v>
      </c>
      <c r="J479" s="6">
        <v>7.46246012821005</v>
      </c>
      <c r="K479" s="4">
        <v>0.1550749421784152</v>
      </c>
      <c r="L479" s="7">
        <v>0.271361684984798</v>
      </c>
      <c r="M479" s="3">
        <v>56.13</v>
      </c>
      <c r="N479" s="3">
        <v>29.43</v>
      </c>
    </row>
    <row r="480" spans="1:14">
      <c r="A480" s="8" t="s">
        <v>492</v>
      </c>
      <c r="B480" s="2">
        <f>HYPERLINK("https://www.suredividend.com/sure-analysis-CAKE/","Cheesecake Factory Inc.")</f>
        <v>0</v>
      </c>
      <c r="C480" s="1" t="s">
        <v>3182</v>
      </c>
      <c r="D480" s="3">
        <v>38.8</v>
      </c>
      <c r="E480" s="4">
        <v>0.02783505154639176</v>
      </c>
      <c r="F480" s="4" t="s">
        <v>3178</v>
      </c>
      <c r="G480" s="4" t="s">
        <v>3178</v>
      </c>
      <c r="H480" s="3">
        <v>1.056071737819048</v>
      </c>
      <c r="I480" s="5">
        <v>1977.186192</v>
      </c>
      <c r="J480" s="6">
        <v>18.56652322803591</v>
      </c>
      <c r="K480" s="4">
        <v>0.4844365769812147</v>
      </c>
      <c r="L480" s="7">
        <v>0.9811826018464421</v>
      </c>
      <c r="M480" s="3">
        <v>40.67</v>
      </c>
      <c r="N480" s="3">
        <v>27.28</v>
      </c>
    </row>
    <row r="481" spans="1:14">
      <c r="A481" s="8" t="s">
        <v>493</v>
      </c>
      <c r="B481" s="2">
        <f>HYPERLINK("https://www.suredividend.com/sure-analysis-research-database/","Caleres Inc")</f>
        <v>0</v>
      </c>
      <c r="C481" s="1" t="s">
        <v>3182</v>
      </c>
      <c r="D481" s="3">
        <v>32.86</v>
      </c>
      <c r="E481" s="4">
        <v>0.008495536877479001</v>
      </c>
      <c r="F481" s="4">
        <v>0</v>
      </c>
      <c r="G481" s="4">
        <v>0</v>
      </c>
      <c r="H481" s="3">
        <v>0.279163341793985</v>
      </c>
      <c r="I481" s="5">
        <v>1155.86187</v>
      </c>
      <c r="J481" s="6">
        <v>7.053357271806387</v>
      </c>
      <c r="K481" s="4">
        <v>0.05815902954041354</v>
      </c>
      <c r="L481" s="7">
        <v>1.186780984762554</v>
      </c>
      <c r="M481" s="3">
        <v>41.78</v>
      </c>
      <c r="N481" s="3">
        <v>22.88</v>
      </c>
    </row>
    <row r="482" spans="1:14">
      <c r="A482" s="8" t="s">
        <v>494</v>
      </c>
      <c r="B482" s="2">
        <f>HYPERLINK("https://www.suredividend.com/sure-analysis-research-database/","Calithera Biosciences Inc")</f>
        <v>0</v>
      </c>
      <c r="C482" s="1" t="s">
        <v>3176</v>
      </c>
      <c r="D482" s="3">
        <v>0.02</v>
      </c>
      <c r="E482" s="4">
        <v>0</v>
      </c>
      <c r="F482" s="4" t="s">
        <v>3178</v>
      </c>
      <c r="G482" s="4" t="s">
        <v>3178</v>
      </c>
      <c r="H482" s="3">
        <v>0</v>
      </c>
      <c r="I482" s="5">
        <v>0.09744999999999999</v>
      </c>
      <c r="J482" s="6">
        <v>0</v>
      </c>
      <c r="K482" s="4" t="s">
        <v>3178</v>
      </c>
      <c r="M482" s="3">
        <v>0.4999</v>
      </c>
      <c r="N482" s="3">
        <v>0.01</v>
      </c>
    </row>
    <row r="483" spans="1:14">
      <c r="A483" s="8" t="s">
        <v>495</v>
      </c>
      <c r="B483" s="2">
        <f>HYPERLINK("https://www.suredividend.com/sure-analysis-research-database/","Cal-Maine Foods, Inc.")</f>
        <v>0</v>
      </c>
      <c r="C483" s="1" t="s">
        <v>3184</v>
      </c>
      <c r="D483" s="3">
        <v>58.11</v>
      </c>
      <c r="E483" s="4">
        <v>0.031930688605482</v>
      </c>
      <c r="F483" s="4" t="s">
        <v>3178</v>
      </c>
      <c r="G483" s="4" t="s">
        <v>3178</v>
      </c>
      <c r="H483" s="3">
        <v>1.855492314864604</v>
      </c>
      <c r="I483" s="5">
        <v>2570.689124</v>
      </c>
      <c r="J483" s="6">
        <v>9.328353946468877</v>
      </c>
      <c r="K483" s="4">
        <v>0.3289879990894689</v>
      </c>
      <c r="L483" s="7">
        <v>0.435669278338509</v>
      </c>
      <c r="M483" s="3">
        <v>63.64</v>
      </c>
      <c r="N483" s="3">
        <v>40.99</v>
      </c>
    </row>
    <row r="484" spans="1:14">
      <c r="A484" s="8" t="s">
        <v>496</v>
      </c>
      <c r="B484" s="2">
        <f>HYPERLINK("https://www.suredividend.com/sure-analysis-research-database/","Calix Inc")</f>
        <v>0</v>
      </c>
      <c r="C484" s="1" t="s">
        <v>3181</v>
      </c>
      <c r="D484" s="3">
        <v>35.44</v>
      </c>
      <c r="E484" s="4">
        <v>0</v>
      </c>
      <c r="F484" s="4" t="s">
        <v>3178</v>
      </c>
      <c r="G484" s="4" t="s">
        <v>3178</v>
      </c>
      <c r="H484" s="3">
        <v>0</v>
      </c>
      <c r="I484" s="5">
        <v>2322.207737</v>
      </c>
      <c r="J484" s="6">
        <v>117.1057860090771</v>
      </c>
      <c r="K484" s="4">
        <v>0</v>
      </c>
      <c r="L484" s="7">
        <v>1.293163288866575</v>
      </c>
      <c r="M484" s="3">
        <v>53.9</v>
      </c>
      <c r="N484" s="3">
        <v>26.76</v>
      </c>
    </row>
    <row r="485" spans="1:14">
      <c r="A485" s="8" t="s">
        <v>497</v>
      </c>
      <c r="B485" s="2">
        <f>HYPERLINK("https://www.suredividend.com/sure-analysis-research-database/","Calamp Corp.")</f>
        <v>0</v>
      </c>
      <c r="C485" s="1" t="s">
        <v>3181</v>
      </c>
      <c r="D485" s="3">
        <v>0.73</v>
      </c>
      <c r="E485" s="4">
        <v>0</v>
      </c>
      <c r="F485" s="4" t="s">
        <v>3178</v>
      </c>
      <c r="G485" s="4" t="s">
        <v>3178</v>
      </c>
      <c r="H485" s="3">
        <v>0</v>
      </c>
      <c r="I485" s="5">
        <v>27.737414</v>
      </c>
      <c r="J485" s="6" t="s">
        <v>3178</v>
      </c>
      <c r="K485" s="4">
        <v>-0</v>
      </c>
      <c r="L485" s="7">
        <v>0.973255298848095</v>
      </c>
      <c r="M485" s="3">
        <v>48.76</v>
      </c>
      <c r="N485" s="3">
        <v>0.7000000000000001</v>
      </c>
    </row>
    <row r="486" spans="1:14">
      <c r="A486" s="8" t="s">
        <v>498</v>
      </c>
      <c r="B486" s="2">
        <f>HYPERLINK("https://www.suredividend.com/sure-analysis-research-database/","Capricor Therapeutics Inc")</f>
        <v>0</v>
      </c>
      <c r="C486" s="1" t="s">
        <v>3176</v>
      </c>
      <c r="D486" s="3">
        <v>5.24</v>
      </c>
      <c r="E486" s="4">
        <v>0</v>
      </c>
      <c r="F486" s="4" t="s">
        <v>3178</v>
      </c>
      <c r="G486" s="4" t="s">
        <v>3178</v>
      </c>
      <c r="H486" s="3">
        <v>0</v>
      </c>
      <c r="I486" s="5">
        <v>166.692103</v>
      </c>
      <c r="J486" s="6">
        <v>0</v>
      </c>
      <c r="K486" s="4" t="s">
        <v>3178</v>
      </c>
      <c r="L486" s="7">
        <v>0.613174444030093</v>
      </c>
      <c r="M486" s="3">
        <v>8.220000000000001</v>
      </c>
      <c r="N486" s="3">
        <v>2.68</v>
      </c>
    </row>
    <row r="487" spans="1:14">
      <c r="A487" s="8" t="s">
        <v>499</v>
      </c>
      <c r="B487" s="2">
        <f>HYPERLINK("https://www.suredividend.com/sure-analysis-research-database/","Avis Budget Group Inc")</f>
        <v>0</v>
      </c>
      <c r="C487" s="1" t="s">
        <v>3179</v>
      </c>
      <c r="D487" s="3">
        <v>108.21</v>
      </c>
      <c r="E487" s="4">
        <v>0</v>
      </c>
      <c r="F487" s="4" t="s">
        <v>3178</v>
      </c>
      <c r="G487" s="4" t="s">
        <v>3178</v>
      </c>
      <c r="H487" s="3">
        <v>0</v>
      </c>
      <c r="I487" s="5">
        <v>3857.379616</v>
      </c>
      <c r="J487" s="6">
        <v>3.198490560895522</v>
      </c>
      <c r="K487" s="4">
        <v>0</v>
      </c>
      <c r="L487" s="7">
        <v>2.073898316810363</v>
      </c>
      <c r="M487" s="3">
        <v>221.11</v>
      </c>
      <c r="N487" s="3">
        <v>93.53</v>
      </c>
    </row>
    <row r="488" spans="1:14">
      <c r="A488" s="8" t="s">
        <v>500</v>
      </c>
      <c r="B488" s="2">
        <f>HYPERLINK("https://www.suredividend.com/sure-analysis-research-database/","Cara Therapeutics Inc")</f>
        <v>0</v>
      </c>
      <c r="C488" s="1" t="s">
        <v>3176</v>
      </c>
      <c r="D488" s="3">
        <v>0.6242</v>
      </c>
      <c r="E488" s="4">
        <v>0</v>
      </c>
      <c r="F488" s="4" t="s">
        <v>3178</v>
      </c>
      <c r="G488" s="4" t="s">
        <v>3178</v>
      </c>
      <c r="H488" s="3">
        <v>0</v>
      </c>
      <c r="I488" s="5">
        <v>34.12873</v>
      </c>
      <c r="J488" s="6" t="s">
        <v>3178</v>
      </c>
      <c r="K488" s="4">
        <v>-0</v>
      </c>
      <c r="L488" s="7">
        <v>2.488491829085451</v>
      </c>
      <c r="M488" s="3">
        <v>4.45</v>
      </c>
      <c r="N488" s="3">
        <v>0.5</v>
      </c>
    </row>
    <row r="489" spans="1:14">
      <c r="A489" s="8" t="s">
        <v>501</v>
      </c>
      <c r="B489" s="2">
        <f>HYPERLINK("https://www.suredividend.com/sure-analysis-research-database/","Carter Bankshares Inc")</f>
        <v>0</v>
      </c>
      <c r="C489" s="1" t="s">
        <v>3180</v>
      </c>
      <c r="D489" s="3">
        <v>12.66</v>
      </c>
      <c r="E489" s="4">
        <v>0</v>
      </c>
      <c r="F489" s="4" t="s">
        <v>3178</v>
      </c>
      <c r="G489" s="4" t="s">
        <v>3178</v>
      </c>
      <c r="H489" s="3">
        <v>0</v>
      </c>
      <c r="I489" s="5">
        <v>291.370989</v>
      </c>
      <c r="J489" s="6">
        <v>21.98362673607967</v>
      </c>
      <c r="K489" s="4">
        <v>0</v>
      </c>
      <c r="L489" s="7">
        <v>0.8702093204811391</v>
      </c>
      <c r="M489" s="3">
        <v>16.74</v>
      </c>
      <c r="N489" s="3">
        <v>10.43</v>
      </c>
    </row>
    <row r="490" spans="1:14">
      <c r="A490" s="8" t="s">
        <v>502</v>
      </c>
      <c r="B490" s="2">
        <f>HYPERLINK("https://www.suredividend.com/sure-analysis-research-database/","CarGurus Inc")</f>
        <v>0</v>
      </c>
      <c r="C490" s="1" t="s">
        <v>3187</v>
      </c>
      <c r="D490" s="3">
        <v>26.19</v>
      </c>
      <c r="E490" s="4">
        <v>0</v>
      </c>
      <c r="F490" s="4" t="s">
        <v>3178</v>
      </c>
      <c r="G490" s="4" t="s">
        <v>3178</v>
      </c>
      <c r="H490" s="3">
        <v>0</v>
      </c>
      <c r="I490" s="5">
        <v>2309.781689</v>
      </c>
      <c r="J490" s="6">
        <v>63.6777131453147</v>
      </c>
      <c r="K490" s="4">
        <v>0</v>
      </c>
      <c r="L490" s="7">
        <v>1.633345804920735</v>
      </c>
      <c r="M490" s="3">
        <v>26.59</v>
      </c>
      <c r="N490" s="3">
        <v>16.7</v>
      </c>
    </row>
    <row r="491" spans="1:14">
      <c r="A491" s="8" t="s">
        <v>503</v>
      </c>
      <c r="B491" s="2">
        <f>HYPERLINK("https://www.suredividend.com/sure-analysis-research-database/","Cars.com")</f>
        <v>0</v>
      </c>
      <c r="C491" s="1" t="s">
        <v>3182</v>
      </c>
      <c r="D491" s="3">
        <v>20.36</v>
      </c>
      <c r="E491" s="4">
        <v>0</v>
      </c>
      <c r="F491" s="4" t="s">
        <v>3178</v>
      </c>
      <c r="G491" s="4" t="s">
        <v>3178</v>
      </c>
      <c r="H491" s="3">
        <v>0</v>
      </c>
      <c r="I491" s="5">
        <v>1346.13308</v>
      </c>
      <c r="J491" s="6">
        <v>12.49346227885695</v>
      </c>
      <c r="K491" s="4">
        <v>0</v>
      </c>
      <c r="L491" s="7">
        <v>1.46781187688427</v>
      </c>
      <c r="M491" s="3">
        <v>22.84</v>
      </c>
      <c r="N491" s="3">
        <v>14.82</v>
      </c>
    </row>
    <row r="492" spans="1:14">
      <c r="A492" s="8" t="s">
        <v>504</v>
      </c>
      <c r="B492" s="2">
        <f>HYPERLINK("https://www.suredividend.com/sure-analysis-research-database/","Maplebear Inc.")</f>
        <v>0</v>
      </c>
      <c r="C492" s="1" t="s">
        <v>3178</v>
      </c>
      <c r="D492" s="3">
        <v>32.98</v>
      </c>
      <c r="E492" s="4">
        <v>0</v>
      </c>
      <c r="F492" s="4" t="s">
        <v>3178</v>
      </c>
      <c r="G492" s="4" t="s">
        <v>3178</v>
      </c>
      <c r="H492" s="3">
        <v>0</v>
      </c>
      <c r="I492" s="5">
        <v>8729.783046</v>
      </c>
      <c r="J492" s="6" t="s">
        <v>3178</v>
      </c>
      <c r="K492" s="4">
        <v>-0</v>
      </c>
      <c r="L492" s="7">
        <v>1.351709019489656</v>
      </c>
      <c r="M492" s="3">
        <v>42.95</v>
      </c>
      <c r="N492" s="3">
        <v>22.13</v>
      </c>
    </row>
    <row r="493" spans="1:14">
      <c r="A493" s="8" t="s">
        <v>505</v>
      </c>
      <c r="B493" s="2">
        <f>HYPERLINK("https://www.suredividend.com/sure-analysis-research-database/","Casa Systems Inc")</f>
        <v>0</v>
      </c>
      <c r="C493" s="1" t="s">
        <v>3181</v>
      </c>
      <c r="D493" s="3">
        <v>0.055</v>
      </c>
      <c r="E493" s="4">
        <v>0</v>
      </c>
      <c r="F493" s="4" t="s">
        <v>3178</v>
      </c>
      <c r="G493" s="4" t="s">
        <v>3178</v>
      </c>
      <c r="H493" s="3">
        <v>0</v>
      </c>
      <c r="I493" s="5">
        <v>0</v>
      </c>
      <c r="J493" s="6">
        <v>0</v>
      </c>
      <c r="K493" s="4">
        <v>-0</v>
      </c>
    </row>
    <row r="494" spans="1:14">
      <c r="A494" s="8" t="s">
        <v>506</v>
      </c>
      <c r="B494" s="2">
        <f>HYPERLINK("https://www.suredividend.com/sure-analysis-research-database/","Pathward Financial Inc")</f>
        <v>0</v>
      </c>
      <c r="C494" s="1" t="s">
        <v>3180</v>
      </c>
      <c r="D494" s="3">
        <v>54.4</v>
      </c>
      <c r="E494" s="4">
        <v>0.002752009647641</v>
      </c>
      <c r="F494" s="4" t="s">
        <v>3178</v>
      </c>
      <c r="G494" s="4" t="s">
        <v>3178</v>
      </c>
      <c r="H494" s="3">
        <v>0.149709324831714</v>
      </c>
      <c r="I494" s="5">
        <v>1374.71977</v>
      </c>
      <c r="J494" s="6">
        <v>7.993765159849745</v>
      </c>
      <c r="K494" s="4">
        <v>0.02254658506501717</v>
      </c>
      <c r="L494" s="7">
        <v>0.7610965886183251</v>
      </c>
      <c r="M494" s="3">
        <v>60.13</v>
      </c>
      <c r="N494" s="3">
        <v>41.63</v>
      </c>
    </row>
    <row r="495" spans="1:14">
      <c r="A495" s="8" t="s">
        <v>507</v>
      </c>
      <c r="B495" s="2">
        <f>HYPERLINK("https://www.suredividend.com/sure-analysis-research-database/","CASI Pharmaceuticals Inc")</f>
        <v>0</v>
      </c>
      <c r="C495" s="1" t="s">
        <v>3176</v>
      </c>
      <c r="D495" s="3">
        <v>3.47</v>
      </c>
      <c r="E495" s="4">
        <v>0</v>
      </c>
      <c r="F495" s="4" t="s">
        <v>3178</v>
      </c>
      <c r="G495" s="4" t="s">
        <v>3178</v>
      </c>
      <c r="H495" s="3">
        <v>0</v>
      </c>
      <c r="I495" s="5">
        <v>46.502771</v>
      </c>
      <c r="J495" s="6">
        <v>0</v>
      </c>
      <c r="K495" s="4" t="s">
        <v>3178</v>
      </c>
      <c r="L495" s="7">
        <v>0.317775660859768</v>
      </c>
      <c r="M495" s="3">
        <v>8.48</v>
      </c>
      <c r="N495" s="3">
        <v>1.85</v>
      </c>
    </row>
    <row r="496" spans="1:14">
      <c r="A496" s="8" t="s">
        <v>508</v>
      </c>
      <c r="B496" s="2">
        <f>HYPERLINK("https://www.suredividend.com/sure-analysis-CASS/","Cass Information Systems Inc")</f>
        <v>0</v>
      </c>
      <c r="C496" s="1" t="s">
        <v>3179</v>
      </c>
      <c r="D496" s="3">
        <v>41.43</v>
      </c>
      <c r="E496" s="4">
        <v>0.02896451846488052</v>
      </c>
      <c r="F496" s="4">
        <v>0.03448275862068995</v>
      </c>
      <c r="G496" s="4">
        <v>0.02903366107118788</v>
      </c>
      <c r="H496" s="3">
        <v>1.172339013041059</v>
      </c>
      <c r="I496" s="5">
        <v>565.256751</v>
      </c>
      <c r="J496" s="6">
        <v>18.78303817837443</v>
      </c>
      <c r="K496" s="4">
        <v>0.5377701894683756</v>
      </c>
      <c r="L496" s="7">
        <v>0.8978119680698011</v>
      </c>
      <c r="M496" s="3">
        <v>49.27</v>
      </c>
      <c r="N496" s="3">
        <v>34.31</v>
      </c>
    </row>
    <row r="497" spans="1:14">
      <c r="A497" s="8" t="s">
        <v>509</v>
      </c>
      <c r="B497" s="2">
        <f>HYPERLINK("https://www.suredividend.com/sure-analysis-CASY/","Casey`s General Stores, Inc.")</f>
        <v>0</v>
      </c>
      <c r="C497" s="1" t="s">
        <v>3184</v>
      </c>
      <c r="D497" s="3">
        <v>328.63</v>
      </c>
      <c r="E497" s="4">
        <v>0.005233849618111554</v>
      </c>
      <c r="F497" s="4">
        <v>0.131578947368421</v>
      </c>
      <c r="G497" s="4">
        <v>0.06087373042094901</v>
      </c>
      <c r="H497" s="3">
        <v>1.714237134966664</v>
      </c>
      <c r="I497" s="5">
        <v>12164.957507</v>
      </c>
      <c r="J497" s="6">
        <v>25.82552268270056</v>
      </c>
      <c r="K497" s="4">
        <v>0.1362668628749336</v>
      </c>
      <c r="L497" s="7">
        <v>0.5945512773722971</v>
      </c>
      <c r="M497" s="3">
        <v>344.61</v>
      </c>
      <c r="N497" s="3">
        <v>214.56</v>
      </c>
    </row>
    <row r="498" spans="1:14">
      <c r="A498" s="8" t="s">
        <v>510</v>
      </c>
      <c r="B498" s="2">
        <f>HYPERLINK("https://www.suredividend.com/sure-analysis-CAT/","Caterpillar Inc.")</f>
        <v>0</v>
      </c>
      <c r="C498" s="1" t="s">
        <v>3179</v>
      </c>
      <c r="D498" s="3">
        <v>328.94</v>
      </c>
      <c r="E498" s="4">
        <v>0.015808354107132</v>
      </c>
      <c r="F498" s="4">
        <v>0</v>
      </c>
      <c r="G498" s="4">
        <v>0.04766208135176786</v>
      </c>
      <c r="H498" s="3">
        <v>5.167260857405454</v>
      </c>
      <c r="I498" s="5">
        <v>160869.037571</v>
      </c>
      <c r="J498" s="6">
        <v>14.30201258634957</v>
      </c>
      <c r="K498" s="4">
        <v>0.2333902826289726</v>
      </c>
      <c r="L498" s="7">
        <v>1.247370729600233</v>
      </c>
      <c r="M498" s="3">
        <v>380.62</v>
      </c>
      <c r="N498" s="3">
        <v>221.92</v>
      </c>
    </row>
    <row r="499" spans="1:14">
      <c r="A499" s="8" t="s">
        <v>511</v>
      </c>
      <c r="B499" s="2">
        <f>HYPERLINK("https://www.suredividend.com/sure-analysis-CATC/","Cambridge Bancorp")</f>
        <v>0</v>
      </c>
      <c r="C499" s="1" t="s">
        <v>3180</v>
      </c>
      <c r="D499" s="3">
        <v>64.36</v>
      </c>
      <c r="E499" s="4">
        <v>0.04164077066500933</v>
      </c>
      <c r="F499" s="4" t="s">
        <v>3178</v>
      </c>
      <c r="G499" s="4" t="s">
        <v>3178</v>
      </c>
      <c r="H499" s="3">
        <v>2.596767040380046</v>
      </c>
      <c r="I499" s="5">
        <v>505.07514</v>
      </c>
      <c r="J499" s="6">
        <v>17.67170988278927</v>
      </c>
      <c r="K499" s="4">
        <v>0.7133975385659467</v>
      </c>
      <c r="L499" s="7">
        <v>0.9033588319129831</v>
      </c>
      <c r="M499" s="3">
        <v>70.81</v>
      </c>
      <c r="N499" s="3">
        <v>45.28</v>
      </c>
    </row>
    <row r="500" spans="1:14">
      <c r="A500" s="8" t="s">
        <v>512</v>
      </c>
      <c r="B500" s="2">
        <f>HYPERLINK("https://www.suredividend.com/sure-analysis-research-database/","Cardtronics plc")</f>
        <v>0</v>
      </c>
      <c r="C500" s="1" t="s">
        <v>3179</v>
      </c>
      <c r="D500" s="3">
        <v>39.01</v>
      </c>
      <c r="E500" s="4">
        <v>0</v>
      </c>
      <c r="F500" s="4" t="s">
        <v>3178</v>
      </c>
      <c r="G500" s="4" t="s">
        <v>3178</v>
      </c>
      <c r="H500" s="3">
        <v>0</v>
      </c>
      <c r="I500" s="5">
        <v>0</v>
      </c>
      <c r="J500" s="6">
        <v>0</v>
      </c>
      <c r="K500" s="4">
        <v>0</v>
      </c>
    </row>
    <row r="501" spans="1:14">
      <c r="A501" s="8" t="s">
        <v>513</v>
      </c>
      <c r="B501" s="2">
        <f>HYPERLINK("https://www.suredividend.com/sure-analysis-research-database/","Cato Corp.")</f>
        <v>0</v>
      </c>
      <c r="C501" s="1" t="s">
        <v>3182</v>
      </c>
      <c r="D501" s="3">
        <v>6.08</v>
      </c>
      <c r="E501" s="4">
        <v>0.07946852978343701</v>
      </c>
      <c r="F501" s="4" t="s">
        <v>3178</v>
      </c>
      <c r="G501" s="4" t="s">
        <v>3178</v>
      </c>
      <c r="H501" s="3">
        <v>0.4831686610833</v>
      </c>
      <c r="I501" s="5">
        <v>114.253731</v>
      </c>
      <c r="J501" s="6" t="s">
        <v>3178</v>
      </c>
      <c r="K501" s="4" t="s">
        <v>3178</v>
      </c>
      <c r="L501" s="7">
        <v>0.6508383426520611</v>
      </c>
      <c r="M501" s="3">
        <v>8.130000000000001</v>
      </c>
      <c r="N501" s="3">
        <v>4.56</v>
      </c>
    </row>
    <row r="502" spans="1:14">
      <c r="A502" s="8" t="s">
        <v>514</v>
      </c>
      <c r="B502" s="2">
        <f>HYPERLINK("https://www.suredividend.com/sure-analysis-research-database/","Cathay General Bancorp")</f>
        <v>0</v>
      </c>
      <c r="C502" s="1" t="s">
        <v>3180</v>
      </c>
      <c r="D502" s="3">
        <v>36.46</v>
      </c>
      <c r="E502" s="4">
        <v>0.03629322649704</v>
      </c>
      <c r="F502" s="4">
        <v>0</v>
      </c>
      <c r="G502" s="4">
        <v>0.01864637644473</v>
      </c>
      <c r="H502" s="3">
        <v>1.32325103808208</v>
      </c>
      <c r="I502" s="5">
        <v>2654.777038</v>
      </c>
      <c r="J502" s="6">
        <v>8.055715146562607</v>
      </c>
      <c r="K502" s="4">
        <v>0.2927546544429381</v>
      </c>
      <c r="L502" s="7">
        <v>1.055023704013542</v>
      </c>
      <c r="M502" s="3">
        <v>44.09</v>
      </c>
      <c r="N502" s="3">
        <v>28.78</v>
      </c>
    </row>
    <row r="503" spans="1:14">
      <c r="A503" s="8" t="s">
        <v>515</v>
      </c>
      <c r="B503" s="2">
        <f>HYPERLINK("https://www.suredividend.com/sure-analysis-CB/","Chubb Limited")</f>
        <v>0</v>
      </c>
      <c r="C503" s="1" t="s">
        <v>3180</v>
      </c>
      <c r="D503" s="3">
        <v>267.22</v>
      </c>
      <c r="E503" s="4">
        <v>0.01287328792755033</v>
      </c>
      <c r="F503" s="4">
        <v>0.03614457831325302</v>
      </c>
      <c r="G503" s="4">
        <v>0.02774988668809053</v>
      </c>
      <c r="H503" s="3">
        <v>3.421453811587652</v>
      </c>
      <c r="I503" s="5">
        <v>108507.632445</v>
      </c>
      <c r="J503" s="6">
        <v>11.69389292433452</v>
      </c>
      <c r="K503" s="4">
        <v>0.1519970595996291</v>
      </c>
      <c r="L503" s="7">
        <v>0.248719053292882</v>
      </c>
      <c r="M503" s="3">
        <v>275.41</v>
      </c>
      <c r="N503" s="3">
        <v>181.66</v>
      </c>
    </row>
    <row r="504" spans="1:14">
      <c r="A504" s="8" t="s">
        <v>516</v>
      </c>
      <c r="B504" s="2">
        <f>HYPERLINK("https://www.suredividend.com/sure-analysis-research-database/","Colony Bankcorp, Inc.")</f>
        <v>0</v>
      </c>
      <c r="C504" s="1" t="s">
        <v>3180</v>
      </c>
      <c r="D504" s="3">
        <v>11.75</v>
      </c>
      <c r="E504" s="4">
        <v>0.036931482231444</v>
      </c>
      <c r="F504" s="4">
        <v>0.02272727272727271</v>
      </c>
      <c r="G504" s="4">
        <v>0.08447177119769855</v>
      </c>
      <c r="H504" s="3">
        <v>0.433944916219468</v>
      </c>
      <c r="I504" s="5">
        <v>206.313679</v>
      </c>
      <c r="J504" s="6">
        <v>0</v>
      </c>
      <c r="K504" s="4" t="s">
        <v>3178</v>
      </c>
      <c r="L504" s="7">
        <v>0.817986682302635</v>
      </c>
      <c r="M504" s="3">
        <v>13.18</v>
      </c>
      <c r="N504" s="3">
        <v>8.41</v>
      </c>
    </row>
    <row r="505" spans="1:14">
      <c r="A505" s="8" t="s">
        <v>517</v>
      </c>
      <c r="B505" s="2">
        <f>HYPERLINK("https://www.suredividend.com/sure-analysis-research-database/","Cymabay Therapeutics Inc")</f>
        <v>0</v>
      </c>
      <c r="C505" s="1" t="s">
        <v>3176</v>
      </c>
      <c r="E505" s="4">
        <v>0</v>
      </c>
      <c r="F505" s="4" t="s">
        <v>3178</v>
      </c>
      <c r="G505" s="4" t="s">
        <v>3178</v>
      </c>
      <c r="H505" s="3">
        <v>0</v>
      </c>
      <c r="I505" s="5">
        <v>0</v>
      </c>
      <c r="J505" s="6">
        <v>0</v>
      </c>
      <c r="K505" s="4" t="s">
        <v>3178</v>
      </c>
    </row>
    <row r="506" spans="1:14">
      <c r="A506" s="8" t="s">
        <v>518</v>
      </c>
      <c r="B506" s="2">
        <f>HYPERLINK("https://www.suredividend.com/sure-analysis-research-database/","Cincinnati Bell, Inc.")</f>
        <v>0</v>
      </c>
      <c r="C506" s="1" t="s">
        <v>3187</v>
      </c>
      <c r="D506" s="3">
        <v>15.48</v>
      </c>
      <c r="E506" s="4">
        <v>0</v>
      </c>
      <c r="F506" s="4" t="s">
        <v>3178</v>
      </c>
      <c r="G506" s="4" t="s">
        <v>3178</v>
      </c>
      <c r="H506" s="3">
        <v>0</v>
      </c>
      <c r="I506" s="5">
        <v>788.250052</v>
      </c>
      <c r="J506" s="6" t="s">
        <v>3178</v>
      </c>
      <c r="K506" s="4">
        <v>-0</v>
      </c>
      <c r="L506" s="7">
        <v>0.024309038434413</v>
      </c>
      <c r="M506" s="3">
        <v>15.51</v>
      </c>
      <c r="N506" s="3">
        <v>14.96</v>
      </c>
    </row>
    <row r="507" spans="1:14">
      <c r="A507" s="8" t="s">
        <v>519</v>
      </c>
      <c r="B507" s="2">
        <f>HYPERLINK("https://www.suredividend.com/sure-analysis-research-database/","CB Financial Services Inc")</f>
        <v>0</v>
      </c>
      <c r="C507" s="1" t="s">
        <v>3180</v>
      </c>
      <c r="D507" s="3">
        <v>22.52</v>
      </c>
      <c r="E507" s="4">
        <v>0.04293987059891</v>
      </c>
      <c r="F507" s="4">
        <v>0</v>
      </c>
      <c r="G507" s="4">
        <v>0.008197818497166498</v>
      </c>
      <c r="H507" s="3">
        <v>0.967005885887474</v>
      </c>
      <c r="I507" s="5">
        <v>115.803493</v>
      </c>
      <c r="J507" s="6">
        <v>0</v>
      </c>
      <c r="K507" s="4" t="s">
        <v>3178</v>
      </c>
      <c r="M507" s="3">
        <v>25.84</v>
      </c>
      <c r="N507" s="3">
        <v>17.67</v>
      </c>
    </row>
    <row r="508" spans="1:14">
      <c r="A508" s="8" t="s">
        <v>520</v>
      </c>
      <c r="B508" s="2">
        <f>HYPERLINK("https://www.suredividend.com/sure-analysis-research-database/","CBL&amp; Associates Properties, Inc.")</f>
        <v>0</v>
      </c>
      <c r="C508" s="1" t="s">
        <v>3183</v>
      </c>
      <c r="D508" s="3">
        <v>22.57</v>
      </c>
      <c r="E508" s="4">
        <v>0.06588123525582701</v>
      </c>
      <c r="F508" s="4" t="s">
        <v>3178</v>
      </c>
      <c r="G508" s="4" t="s">
        <v>3178</v>
      </c>
      <c r="H508" s="3">
        <v>1.486939479724016</v>
      </c>
      <c r="I508" s="5">
        <v>719.360203</v>
      </c>
      <c r="J508" s="6" t="s">
        <v>3178</v>
      </c>
      <c r="K508" s="4" t="s">
        <v>3178</v>
      </c>
      <c r="L508" s="7">
        <v>0.702134001041524</v>
      </c>
      <c r="M508" s="3">
        <v>24.83</v>
      </c>
      <c r="N508" s="3">
        <v>19.24</v>
      </c>
    </row>
    <row r="509" spans="1:14">
      <c r="A509" s="8" t="s">
        <v>521</v>
      </c>
      <c r="B509" s="2">
        <f>HYPERLINK("https://www.suredividend.com/sure-analysis-research-database/","Cellular Biomedicine Group Inc")</f>
        <v>0</v>
      </c>
      <c r="C509" s="1" t="s">
        <v>3176</v>
      </c>
      <c r="D509" s="3">
        <v>19.75</v>
      </c>
      <c r="E509" s="4">
        <v>0</v>
      </c>
      <c r="F509" s="4" t="s">
        <v>3178</v>
      </c>
      <c r="G509" s="4" t="s">
        <v>3178</v>
      </c>
      <c r="H509" s="3">
        <v>0</v>
      </c>
      <c r="I509" s="5">
        <v>0</v>
      </c>
      <c r="J509" s="6">
        <v>0</v>
      </c>
      <c r="K509" s="4" t="s">
        <v>3178</v>
      </c>
    </row>
    <row r="510" spans="1:14">
      <c r="A510" s="8" t="s">
        <v>522</v>
      </c>
      <c r="B510" s="2">
        <f>HYPERLINK("https://www.suredividend.com/sure-analysis-CBOE/","Cboe Global Markets Inc.")</f>
        <v>0</v>
      </c>
      <c r="C510" s="1" t="s">
        <v>3180</v>
      </c>
      <c r="D510" s="3">
        <v>172.68</v>
      </c>
      <c r="E510" s="4">
        <v>0.01274032893212879</v>
      </c>
      <c r="F510" s="4">
        <v>0.1000000000000001</v>
      </c>
      <c r="G510" s="4">
        <v>0.08845890735664219</v>
      </c>
      <c r="H510" s="3">
        <v>2.180201799957572</v>
      </c>
      <c r="I510" s="5">
        <v>18158.017586</v>
      </c>
      <c r="J510" s="6">
        <v>22.89210487382753</v>
      </c>
      <c r="K510" s="4">
        <v>0.2918610173972653</v>
      </c>
      <c r="L510" s="7">
        <v>-0.008526990568478001</v>
      </c>
      <c r="M510" s="3">
        <v>196.64</v>
      </c>
      <c r="N510" s="3">
        <v>129.69</v>
      </c>
    </row>
    <row r="511" spans="1:14">
      <c r="A511" s="8" t="s">
        <v>523</v>
      </c>
      <c r="B511" s="2">
        <f>HYPERLINK("https://www.suredividend.com/sure-analysis-research-database/","CBRE Group Inc")</f>
        <v>0</v>
      </c>
      <c r="C511" s="1" t="s">
        <v>3183</v>
      </c>
      <c r="D511" s="3">
        <v>85.63</v>
      </c>
      <c r="E511" s="4">
        <v>0</v>
      </c>
      <c r="F511" s="4" t="s">
        <v>3178</v>
      </c>
      <c r="G511" s="4" t="s">
        <v>3178</v>
      </c>
      <c r="H511" s="3">
        <v>0</v>
      </c>
      <c r="I511" s="5">
        <v>26273.375341</v>
      </c>
      <c r="J511" s="6">
        <v>26.40253655029404</v>
      </c>
      <c r="K511" s="4">
        <v>0</v>
      </c>
      <c r="L511" s="7">
        <v>1.266918140808101</v>
      </c>
      <c r="M511" s="3">
        <v>98.65000000000001</v>
      </c>
      <c r="N511" s="3">
        <v>64.63</v>
      </c>
    </row>
    <row r="512" spans="1:14">
      <c r="A512" s="8" t="s">
        <v>524</v>
      </c>
      <c r="B512" s="2">
        <f>HYPERLINK("https://www.suredividend.com/sure-analysis-CBRL/","Cracker Barrel Old Country Store Inc")</f>
        <v>0</v>
      </c>
      <c r="C512" s="1" t="s">
        <v>3182</v>
      </c>
      <c r="D512" s="3">
        <v>48.36</v>
      </c>
      <c r="E512" s="4">
        <v>0.1075268817204301</v>
      </c>
      <c r="F512" s="4" t="s">
        <v>3178</v>
      </c>
      <c r="G512" s="4" t="s">
        <v>3178</v>
      </c>
      <c r="H512" s="3">
        <v>4.950875406642468</v>
      </c>
      <c r="I512" s="5">
        <v>1073.703035</v>
      </c>
      <c r="J512" s="6">
        <v>17.81990995568685</v>
      </c>
      <c r="K512" s="4">
        <v>1.82689129396401</v>
      </c>
      <c r="L512" s="7">
        <v>0.8283363333187891</v>
      </c>
      <c r="M512" s="3">
        <v>89.29000000000001</v>
      </c>
      <c r="N512" s="3">
        <v>43.38</v>
      </c>
    </row>
    <row r="513" spans="1:14">
      <c r="A513" s="8" t="s">
        <v>525</v>
      </c>
      <c r="B513" s="2">
        <f>HYPERLINK("https://www.suredividend.com/sure-analysis-CBSH/","Commerce Bancshares, Inc.")</f>
        <v>0</v>
      </c>
      <c r="C513" s="1" t="s">
        <v>3180</v>
      </c>
      <c r="D513" s="3">
        <v>54.26</v>
      </c>
      <c r="E513" s="4">
        <v>0.01990416513085146</v>
      </c>
      <c r="F513" s="4">
        <v>0</v>
      </c>
      <c r="G513" s="4">
        <v>0</v>
      </c>
      <c r="H513" s="3">
        <v>1.045868231933139</v>
      </c>
      <c r="I513" s="5">
        <v>7028.626073</v>
      </c>
      <c r="J513" s="6">
        <v>15.08152928920569</v>
      </c>
      <c r="K513" s="4">
        <v>0.2913281983100666</v>
      </c>
      <c r="L513" s="7">
        <v>0.958725156906528</v>
      </c>
      <c r="M513" s="3">
        <v>57.2</v>
      </c>
      <c r="N513" s="3">
        <v>38.17</v>
      </c>
    </row>
    <row r="514" spans="1:14">
      <c r="A514" s="8" t="s">
        <v>526</v>
      </c>
      <c r="B514" s="2">
        <f>HYPERLINK("https://www.suredividend.com/sure-analysis-research-database/","Cabot Corp.")</f>
        <v>0</v>
      </c>
      <c r="C514" s="1" t="s">
        <v>3177</v>
      </c>
      <c r="D514" s="3">
        <v>97.47</v>
      </c>
      <c r="E514" s="4">
        <v>0.016610142618565</v>
      </c>
      <c r="F514" s="4">
        <v>0.07499999999999996</v>
      </c>
      <c r="G514" s="4">
        <v>0.04202966356728188</v>
      </c>
      <c r="H514" s="3">
        <v>1.618990601031586</v>
      </c>
      <c r="I514" s="5">
        <v>5386.012368</v>
      </c>
      <c r="J514" s="6">
        <v>12.15804146241535</v>
      </c>
      <c r="K514" s="4">
        <v>0.2046764350229565</v>
      </c>
      <c r="L514" s="7">
        <v>1.082743964822313</v>
      </c>
      <c r="M514" s="3">
        <v>103.05</v>
      </c>
      <c r="N514" s="3">
        <v>62.46</v>
      </c>
    </row>
    <row r="515" spans="1:14">
      <c r="A515" s="8" t="s">
        <v>527</v>
      </c>
      <c r="B515" s="2">
        <f>HYPERLINK("https://www.suredividend.com/sure-analysis-CBU/","Community Financial System Inc.")</f>
        <v>0</v>
      </c>
      <c r="C515" s="1" t="s">
        <v>3180</v>
      </c>
      <c r="D515" s="3">
        <v>44.99</v>
      </c>
      <c r="E515" s="4">
        <v>0.04000889086463658</v>
      </c>
      <c r="F515" s="4">
        <v>0.02272727272727271</v>
      </c>
      <c r="G515" s="4">
        <v>0.03439350143683439</v>
      </c>
      <c r="H515" s="3">
        <v>1.764593579858224</v>
      </c>
      <c r="I515" s="5">
        <v>2374.174308</v>
      </c>
      <c r="J515" s="6">
        <v>18.05771586239418</v>
      </c>
      <c r="K515" s="4">
        <v>0.7202422774931527</v>
      </c>
      <c r="L515" s="7">
        <v>1.1224345037126</v>
      </c>
      <c r="M515" s="3">
        <v>53.86</v>
      </c>
      <c r="N515" s="3">
        <v>34.72</v>
      </c>
    </row>
    <row r="516" spans="1:14">
      <c r="A516" s="8" t="s">
        <v>528</v>
      </c>
      <c r="B516" s="2">
        <f>HYPERLINK("https://www.suredividend.com/sure-analysis-research-database/","Cbiz Inc")</f>
        <v>0</v>
      </c>
      <c r="C516" s="1" t="s">
        <v>3179</v>
      </c>
      <c r="D516" s="3">
        <v>73.79000000000001</v>
      </c>
      <c r="E516" s="4">
        <v>0</v>
      </c>
      <c r="F516" s="4" t="s">
        <v>3178</v>
      </c>
      <c r="G516" s="4" t="s">
        <v>3178</v>
      </c>
      <c r="H516" s="3">
        <v>0</v>
      </c>
      <c r="I516" s="5">
        <v>3697.774663</v>
      </c>
      <c r="J516" s="6">
        <v>29.65526788422674</v>
      </c>
      <c r="K516" s="4">
        <v>0</v>
      </c>
      <c r="L516" s="7">
        <v>0.977620056960895</v>
      </c>
      <c r="M516" s="3">
        <v>80.42</v>
      </c>
      <c r="N516" s="3">
        <v>49.15</v>
      </c>
    </row>
    <row r="517" spans="1:14">
      <c r="A517" s="8" t="s">
        <v>529</v>
      </c>
      <c r="B517" s="2">
        <f>HYPERLINK("https://www.suredividend.com/sure-analysis-CC/","Chemours Company")</f>
        <v>0</v>
      </c>
      <c r="C517" s="1" t="s">
        <v>3177</v>
      </c>
      <c r="D517" s="3">
        <v>24.17</v>
      </c>
      <c r="E517" s="4">
        <v>0.04137360364087712</v>
      </c>
      <c r="F517" s="4">
        <v>0</v>
      </c>
      <c r="G517" s="4">
        <v>0</v>
      </c>
      <c r="H517" s="3">
        <v>0.9868477102428661</v>
      </c>
      <c r="I517" s="5">
        <v>3598.800368</v>
      </c>
      <c r="J517" s="6" t="s">
        <v>3178</v>
      </c>
      <c r="K517" s="4" t="s">
        <v>3178</v>
      </c>
      <c r="L517" s="7">
        <v>1.360641372440768</v>
      </c>
      <c r="M517" s="3">
        <v>37.72</v>
      </c>
      <c r="N517" s="3">
        <v>14.97</v>
      </c>
    </row>
    <row r="518" spans="1:14">
      <c r="A518" s="8" t="s">
        <v>530</v>
      </c>
      <c r="B518" s="2">
        <f>HYPERLINK("https://www.suredividend.com/sure-analysis-research-database/","Capital City Bank Group, Inc.")</f>
        <v>0</v>
      </c>
      <c r="C518" s="1" t="s">
        <v>3180</v>
      </c>
      <c r="D518" s="3">
        <v>26.92</v>
      </c>
      <c r="E518" s="4">
        <v>0.022440584142495</v>
      </c>
      <c r="F518" s="4" t="s">
        <v>3178</v>
      </c>
      <c r="G518" s="4" t="s">
        <v>3178</v>
      </c>
      <c r="H518" s="3">
        <v>0.604100525115991</v>
      </c>
      <c r="I518" s="5">
        <v>456.111967</v>
      </c>
      <c r="J518" s="6">
        <v>8.728079278962074</v>
      </c>
      <c r="K518" s="4">
        <v>0.1967754153472283</v>
      </c>
      <c r="L518" s="7">
        <v>0.7917978356277741</v>
      </c>
      <c r="M518" s="3">
        <v>32.32</v>
      </c>
      <c r="N518" s="3">
        <v>25.54</v>
      </c>
    </row>
    <row r="519" spans="1:14">
      <c r="A519" s="8" t="s">
        <v>531</v>
      </c>
      <c r="B519" s="2">
        <f>HYPERLINK("https://www.suredividend.com/sure-analysis-research-database/","Chase Corp.")</f>
        <v>0</v>
      </c>
      <c r="C519" s="1" t="s">
        <v>3177</v>
      </c>
      <c r="D519" s="3">
        <v>127.49</v>
      </c>
      <c r="E519" s="4">
        <v>0.007843752451172</v>
      </c>
      <c r="F519" s="4" t="s">
        <v>3178</v>
      </c>
      <c r="G519" s="4" t="s">
        <v>3178</v>
      </c>
      <c r="H519" s="3">
        <v>1</v>
      </c>
      <c r="I519" s="5">
        <v>1214.05527</v>
      </c>
      <c r="J519" s="6">
        <v>0</v>
      </c>
      <c r="K519" s="4" t="s">
        <v>3178</v>
      </c>
      <c r="M519" s="3">
        <v>135.27</v>
      </c>
      <c r="N519" s="3">
        <v>81.18000000000001</v>
      </c>
    </row>
    <row r="520" spans="1:14">
      <c r="A520" s="8" t="s">
        <v>532</v>
      </c>
      <c r="B520" s="2">
        <f>HYPERLINK("https://www.suredividend.com/sure-analysis-CCI/","Crown Castle Inc")</f>
        <v>0</v>
      </c>
      <c r="C520" s="1" t="s">
        <v>3183</v>
      </c>
      <c r="D520" s="3">
        <v>100.62</v>
      </c>
      <c r="E520" s="4">
        <v>0.06221427151659709</v>
      </c>
      <c r="F520" s="4">
        <v>0</v>
      </c>
      <c r="G520" s="4">
        <v>0.06824867764100917</v>
      </c>
      <c r="H520" s="3">
        <v>6.127454177925668</v>
      </c>
      <c r="I520" s="5">
        <v>43721.726799</v>
      </c>
      <c r="J520" s="6">
        <v>31.3417396407742</v>
      </c>
      <c r="K520" s="4">
        <v>1.908864229883386</v>
      </c>
      <c r="L520" s="7">
        <v>0.859126736512099</v>
      </c>
      <c r="M520" s="3">
        <v>116.22</v>
      </c>
      <c r="N520" s="3">
        <v>82.40000000000001</v>
      </c>
    </row>
    <row r="521" spans="1:14">
      <c r="A521" s="8" t="s">
        <v>533</v>
      </c>
      <c r="B521" s="2">
        <f>HYPERLINK("https://www.suredividend.com/sure-analysis-research-database/","Crown Holdings, Inc.")</f>
        <v>0</v>
      </c>
      <c r="C521" s="1" t="s">
        <v>3182</v>
      </c>
      <c r="D521" s="3">
        <v>82.20999999999999</v>
      </c>
      <c r="E521" s="4">
        <v>0.008852524701591001</v>
      </c>
      <c r="F521" s="4" t="s">
        <v>3178</v>
      </c>
      <c r="G521" s="4" t="s">
        <v>3178</v>
      </c>
      <c r="H521" s="3">
        <v>0.7277660557178001</v>
      </c>
      <c r="I521" s="5">
        <v>9927.441438</v>
      </c>
      <c r="J521" s="6">
        <v>23.92154563284337</v>
      </c>
      <c r="K521" s="4">
        <v>0.2097308517918732</v>
      </c>
      <c r="L521" s="7">
        <v>0.8171995313071361</v>
      </c>
      <c r="M521" s="3">
        <v>95.5</v>
      </c>
      <c r="N521" s="3">
        <v>69.39</v>
      </c>
    </row>
    <row r="522" spans="1:14">
      <c r="A522" s="8" t="s">
        <v>534</v>
      </c>
      <c r="B522" s="2">
        <f>HYPERLINK("https://www.suredividend.com/sure-analysis-research-database/","Carnival Corp.")</f>
        <v>0</v>
      </c>
      <c r="C522" s="1" t="s">
        <v>3182</v>
      </c>
      <c r="D522" s="3">
        <v>16.7</v>
      </c>
      <c r="E522" s="4">
        <v>0</v>
      </c>
      <c r="F522" s="4" t="s">
        <v>3178</v>
      </c>
      <c r="G522" s="4" t="s">
        <v>3178</v>
      </c>
      <c r="H522" s="3">
        <v>0</v>
      </c>
      <c r="I522" s="5">
        <v>18742.750914</v>
      </c>
      <c r="J522" s="6">
        <v>46.50806678362283</v>
      </c>
      <c r="K522" s="4">
        <v>0</v>
      </c>
      <c r="L522" s="7">
        <v>1.919362415157359</v>
      </c>
      <c r="M522" s="3">
        <v>19.74</v>
      </c>
      <c r="N522" s="3">
        <v>10.84</v>
      </c>
    </row>
    <row r="523" spans="1:14">
      <c r="A523" s="8" t="s">
        <v>535</v>
      </c>
      <c r="B523" s="2">
        <f>HYPERLINK("https://www.suredividend.com/sure-analysis-research-database/","CMC Materials Inc")</f>
        <v>0</v>
      </c>
      <c r="C523" s="1" t="s">
        <v>3181</v>
      </c>
      <c r="D523" s="3">
        <v>173.69</v>
      </c>
      <c r="E523" s="4">
        <v>0</v>
      </c>
      <c r="F523" s="4" t="s">
        <v>3178</v>
      </c>
      <c r="G523" s="4" t="s">
        <v>3178</v>
      </c>
      <c r="H523" s="3">
        <v>1.38000002503395</v>
      </c>
      <c r="I523" s="5">
        <v>0</v>
      </c>
      <c r="J523" s="6">
        <v>0</v>
      </c>
      <c r="K523" s="4">
        <v>0.3565891537555426</v>
      </c>
    </row>
    <row r="524" spans="1:14">
      <c r="A524" s="8" t="s">
        <v>536</v>
      </c>
      <c r="B524" s="2">
        <f>HYPERLINK("https://www.suredividend.com/sure-analysis-research-database/","CNB Financial Corp (PA)")</f>
        <v>0</v>
      </c>
      <c r="C524" s="1" t="s">
        <v>3180</v>
      </c>
      <c r="D524" s="3">
        <v>19.01</v>
      </c>
      <c r="E524" s="4">
        <v>0.035852627778984</v>
      </c>
      <c r="F524" s="4">
        <v>0</v>
      </c>
      <c r="G524" s="4">
        <v>0.005814345444414393</v>
      </c>
      <c r="H524" s="3">
        <v>0.681558454078498</v>
      </c>
      <c r="I524" s="5">
        <v>399.277828</v>
      </c>
      <c r="J524" s="6">
        <v>8.061007584591779</v>
      </c>
      <c r="K524" s="4">
        <v>0.2875774067841764</v>
      </c>
      <c r="L524" s="7">
        <v>1.01664799527484</v>
      </c>
      <c r="M524" s="3">
        <v>22.57</v>
      </c>
      <c r="N524" s="3">
        <v>15.98</v>
      </c>
    </row>
    <row r="525" spans="1:14">
      <c r="A525" s="8" t="s">
        <v>537</v>
      </c>
      <c r="B525" s="2">
        <f>HYPERLINK("https://www.suredividend.com/sure-analysis-research-database/","Clear Channel Outdoor Holdings Inc.")</f>
        <v>0</v>
      </c>
      <c r="C525" s="1" t="s">
        <v>3187</v>
      </c>
      <c r="D525" s="3">
        <v>1.38</v>
      </c>
      <c r="E525" s="4">
        <v>0</v>
      </c>
      <c r="F525" s="4" t="s">
        <v>3178</v>
      </c>
      <c r="G525" s="4" t="s">
        <v>3178</v>
      </c>
      <c r="H525" s="3">
        <v>0</v>
      </c>
      <c r="I525" s="5">
        <v>674.415202</v>
      </c>
      <c r="J525" s="6" t="s">
        <v>3178</v>
      </c>
      <c r="K525" s="4">
        <v>-0</v>
      </c>
      <c r="L525" s="7">
        <v>1.397744514153892</v>
      </c>
      <c r="M525" s="3">
        <v>2.06</v>
      </c>
      <c r="N525" s="3">
        <v>1.04</v>
      </c>
    </row>
    <row r="526" spans="1:14">
      <c r="A526" s="8" t="s">
        <v>538</v>
      </c>
      <c r="B526" s="2">
        <f>HYPERLINK("https://www.suredividend.com/sure-analysis-CCOI/","Cogent Communications Holdings Inc")</f>
        <v>0</v>
      </c>
      <c r="C526" s="1" t="s">
        <v>3187</v>
      </c>
      <c r="D526" s="3">
        <v>55.11</v>
      </c>
      <c r="E526" s="4">
        <v>0.07076755579749591</v>
      </c>
      <c r="F526" s="4">
        <v>0.04278074866310155</v>
      </c>
      <c r="G526" s="4">
        <v>0.09476923699818829</v>
      </c>
      <c r="H526" s="3">
        <v>3.714315919509491</v>
      </c>
      <c r="I526" s="5">
        <v>2701.737274</v>
      </c>
      <c r="J526" s="6">
        <v>2.247727739066844</v>
      </c>
      <c r="K526" s="4">
        <v>0.147862894884932</v>
      </c>
      <c r="L526" s="7">
        <v>0.539358345374872</v>
      </c>
      <c r="M526" s="3">
        <v>82.19</v>
      </c>
      <c r="N526" s="3">
        <v>51.8</v>
      </c>
    </row>
    <row r="527" spans="1:14">
      <c r="A527" s="8" t="s">
        <v>539</v>
      </c>
      <c r="B527" s="2">
        <f>HYPERLINK("https://www.suredividend.com/sure-analysis-research-database/","Cross Country Healthcares, Inc.")</f>
        <v>0</v>
      </c>
      <c r="C527" s="1" t="s">
        <v>3179</v>
      </c>
      <c r="D527" s="3">
        <v>14.69</v>
      </c>
      <c r="E527" s="4">
        <v>0</v>
      </c>
      <c r="F527" s="4" t="s">
        <v>3178</v>
      </c>
      <c r="G527" s="4" t="s">
        <v>3178</v>
      </c>
      <c r="H527" s="3">
        <v>0</v>
      </c>
      <c r="I527" s="5">
        <v>510.830912</v>
      </c>
      <c r="J527" s="6">
        <v>11.13236672739556</v>
      </c>
      <c r="K527" s="4">
        <v>0</v>
      </c>
      <c r="L527" s="7">
        <v>0.443852830923344</v>
      </c>
      <c r="M527" s="3">
        <v>28.75</v>
      </c>
      <c r="N527" s="3">
        <v>14.06</v>
      </c>
    </row>
    <row r="528" spans="1:14">
      <c r="A528" s="8" t="s">
        <v>540</v>
      </c>
      <c r="B528" s="2">
        <f>HYPERLINK("https://www.suredividend.com/sure-analysis-research-database/","Century Communities Inc")</f>
        <v>0</v>
      </c>
      <c r="C528" s="1" t="s">
        <v>3182</v>
      </c>
      <c r="D528" s="3">
        <v>81.26000000000001</v>
      </c>
      <c r="E528" s="4">
        <v>0.012006158302046</v>
      </c>
      <c r="F528" s="4" t="s">
        <v>3178</v>
      </c>
      <c r="G528" s="4" t="s">
        <v>3178</v>
      </c>
      <c r="H528" s="3">
        <v>0.9756204236242941</v>
      </c>
      <c r="I528" s="5">
        <v>2583.316751</v>
      </c>
      <c r="J528" s="6">
        <v>8.900469435476927</v>
      </c>
      <c r="K528" s="4">
        <v>0.1084022692915882</v>
      </c>
      <c r="L528" s="7">
        <v>1.747794984191211</v>
      </c>
      <c r="M528" s="3">
        <v>97.61</v>
      </c>
      <c r="N528" s="3">
        <v>57.47</v>
      </c>
    </row>
    <row r="529" spans="1:14">
      <c r="A529" s="8" t="s">
        <v>541</v>
      </c>
      <c r="B529" s="2">
        <f>HYPERLINK("https://www.suredividend.com/sure-analysis-research-database/","ChemoCentryx Inc")</f>
        <v>0</v>
      </c>
      <c r="C529" s="1" t="s">
        <v>3176</v>
      </c>
      <c r="D529" s="3">
        <v>51.99</v>
      </c>
      <c r="E529" s="4">
        <v>0</v>
      </c>
      <c r="F529" s="4" t="s">
        <v>3178</v>
      </c>
      <c r="G529" s="4" t="s">
        <v>3178</v>
      </c>
      <c r="H529" s="3">
        <v>0</v>
      </c>
      <c r="I529" s="5">
        <v>0</v>
      </c>
      <c r="J529" s="6">
        <v>0</v>
      </c>
      <c r="K529" s="4" t="s">
        <v>3178</v>
      </c>
    </row>
    <row r="530" spans="1:14">
      <c r="A530" s="8" t="s">
        <v>542</v>
      </c>
      <c r="B530" s="2">
        <f>HYPERLINK("https://www.suredividend.com/sure-analysis-research-database/","Coeur Mining Inc")</f>
        <v>0</v>
      </c>
      <c r="C530" s="1" t="s">
        <v>3177</v>
      </c>
      <c r="D530" s="3">
        <v>5.36</v>
      </c>
      <c r="E530" s="4">
        <v>0</v>
      </c>
      <c r="F530" s="4" t="s">
        <v>3178</v>
      </c>
      <c r="G530" s="4" t="s">
        <v>3178</v>
      </c>
      <c r="H530" s="3">
        <v>0</v>
      </c>
      <c r="I530" s="5">
        <v>2140.358046</v>
      </c>
      <c r="J530" s="6" t="s">
        <v>3178</v>
      </c>
      <c r="K530" s="4">
        <v>-0</v>
      </c>
      <c r="L530" s="7">
        <v>2.309082336381221</v>
      </c>
      <c r="M530" s="3">
        <v>6.05</v>
      </c>
      <c r="N530" s="3">
        <v>2</v>
      </c>
    </row>
    <row r="531" spans="1:14">
      <c r="A531" s="8" t="s">
        <v>543</v>
      </c>
      <c r="B531" s="2">
        <f>HYPERLINK("https://www.suredividend.com/sure-analysis-research-database/","CDK Global Inc")</f>
        <v>0</v>
      </c>
      <c r="C531" s="1" t="s">
        <v>3181</v>
      </c>
      <c r="D531" s="3">
        <v>54.76</v>
      </c>
      <c r="E531" s="4">
        <v>0</v>
      </c>
      <c r="F531" s="4" t="s">
        <v>3178</v>
      </c>
      <c r="G531" s="4" t="s">
        <v>3178</v>
      </c>
      <c r="H531" s="3">
        <v>0.600000023841857</v>
      </c>
      <c r="I531" s="5">
        <v>0</v>
      </c>
      <c r="J531" s="6">
        <v>0</v>
      </c>
      <c r="K531" s="4">
        <v>0.2884615499239697</v>
      </c>
    </row>
    <row r="532" spans="1:14">
      <c r="A532" s="8" t="s">
        <v>544</v>
      </c>
      <c r="B532" s="2">
        <f>HYPERLINK("https://www.suredividend.com/sure-analysis-research-database/","Cardlytics Inc")</f>
        <v>0</v>
      </c>
      <c r="C532" s="1" t="s">
        <v>3187</v>
      </c>
      <c r="D532" s="3">
        <v>8.720000000000001</v>
      </c>
      <c r="E532" s="4">
        <v>0</v>
      </c>
      <c r="F532" s="4" t="s">
        <v>3178</v>
      </c>
      <c r="G532" s="4" t="s">
        <v>3178</v>
      </c>
      <c r="H532" s="3">
        <v>0</v>
      </c>
      <c r="I532" s="5">
        <v>425.388118</v>
      </c>
      <c r="J532" s="6" t="s">
        <v>3178</v>
      </c>
      <c r="K532" s="4">
        <v>-0</v>
      </c>
      <c r="L532" s="7">
        <v>3.311488103325371</v>
      </c>
      <c r="M532" s="3">
        <v>19.57</v>
      </c>
      <c r="N532" s="3">
        <v>5.37</v>
      </c>
    </row>
    <row r="533" spans="1:14">
      <c r="A533" s="8" t="s">
        <v>545</v>
      </c>
      <c r="B533" s="2">
        <f>HYPERLINK("https://www.suredividend.com/sure-analysis-research-database/","Avid Bioservices Inc")</f>
        <v>0</v>
      </c>
      <c r="C533" s="1" t="s">
        <v>3176</v>
      </c>
      <c r="D533" s="3">
        <v>7.96</v>
      </c>
      <c r="E533" s="4">
        <v>0</v>
      </c>
      <c r="F533" s="4" t="s">
        <v>3178</v>
      </c>
      <c r="G533" s="4" t="s">
        <v>3178</v>
      </c>
      <c r="H533" s="3">
        <v>0</v>
      </c>
      <c r="I533" s="5">
        <v>505.29916</v>
      </c>
      <c r="J533" s="6" t="s">
        <v>3178</v>
      </c>
      <c r="K533" s="4">
        <v>-0</v>
      </c>
      <c r="L533" s="7">
        <v>1.587451148528081</v>
      </c>
      <c r="M533" s="3">
        <v>17.28</v>
      </c>
      <c r="N533" s="3">
        <v>4.07</v>
      </c>
    </row>
    <row r="534" spans="1:14">
      <c r="A534" s="8" t="s">
        <v>546</v>
      </c>
      <c r="B534" s="2">
        <f>HYPERLINK("https://www.suredividend.com/sure-analysis-research-database/","Caredx Inc")</f>
        <v>0</v>
      </c>
      <c r="C534" s="1" t="s">
        <v>3176</v>
      </c>
      <c r="D534" s="3">
        <v>15.21</v>
      </c>
      <c r="E534" s="4">
        <v>0</v>
      </c>
      <c r="F534" s="4" t="s">
        <v>3178</v>
      </c>
      <c r="G534" s="4" t="s">
        <v>3178</v>
      </c>
      <c r="H534" s="3">
        <v>0</v>
      </c>
      <c r="I534" s="5">
        <v>792.194476</v>
      </c>
      <c r="J534" s="6" t="s">
        <v>3178</v>
      </c>
      <c r="K534" s="4">
        <v>-0</v>
      </c>
      <c r="L534" s="7">
        <v>2.467138584519094</v>
      </c>
      <c r="M534" s="3">
        <v>17.03</v>
      </c>
      <c r="N534" s="3">
        <v>4.8</v>
      </c>
    </row>
    <row r="535" spans="1:14">
      <c r="A535" s="8" t="s">
        <v>547</v>
      </c>
      <c r="B535" s="2">
        <f>HYPERLINK("https://www.suredividend.com/sure-analysis-research-database/","Cadence Design Systems, Inc.")</f>
        <v>0</v>
      </c>
      <c r="C535" s="1" t="s">
        <v>3181</v>
      </c>
      <c r="D535" s="3">
        <v>294.42</v>
      </c>
      <c r="E535" s="4">
        <v>0</v>
      </c>
      <c r="F535" s="4" t="s">
        <v>3178</v>
      </c>
      <c r="G535" s="4" t="s">
        <v>3178</v>
      </c>
      <c r="H535" s="3">
        <v>0</v>
      </c>
      <c r="I535" s="5">
        <v>80206.77701000001</v>
      </c>
      <c r="J535" s="6">
        <v>76.6075256333866</v>
      </c>
      <c r="K535" s="4">
        <v>0</v>
      </c>
      <c r="L535" s="7">
        <v>1.53779139041377</v>
      </c>
      <c r="M535" s="3">
        <v>327.36</v>
      </c>
      <c r="N535" s="3">
        <v>217.77</v>
      </c>
    </row>
    <row r="536" spans="1:14">
      <c r="A536" s="8" t="s">
        <v>548</v>
      </c>
      <c r="B536" s="2">
        <f>HYPERLINK("https://www.suredividend.com/sure-analysis-research-database/","Cedar Realty Trust Inc")</f>
        <v>0</v>
      </c>
      <c r="C536" s="1" t="s">
        <v>3183</v>
      </c>
      <c r="D536" s="3">
        <v>29</v>
      </c>
      <c r="E536" s="4">
        <v>0.00454503099161</v>
      </c>
      <c r="F536" s="4" t="s">
        <v>3178</v>
      </c>
      <c r="G536" s="4" t="s">
        <v>3178</v>
      </c>
      <c r="H536" s="3">
        <v>0.131805898756695</v>
      </c>
      <c r="I536" s="5">
        <v>395.570846</v>
      </c>
      <c r="J536" s="6" t="s">
        <v>3178</v>
      </c>
      <c r="K536" s="4" t="s">
        <v>3178</v>
      </c>
      <c r="L536" s="7">
        <v>0.2880788602943</v>
      </c>
      <c r="M536" s="3">
        <v>29.26</v>
      </c>
      <c r="N536" s="3">
        <v>16.64</v>
      </c>
    </row>
    <row r="537" spans="1:14">
      <c r="A537" s="8" t="s">
        <v>549</v>
      </c>
      <c r="B537" s="2">
        <f>HYPERLINK("https://www.suredividend.com/sure-analysis-research-database/","Cidara Therapeutics Inc")</f>
        <v>0</v>
      </c>
      <c r="C537" s="1" t="s">
        <v>3176</v>
      </c>
      <c r="D537" s="3">
        <v>12.84</v>
      </c>
      <c r="E537" s="4">
        <v>0</v>
      </c>
      <c r="F537" s="4" t="s">
        <v>3178</v>
      </c>
      <c r="G537" s="4" t="s">
        <v>3178</v>
      </c>
      <c r="H537" s="3">
        <v>0</v>
      </c>
      <c r="I537" s="5">
        <v>58.572331</v>
      </c>
      <c r="J537" s="6" t="s">
        <v>3178</v>
      </c>
      <c r="K537" s="4">
        <v>-0</v>
      </c>
      <c r="M537" s="3">
        <v>25.2</v>
      </c>
      <c r="N537" s="3">
        <v>10</v>
      </c>
    </row>
    <row r="538" spans="1:14">
      <c r="A538" s="8" t="s">
        <v>550</v>
      </c>
      <c r="B538" s="2">
        <f>HYPERLINK("https://www.suredividend.com/sure-analysis-research-database/","CDW Corp")</f>
        <v>0</v>
      </c>
      <c r="C538" s="1" t="s">
        <v>3181</v>
      </c>
      <c r="D538" s="3">
        <v>224.24</v>
      </c>
      <c r="E538" s="4">
        <v>0.010841296405302</v>
      </c>
      <c r="F538" s="4">
        <v>0.05084745762711873</v>
      </c>
      <c r="G538" s="4">
        <v>0.1601494399222052</v>
      </c>
      <c r="H538" s="3">
        <v>2.431052305925016</v>
      </c>
      <c r="I538" s="5">
        <v>30137.335763</v>
      </c>
      <c r="J538" s="6">
        <v>27.64132418893882</v>
      </c>
      <c r="K538" s="4">
        <v>0.3031237289183312</v>
      </c>
      <c r="L538" s="7">
        <v>0.9322807715382201</v>
      </c>
      <c r="M538" s="3">
        <v>261.99</v>
      </c>
      <c r="N538" s="3">
        <v>166.38</v>
      </c>
    </row>
    <row r="539" spans="1:14">
      <c r="A539" s="8" t="s">
        <v>551</v>
      </c>
      <c r="B539" s="2">
        <f>HYPERLINK("https://www.suredividend.com/sure-analysis-research-database/","Chromadex Corp")</f>
        <v>0</v>
      </c>
      <c r="C539" s="1" t="s">
        <v>3176</v>
      </c>
      <c r="D539" s="3">
        <v>3.2</v>
      </c>
      <c r="E539" s="4">
        <v>0</v>
      </c>
      <c r="F539" s="4" t="s">
        <v>3178</v>
      </c>
      <c r="G539" s="4" t="s">
        <v>3178</v>
      </c>
      <c r="H539" s="3">
        <v>0</v>
      </c>
      <c r="I539" s="5">
        <v>241.724118</v>
      </c>
      <c r="J539" s="6">
        <v>0</v>
      </c>
      <c r="K539" s="4" t="s">
        <v>3178</v>
      </c>
      <c r="L539" s="7">
        <v>0.193773378454314</v>
      </c>
      <c r="M539" s="3">
        <v>4.65</v>
      </c>
      <c r="N539" s="3">
        <v>1.25</v>
      </c>
    </row>
    <row r="540" spans="1:14">
      <c r="A540" s="8" t="s">
        <v>552</v>
      </c>
      <c r="B540" s="2">
        <f>HYPERLINK("https://www.suredividend.com/sure-analysis-research-database/","Codexis Inc.")</f>
        <v>0</v>
      </c>
      <c r="C540" s="1" t="s">
        <v>3176</v>
      </c>
      <c r="D540" s="3">
        <v>3.26</v>
      </c>
      <c r="E540" s="4">
        <v>0</v>
      </c>
      <c r="F540" s="4" t="s">
        <v>3178</v>
      </c>
      <c r="G540" s="4" t="s">
        <v>3178</v>
      </c>
      <c r="H540" s="3">
        <v>0</v>
      </c>
      <c r="I540" s="5">
        <v>230.017701</v>
      </c>
      <c r="J540" s="6">
        <v>0</v>
      </c>
      <c r="K540" s="4" t="s">
        <v>3178</v>
      </c>
      <c r="L540" s="7">
        <v>3.249269679734378</v>
      </c>
      <c r="M540" s="3">
        <v>4.91</v>
      </c>
      <c r="N540" s="3">
        <v>1.45</v>
      </c>
    </row>
    <row r="541" spans="1:14">
      <c r="A541" s="8" t="s">
        <v>553</v>
      </c>
      <c r="B541" s="2">
        <f>HYPERLINK("https://www.suredividend.com/sure-analysis-research-database/","Cadiz Inc.")</f>
        <v>0</v>
      </c>
      <c r="C541" s="1" t="s">
        <v>3186</v>
      </c>
      <c r="D541" s="3">
        <v>2.96</v>
      </c>
      <c r="E541" s="4">
        <v>0</v>
      </c>
      <c r="F541" s="4" t="s">
        <v>3178</v>
      </c>
      <c r="G541" s="4" t="s">
        <v>3178</v>
      </c>
      <c r="H541" s="3">
        <v>0</v>
      </c>
      <c r="I541" s="5">
        <v>200.669083</v>
      </c>
      <c r="J541" s="6" t="s">
        <v>3178</v>
      </c>
      <c r="K541" s="4">
        <v>-0</v>
      </c>
      <c r="L541" s="7">
        <v>1.649367623031923</v>
      </c>
      <c r="M541" s="3">
        <v>4.82</v>
      </c>
      <c r="N541" s="3">
        <v>2.12</v>
      </c>
    </row>
    <row r="542" spans="1:14">
      <c r="A542" s="8" t="s">
        <v>554</v>
      </c>
      <c r="B542" s="2">
        <f>HYPERLINK("https://www.suredividend.com/sure-analysis-CE/","Celanese Corp")</f>
        <v>0</v>
      </c>
      <c r="C542" s="1" t="s">
        <v>3177</v>
      </c>
      <c r="D542" s="3">
        <v>146.47</v>
      </c>
      <c r="E542" s="4">
        <v>0.01911654263671742</v>
      </c>
      <c r="F542" s="4">
        <v>0</v>
      </c>
      <c r="G542" s="4">
        <v>0.02456913836308061</v>
      </c>
      <c r="H542" s="3">
        <v>2.77986942632504</v>
      </c>
      <c r="I542" s="5">
        <v>15997.432308</v>
      </c>
      <c r="J542" s="6">
        <v>8.161955259346939</v>
      </c>
      <c r="K542" s="4">
        <v>0.1551266420940312</v>
      </c>
      <c r="L542" s="7">
        <v>1.176755414059235</v>
      </c>
      <c r="M542" s="3">
        <v>171.38</v>
      </c>
      <c r="N542" s="3">
        <v>102.99</v>
      </c>
    </row>
    <row r="543" spans="1:14">
      <c r="A543" s="8" t="s">
        <v>555</v>
      </c>
      <c r="B543" s="2">
        <f>HYPERLINK("https://www.suredividend.com/sure-analysis-research-database/","Ceco Environmental Corp.")</f>
        <v>0</v>
      </c>
      <c r="C543" s="1" t="s">
        <v>3178</v>
      </c>
      <c r="D543" s="3">
        <v>23.37</v>
      </c>
      <c r="E543" s="4">
        <v>0</v>
      </c>
      <c r="F543" s="4" t="s">
        <v>3178</v>
      </c>
      <c r="G543" s="4" t="s">
        <v>3178</v>
      </c>
      <c r="H543" s="3">
        <v>0</v>
      </c>
      <c r="I543" s="5">
        <v>816.442962</v>
      </c>
      <c r="J543" s="6">
        <v>0</v>
      </c>
      <c r="K543" s="4" t="s">
        <v>3178</v>
      </c>
      <c r="L543" s="7">
        <v>1.314684840981896</v>
      </c>
      <c r="M543" s="3">
        <v>26.8</v>
      </c>
      <c r="N543" s="3">
        <v>11.46</v>
      </c>
    </row>
    <row r="544" spans="1:14">
      <c r="A544" s="8" t="s">
        <v>556</v>
      </c>
      <c r="B544" s="2">
        <f>HYPERLINK("https://www.suredividend.com/sure-analysis-research-database/","Camber Energy Inc")</f>
        <v>0</v>
      </c>
      <c r="C544" s="1" t="s">
        <v>3185</v>
      </c>
      <c r="D544" s="3">
        <v>0.1501</v>
      </c>
      <c r="E544" s="4">
        <v>0</v>
      </c>
      <c r="F544" s="4" t="s">
        <v>3178</v>
      </c>
      <c r="G544" s="4" t="s">
        <v>3178</v>
      </c>
      <c r="H544" s="3">
        <v>0</v>
      </c>
      <c r="I544" s="5">
        <v>26.38765</v>
      </c>
      <c r="J544" s="6" t="s">
        <v>3178</v>
      </c>
      <c r="K544" s="4">
        <v>-0</v>
      </c>
      <c r="L544" s="7">
        <v>1.114477359759261</v>
      </c>
      <c r="M544" s="3">
        <v>1.27</v>
      </c>
      <c r="N544" s="3">
        <v>0.1425</v>
      </c>
    </row>
    <row r="545" spans="1:14">
      <c r="A545" s="8" t="s">
        <v>557</v>
      </c>
      <c r="B545" s="2">
        <f>HYPERLINK("https://www.suredividend.com/sure-analysis-research-database/","Consol Energy Inc")</f>
        <v>0</v>
      </c>
      <c r="C545" s="1" t="s">
        <v>3185</v>
      </c>
      <c r="D545" s="3">
        <v>98.23</v>
      </c>
      <c r="E545" s="4">
        <v>0</v>
      </c>
      <c r="F545" s="4" t="s">
        <v>3178</v>
      </c>
      <c r="G545" s="4" t="s">
        <v>3178</v>
      </c>
      <c r="H545" s="3">
        <v>0</v>
      </c>
      <c r="I545" s="5">
        <v>2886.783731</v>
      </c>
      <c r="J545" s="6">
        <v>5.473551175280525</v>
      </c>
      <c r="K545" s="4">
        <v>0</v>
      </c>
      <c r="L545" s="7">
        <v>0.9686617425953531</v>
      </c>
      <c r="M545" s="3">
        <v>114.3</v>
      </c>
      <c r="N545" s="3">
        <v>59.95</v>
      </c>
    </row>
    <row r="546" spans="1:14">
      <c r="A546" s="8" t="s">
        <v>558</v>
      </c>
      <c r="B546" s="2">
        <f>HYPERLINK("https://www.suredividend.com/sure-analysis-research-database/","Celcuity Inc")</f>
        <v>0</v>
      </c>
      <c r="C546" s="1" t="s">
        <v>3176</v>
      </c>
      <c r="D546" s="3">
        <v>14.29</v>
      </c>
      <c r="E546" s="4">
        <v>0</v>
      </c>
      <c r="F546" s="4" t="s">
        <v>3178</v>
      </c>
      <c r="G546" s="4" t="s">
        <v>3178</v>
      </c>
      <c r="H546" s="3">
        <v>0</v>
      </c>
      <c r="I546" s="5">
        <v>446.277915</v>
      </c>
      <c r="J546" s="6">
        <v>0</v>
      </c>
      <c r="K546" s="4" t="s">
        <v>3178</v>
      </c>
      <c r="L546" s="7">
        <v>0.7381314812226231</v>
      </c>
      <c r="M546" s="3">
        <v>22.19</v>
      </c>
      <c r="N546" s="3">
        <v>8.390000000000001</v>
      </c>
    </row>
    <row r="547" spans="1:14">
      <c r="A547" s="8" t="s">
        <v>559</v>
      </c>
      <c r="B547" s="2">
        <f>HYPERLINK("https://www.suredividend.com/sure-analysis-research-database/","Celsius Holdings Inc")</f>
        <v>0</v>
      </c>
      <c r="C547" s="1" t="s">
        <v>3184</v>
      </c>
      <c r="D547" s="3">
        <v>73.2</v>
      </c>
      <c r="E547" s="4">
        <v>0</v>
      </c>
      <c r="F547" s="4" t="s">
        <v>3178</v>
      </c>
      <c r="G547" s="4" t="s">
        <v>3178</v>
      </c>
      <c r="H547" s="3">
        <v>0</v>
      </c>
      <c r="I547" s="5">
        <v>17061.55138</v>
      </c>
      <c r="J547" s="6">
        <v>79.23627716057123</v>
      </c>
      <c r="K547" s="4">
        <v>0</v>
      </c>
      <c r="L547" s="7">
        <v>1.563945956942355</v>
      </c>
      <c r="M547" s="3">
        <v>99.62</v>
      </c>
      <c r="N547" s="3">
        <v>45.03</v>
      </c>
    </row>
    <row r="548" spans="1:14">
      <c r="A548" s="8" t="s">
        <v>560</v>
      </c>
      <c r="B548" s="2">
        <f>HYPERLINK("https://www.suredividend.com/sure-analysis-research-database/","Chembio Diagnostics Inc.")</f>
        <v>0</v>
      </c>
      <c r="C548" s="1" t="s">
        <v>3176</v>
      </c>
      <c r="D548" s="3">
        <v>0.455</v>
      </c>
      <c r="E548" s="4">
        <v>0</v>
      </c>
      <c r="F548" s="4" t="s">
        <v>3178</v>
      </c>
      <c r="G548" s="4" t="s">
        <v>3178</v>
      </c>
      <c r="H548" s="3">
        <v>0</v>
      </c>
      <c r="I548" s="5">
        <v>0</v>
      </c>
      <c r="J548" s="6">
        <v>0</v>
      </c>
      <c r="K548" s="4" t="s">
        <v>3178</v>
      </c>
    </row>
    <row r="549" spans="1:14">
      <c r="A549" s="8" t="s">
        <v>561</v>
      </c>
      <c r="B549" s="2">
        <f>HYPERLINK("https://www.suredividend.com/sure-analysis-research-database/","Central Garden &amp; Pet Co.")</f>
        <v>0</v>
      </c>
      <c r="C549" s="1" t="s">
        <v>3184</v>
      </c>
      <c r="D549" s="3">
        <v>41.83</v>
      </c>
      <c r="E549" s="4">
        <v>0</v>
      </c>
      <c r="F549" s="4" t="s">
        <v>3178</v>
      </c>
      <c r="G549" s="4" t="s">
        <v>3178</v>
      </c>
      <c r="H549" s="3">
        <v>0</v>
      </c>
      <c r="I549" s="5">
        <v>2430.670661</v>
      </c>
      <c r="J549" s="6">
        <v>16.38161089083287</v>
      </c>
      <c r="K549" s="4">
        <v>0</v>
      </c>
      <c r="L549" s="7">
        <v>0.9871349750921661</v>
      </c>
      <c r="M549" s="3">
        <v>47.48</v>
      </c>
      <c r="N549" s="3">
        <v>23.92</v>
      </c>
    </row>
    <row r="550" spans="1:14">
      <c r="A550" s="8" t="s">
        <v>562</v>
      </c>
      <c r="B550" s="2">
        <f>HYPERLINK("https://www.suredividend.com/sure-analysis-research-database/","Central Garden &amp; Pet Co.")</f>
        <v>0</v>
      </c>
      <c r="C550" s="1" t="s">
        <v>3184</v>
      </c>
      <c r="D550" s="3">
        <v>35.95</v>
      </c>
      <c r="E550" s="4">
        <v>0</v>
      </c>
      <c r="F550" s="4" t="s">
        <v>3178</v>
      </c>
      <c r="G550" s="4" t="s">
        <v>3178</v>
      </c>
      <c r="H550" s="3">
        <v>0</v>
      </c>
      <c r="I550" s="5">
        <v>2430.670661</v>
      </c>
      <c r="J550" s="6">
        <v>16.38161089083287</v>
      </c>
      <c r="K550" s="4">
        <v>0</v>
      </c>
      <c r="L550" s="7">
        <v>0.9034883705624021</v>
      </c>
      <c r="M550" s="3">
        <v>41.03</v>
      </c>
      <c r="N550" s="3">
        <v>27.88</v>
      </c>
    </row>
    <row r="551" spans="1:14">
      <c r="A551" s="8" t="s">
        <v>563</v>
      </c>
      <c r="B551" s="2">
        <f>HYPERLINK("https://www.suredividend.com/sure-analysis-research-database/","Century Aluminum Co.")</f>
        <v>0</v>
      </c>
      <c r="C551" s="1" t="s">
        <v>3177</v>
      </c>
      <c r="D551" s="3">
        <v>15.81</v>
      </c>
      <c r="E551" s="4">
        <v>0</v>
      </c>
      <c r="F551" s="4" t="s">
        <v>3178</v>
      </c>
      <c r="G551" s="4" t="s">
        <v>3178</v>
      </c>
      <c r="H551" s="3">
        <v>0</v>
      </c>
      <c r="I551" s="5">
        <v>1465.594826</v>
      </c>
      <c r="J551" s="6">
        <v>6.39718387581842</v>
      </c>
      <c r="K551" s="4">
        <v>0</v>
      </c>
      <c r="L551" s="7">
        <v>1.748176057231792</v>
      </c>
      <c r="M551" s="3">
        <v>19.88</v>
      </c>
      <c r="N551" s="3">
        <v>5.7</v>
      </c>
    </row>
    <row r="552" spans="1:14">
      <c r="A552" s="8" t="s">
        <v>564</v>
      </c>
      <c r="B552" s="2">
        <f>HYPERLINK("https://www.suredividend.com/sure-analysis-research-database/","Cerner Corp.")</f>
        <v>0</v>
      </c>
      <c r="C552" s="1" t="s">
        <v>3176</v>
      </c>
      <c r="D552" s="3">
        <v>94.92</v>
      </c>
      <c r="E552" s="4">
        <v>0</v>
      </c>
      <c r="F552" s="4" t="s">
        <v>3178</v>
      </c>
      <c r="G552" s="4" t="s">
        <v>3178</v>
      </c>
      <c r="H552" s="3">
        <v>0.9800000190734861</v>
      </c>
      <c r="I552" s="5">
        <v>0</v>
      </c>
      <c r="J552" s="6">
        <v>0</v>
      </c>
      <c r="K552" s="4">
        <v>0.4949495045825688</v>
      </c>
    </row>
    <row r="553" spans="1:14">
      <c r="A553" s="8" t="s">
        <v>565</v>
      </c>
      <c r="B553" s="2">
        <f>HYPERLINK("https://www.suredividend.com/sure-analysis-research-database/","Cerus Corp.")</f>
        <v>0</v>
      </c>
      <c r="C553" s="1" t="s">
        <v>3176</v>
      </c>
      <c r="D553" s="3">
        <v>1.78</v>
      </c>
      <c r="E553" s="4">
        <v>0</v>
      </c>
      <c r="F553" s="4" t="s">
        <v>3178</v>
      </c>
      <c r="G553" s="4" t="s">
        <v>3178</v>
      </c>
      <c r="H553" s="3">
        <v>0</v>
      </c>
      <c r="I553" s="5">
        <v>329.104326</v>
      </c>
      <c r="J553" s="6" t="s">
        <v>3178</v>
      </c>
      <c r="K553" s="4">
        <v>-0</v>
      </c>
      <c r="L553" s="7">
        <v>2.966702705132359</v>
      </c>
      <c r="M553" s="3">
        <v>3.08</v>
      </c>
      <c r="N553" s="3">
        <v>1.21</v>
      </c>
    </row>
    <row r="554" spans="1:14">
      <c r="A554" s="8" t="s">
        <v>566</v>
      </c>
      <c r="B554" s="2">
        <f>HYPERLINK("https://www.suredividend.com/sure-analysis-research-database/","Cemtrex Inc.")</f>
        <v>0</v>
      </c>
      <c r="C554" s="1" t="s">
        <v>3179</v>
      </c>
      <c r="D554" s="3">
        <v>0.32</v>
      </c>
      <c r="E554" s="4">
        <v>0</v>
      </c>
      <c r="F554" s="4" t="s">
        <v>3178</v>
      </c>
      <c r="G554" s="4" t="s">
        <v>3178</v>
      </c>
      <c r="H554" s="3">
        <v>0</v>
      </c>
      <c r="I554" s="5">
        <v>3.408732</v>
      </c>
      <c r="J554" s="6">
        <v>0</v>
      </c>
      <c r="K554" s="4" t="s">
        <v>3178</v>
      </c>
      <c r="M554" s="3">
        <v>9.98</v>
      </c>
      <c r="N554" s="3">
        <v>0.25</v>
      </c>
    </row>
    <row r="555" spans="1:14">
      <c r="A555" s="8" t="s">
        <v>567</v>
      </c>
      <c r="B555" s="2">
        <f>HYPERLINK("https://www.suredividend.com/sure-analysis-research-database/","Ceva Inc.")</f>
        <v>0</v>
      </c>
      <c r="C555" s="1" t="s">
        <v>3181</v>
      </c>
      <c r="D555" s="3">
        <v>20.06</v>
      </c>
      <c r="E555" s="4">
        <v>0</v>
      </c>
      <c r="F555" s="4" t="s">
        <v>3178</v>
      </c>
      <c r="G555" s="4" t="s">
        <v>3178</v>
      </c>
      <c r="H555" s="3">
        <v>0</v>
      </c>
      <c r="I555" s="5">
        <v>473.057769</v>
      </c>
      <c r="J555" s="6" t="s">
        <v>3178</v>
      </c>
      <c r="K555" s="4">
        <v>-0</v>
      </c>
      <c r="L555" s="7">
        <v>2.107343602962732</v>
      </c>
      <c r="M555" s="3">
        <v>27.65</v>
      </c>
      <c r="N555" s="3">
        <v>16.38</v>
      </c>
    </row>
    <row r="556" spans="1:14">
      <c r="A556" s="8" t="s">
        <v>568</v>
      </c>
      <c r="B556" s="2">
        <f>HYPERLINK("https://www.suredividend.com/sure-analysis-CF/","CF Industries Holdings Inc")</f>
        <v>0</v>
      </c>
      <c r="C556" s="1" t="s">
        <v>3177</v>
      </c>
      <c r="D556" s="3">
        <v>77.86</v>
      </c>
      <c r="E556" s="4">
        <v>0.02568713074749551</v>
      </c>
      <c r="F556" s="4">
        <v>0.25</v>
      </c>
      <c r="G556" s="4">
        <v>0.1075663432482898</v>
      </c>
      <c r="H556" s="3">
        <v>1.784110652209007</v>
      </c>
      <c r="I556" s="5">
        <v>14231.420068</v>
      </c>
      <c r="J556" s="6">
        <v>12.27905096431406</v>
      </c>
      <c r="K556" s="4">
        <v>0.2948943226791748</v>
      </c>
      <c r="L556" s="7">
        <v>0.52777540306903</v>
      </c>
      <c r="M556" s="3">
        <v>86.45</v>
      </c>
      <c r="N556" s="3">
        <v>65.43000000000001</v>
      </c>
    </row>
    <row r="557" spans="1:14">
      <c r="A557" s="8" t="s">
        <v>569</v>
      </c>
      <c r="B557" s="2">
        <f>HYPERLINK("https://www.suredividend.com/sure-analysis-research-database/","CF Bankshares Inc")</f>
        <v>0</v>
      </c>
      <c r="C557" s="1" t="s">
        <v>3180</v>
      </c>
      <c r="D557" s="3">
        <v>19.7</v>
      </c>
      <c r="E557" s="4">
        <v>0.012085849550984</v>
      </c>
      <c r="F557" s="4" t="s">
        <v>3178</v>
      </c>
      <c r="G557" s="4" t="s">
        <v>3178</v>
      </c>
      <c r="H557" s="3">
        <v>0.238091236154396</v>
      </c>
      <c r="I557" s="5">
        <v>100.970794</v>
      </c>
      <c r="J557" s="6">
        <v>0</v>
      </c>
      <c r="K557" s="4" t="s">
        <v>3178</v>
      </c>
      <c r="M557" s="3">
        <v>21.86</v>
      </c>
      <c r="N557" s="3">
        <v>14.39</v>
      </c>
    </row>
    <row r="558" spans="1:14">
      <c r="A558" s="8" t="s">
        <v>570</v>
      </c>
      <c r="B558" s="2">
        <f>HYPERLINK("https://www.suredividend.com/sure-analysis-CFFI/","C &amp; F Financial Corp")</f>
        <v>0</v>
      </c>
      <c r="C558" s="1" t="s">
        <v>3180</v>
      </c>
      <c r="D558" s="3">
        <v>45.02</v>
      </c>
      <c r="E558" s="4">
        <v>0.0390937361172812</v>
      </c>
      <c r="F558" s="4">
        <v>0</v>
      </c>
      <c r="G558" s="4">
        <v>0.03526180275714541</v>
      </c>
      <c r="H558" s="3">
        <v>1.71879760610424</v>
      </c>
      <c r="I558" s="5">
        <v>151.169867</v>
      </c>
      <c r="J558" s="6">
        <v>7.351189786033847</v>
      </c>
      <c r="K558" s="4">
        <v>0.283162702817832</v>
      </c>
      <c r="L558" s="7">
        <v>0.7539790320853741</v>
      </c>
      <c r="M558" s="3">
        <v>70.79000000000001</v>
      </c>
      <c r="N558" s="3">
        <v>33.51</v>
      </c>
    </row>
    <row r="559" spans="1:14">
      <c r="A559" s="8" t="s">
        <v>571</v>
      </c>
      <c r="B559" s="2">
        <f>HYPERLINK("https://www.suredividend.com/sure-analysis-research-database/","Capitol Federal Financial")</f>
        <v>0</v>
      </c>
      <c r="C559" s="1" t="s">
        <v>3180</v>
      </c>
      <c r="D559" s="3">
        <v>5.13</v>
      </c>
      <c r="E559" s="4">
        <v>0.06326561111061001</v>
      </c>
      <c r="F559" s="4">
        <v>0</v>
      </c>
      <c r="G559" s="4">
        <v>-0.0814662577923444</v>
      </c>
      <c r="H559" s="3">
        <v>0.324552584997433</v>
      </c>
      <c r="I559" s="5">
        <v>686.050162</v>
      </c>
      <c r="J559" s="6" t="s">
        <v>3178</v>
      </c>
      <c r="K559" s="4" t="s">
        <v>3178</v>
      </c>
      <c r="L559" s="7">
        <v>0.9534187703590601</v>
      </c>
      <c r="M559" s="3">
        <v>6.41</v>
      </c>
      <c r="N559" s="3">
        <v>3.84</v>
      </c>
    </row>
    <row r="560" spans="1:14">
      <c r="A560" s="8" t="s">
        <v>572</v>
      </c>
      <c r="B560" s="2">
        <f>HYPERLINK("https://www.suredividend.com/sure-analysis-CFG/","Citizens Financial Group Inc")</f>
        <v>0</v>
      </c>
      <c r="C560" s="1" t="s">
        <v>3180</v>
      </c>
      <c r="D560" s="3">
        <v>34.15</v>
      </c>
      <c r="E560" s="4">
        <v>0.04919472913616398</v>
      </c>
      <c r="F560" s="4">
        <v>0</v>
      </c>
      <c r="G560" s="4">
        <v>0.03131030647754507</v>
      </c>
      <c r="H560" s="3">
        <v>1.647336590985817</v>
      </c>
      <c r="I560" s="5">
        <v>15538.93201</v>
      </c>
      <c r="J560" s="6">
        <v>11.88900689338179</v>
      </c>
      <c r="K560" s="4">
        <v>0.5925671190596464</v>
      </c>
      <c r="L560" s="7">
        <v>1.399548045116736</v>
      </c>
      <c r="M560" s="3">
        <v>37.3</v>
      </c>
      <c r="N560" s="3">
        <v>21.82</v>
      </c>
    </row>
    <row r="561" spans="1:14">
      <c r="A561" s="8" t="s">
        <v>573</v>
      </c>
      <c r="B561" s="2">
        <f>HYPERLINK("https://www.suredividend.com/sure-analysis-research-database/","Conformis Inc.")</f>
        <v>0</v>
      </c>
      <c r="C561" s="1" t="s">
        <v>3176</v>
      </c>
      <c r="D561" s="3">
        <v>2.26</v>
      </c>
      <c r="E561" s="4">
        <v>0</v>
      </c>
      <c r="F561" s="4" t="s">
        <v>3178</v>
      </c>
      <c r="G561" s="4" t="s">
        <v>3178</v>
      </c>
      <c r="H561" s="3">
        <v>0</v>
      </c>
      <c r="I561" s="5">
        <v>0</v>
      </c>
      <c r="J561" s="6">
        <v>0</v>
      </c>
      <c r="K561" s="4">
        <v>-0</v>
      </c>
    </row>
    <row r="562" spans="1:14">
      <c r="A562" s="8" t="s">
        <v>574</v>
      </c>
      <c r="B562" s="2">
        <f>HYPERLINK("https://www.suredividend.com/sure-analysis-CFR/","Cullen Frost Bankers Inc.")</f>
        <v>0</v>
      </c>
      <c r="C562" s="1" t="s">
        <v>3180</v>
      </c>
      <c r="D562" s="3">
        <v>100.7</v>
      </c>
      <c r="E562" s="4">
        <v>0.0365441906653426</v>
      </c>
      <c r="F562" s="4">
        <v>0</v>
      </c>
      <c r="G562" s="4">
        <v>0.05318798449050144</v>
      </c>
      <c r="H562" s="3">
        <v>3.639643294915035</v>
      </c>
      <c r="I562" s="5">
        <v>6470.404989</v>
      </c>
      <c r="J562" s="6">
        <v>11.87537507685475</v>
      </c>
      <c r="K562" s="4">
        <v>0.4297099521741481</v>
      </c>
      <c r="L562" s="7">
        <v>0.948093478367326</v>
      </c>
      <c r="M562" s="3">
        <v>117.09</v>
      </c>
      <c r="N562" s="3">
        <v>80.81999999999999</v>
      </c>
    </row>
    <row r="563" spans="1:14">
      <c r="A563" s="8" t="s">
        <v>575</v>
      </c>
      <c r="B563" s="2">
        <f>HYPERLINK("https://www.suredividend.com/sure-analysis-research-database/","Cancer Genetics Inc.")</f>
        <v>0</v>
      </c>
      <c r="C563" s="1" t="s">
        <v>3176</v>
      </c>
      <c r="D563" s="3">
        <v>4.61</v>
      </c>
      <c r="E563" s="4">
        <v>0</v>
      </c>
      <c r="F563" s="4" t="s">
        <v>3178</v>
      </c>
      <c r="G563" s="4" t="s">
        <v>3178</v>
      </c>
      <c r="H563" s="3">
        <v>0</v>
      </c>
      <c r="I563" s="5">
        <v>35.886914</v>
      </c>
      <c r="J563" s="6">
        <v>0</v>
      </c>
      <c r="K563" s="4" t="s">
        <v>3178</v>
      </c>
      <c r="M563" s="3">
        <v>17.5</v>
      </c>
      <c r="N563" s="3">
        <v>2.11</v>
      </c>
    </row>
    <row r="564" spans="1:14">
      <c r="A564" s="8" t="s">
        <v>576</v>
      </c>
      <c r="B564" s="2">
        <f>HYPERLINK("https://www.suredividend.com/sure-analysis-research-database/","Cognex Corp.")</f>
        <v>0</v>
      </c>
      <c r="C564" s="1" t="s">
        <v>3181</v>
      </c>
      <c r="D564" s="3">
        <v>43.35</v>
      </c>
      <c r="E564" s="4">
        <v>0.006769572938703</v>
      </c>
      <c r="F564" s="4">
        <v>0.0714285714285714</v>
      </c>
      <c r="G564" s="4">
        <v>0.06399531281508364</v>
      </c>
      <c r="H564" s="3">
        <v>0.293460986892775</v>
      </c>
      <c r="I564" s="5">
        <v>7441.550128</v>
      </c>
      <c r="J564" s="6">
        <v>74.6836154554852</v>
      </c>
      <c r="K564" s="4">
        <v>0.5097463729247438</v>
      </c>
      <c r="L564" s="7">
        <v>1.495314162184522</v>
      </c>
      <c r="M564" s="3">
        <v>58.77</v>
      </c>
      <c r="N564" s="3">
        <v>33.9</v>
      </c>
    </row>
    <row r="565" spans="1:14">
      <c r="A565" s="8" t="s">
        <v>577</v>
      </c>
      <c r="B565" s="2">
        <f>HYPERLINK("https://www.suredividend.com/sure-analysis-research-database/","Comstock Holding Co. Inc")</f>
        <v>0</v>
      </c>
      <c r="C565" s="1" t="s">
        <v>3183</v>
      </c>
      <c r="D565" s="3">
        <v>6</v>
      </c>
      <c r="E565" s="4">
        <v>0</v>
      </c>
      <c r="F565" s="4" t="s">
        <v>3178</v>
      </c>
      <c r="G565" s="4" t="s">
        <v>3178</v>
      </c>
      <c r="H565" s="3">
        <v>0</v>
      </c>
      <c r="I565" s="5">
        <v>57.627948</v>
      </c>
      <c r="J565" s="6">
        <v>0</v>
      </c>
      <c r="K565" s="4" t="s">
        <v>3178</v>
      </c>
      <c r="M565" s="3">
        <v>8.56</v>
      </c>
      <c r="N565" s="3">
        <v>3.7</v>
      </c>
    </row>
    <row r="566" spans="1:14">
      <c r="A566" s="8" t="s">
        <v>578</v>
      </c>
      <c r="B566" s="2">
        <f>HYPERLINK("https://www.suredividend.com/sure-analysis-CHCO/","City Holding Co.")</f>
        <v>0</v>
      </c>
      <c r="C566" s="1" t="s">
        <v>3180</v>
      </c>
      <c r="D566" s="3">
        <v>103.11</v>
      </c>
      <c r="E566" s="4">
        <v>0.02773736785956745</v>
      </c>
      <c r="F566" s="4">
        <v>0.09999999999999987</v>
      </c>
      <c r="G566" s="4">
        <v>0.06171030936108779</v>
      </c>
      <c r="H566" s="3">
        <v>2.737299485943136</v>
      </c>
      <c r="I566" s="5">
        <v>1522.210455</v>
      </c>
      <c r="J566" s="6">
        <v>12.84956151539708</v>
      </c>
      <c r="K566" s="4">
        <v>0.3438818449677307</v>
      </c>
      <c r="L566" s="7">
        <v>0.635905576136447</v>
      </c>
      <c r="M566" s="3">
        <v>112.69</v>
      </c>
      <c r="N566" s="3">
        <v>83.18000000000001</v>
      </c>
    </row>
    <row r="567" spans="1:14">
      <c r="A567" s="8" t="s">
        <v>579</v>
      </c>
      <c r="B567" s="2">
        <f>HYPERLINK("https://www.suredividend.com/sure-analysis-CHCT/","Community Healthcare Trust Inc")</f>
        <v>0</v>
      </c>
      <c r="C567" s="1" t="s">
        <v>3183</v>
      </c>
      <c r="D567" s="3">
        <v>23.33</v>
      </c>
      <c r="E567" s="4">
        <v>0.07886840977282469</v>
      </c>
      <c r="F567" s="4">
        <v>0.02222222222222214</v>
      </c>
      <c r="G567" s="4">
        <v>0.02203737007250539</v>
      </c>
      <c r="H567" s="3">
        <v>1.777276542583269</v>
      </c>
      <c r="I567" s="5">
        <v>646.268903</v>
      </c>
      <c r="J567" s="6">
        <v>40.75606373715078</v>
      </c>
      <c r="K567" s="4">
        <v>2.882849217491109</v>
      </c>
      <c r="L567" s="7">
        <v>0.7884700395256431</v>
      </c>
      <c r="M567" s="3">
        <v>34.4</v>
      </c>
      <c r="N567" s="3">
        <v>22.03</v>
      </c>
    </row>
    <row r="568" spans="1:14">
      <c r="A568" s="8" t="s">
        <v>580</v>
      </c>
      <c r="B568" s="2">
        <f>HYPERLINK("https://www.suredividend.com/sure-analysis-CHD/","Church &amp; Dwight Co., Inc.")</f>
        <v>0</v>
      </c>
      <c r="C568" s="1" t="s">
        <v>3184</v>
      </c>
      <c r="D568" s="3">
        <v>107.38</v>
      </c>
      <c r="E568" s="4">
        <v>0.01061650214192587</v>
      </c>
      <c r="F568" s="4">
        <v>0.04128440366972463</v>
      </c>
      <c r="G568" s="4">
        <v>0.04517952621315846</v>
      </c>
      <c r="H568" s="3">
        <v>1.107917525784245</v>
      </c>
      <c r="I568" s="5">
        <v>26256.87974</v>
      </c>
      <c r="J568" s="6">
        <v>33.65835116010768</v>
      </c>
      <c r="K568" s="4">
        <v>0.3517198494553159</v>
      </c>
      <c r="L568" s="7">
        <v>0.168753608734614</v>
      </c>
      <c r="M568" s="3">
        <v>108.58</v>
      </c>
      <c r="N568" s="3">
        <v>81.55</v>
      </c>
    </row>
    <row r="569" spans="1:14">
      <c r="A569" s="8" t="s">
        <v>581</v>
      </c>
      <c r="B569" s="2">
        <f>HYPERLINK("https://www.suredividend.com/sure-analysis-CHDN/","Churchill Downs, Inc.")</f>
        <v>0</v>
      </c>
      <c r="C569" s="1" t="s">
        <v>3182</v>
      </c>
      <c r="D569" s="3">
        <v>134.49</v>
      </c>
      <c r="E569" s="4">
        <v>0.00282548888393189</v>
      </c>
      <c r="F569" s="4" t="s">
        <v>3178</v>
      </c>
      <c r="G569" s="4" t="s">
        <v>3178</v>
      </c>
      <c r="H569" s="3">
        <v>0.381999999284744</v>
      </c>
      <c r="I569" s="5">
        <v>9885.679112</v>
      </c>
      <c r="J569" s="6">
        <v>28.90549447842105</v>
      </c>
      <c r="K569" s="4">
        <v>0.08451327417804072</v>
      </c>
      <c r="L569" s="7">
        <v>1.075008464088695</v>
      </c>
      <c r="M569" s="3">
        <v>140.95</v>
      </c>
      <c r="N569" s="3">
        <v>105.75</v>
      </c>
    </row>
    <row r="570" spans="1:14">
      <c r="A570" s="8" t="s">
        <v>582</v>
      </c>
      <c r="B570" s="2">
        <f>HYPERLINK("https://www.suredividend.com/sure-analysis-CHE/","Chemed Corp.")</f>
        <v>0</v>
      </c>
      <c r="C570" s="1" t="s">
        <v>3176</v>
      </c>
      <c r="D570" s="3">
        <v>543.66</v>
      </c>
      <c r="E570" s="4">
        <v>0.002943015855497922</v>
      </c>
      <c r="F570" s="4">
        <v>0.05263157894736836</v>
      </c>
      <c r="G570" s="4">
        <v>0.04563955259127317</v>
      </c>
      <c r="H570" s="3">
        <v>1.598300572116191</v>
      </c>
      <c r="I570" s="5">
        <v>8230.599217999999</v>
      </c>
      <c r="J570" s="6">
        <v>29.04182783789982</v>
      </c>
      <c r="K570" s="4">
        <v>0.08602263574360555</v>
      </c>
      <c r="L570" s="7">
        <v>0.458528860555085</v>
      </c>
      <c r="M570" s="3">
        <v>654.14</v>
      </c>
      <c r="N570" s="3">
        <v>491.81</v>
      </c>
    </row>
    <row r="571" spans="1:14">
      <c r="A571" s="8" t="s">
        <v>583</v>
      </c>
      <c r="B571" s="2">
        <f>HYPERLINK("https://www.suredividend.com/sure-analysis-research-database/","Chefs` Warehouse Inc")</f>
        <v>0</v>
      </c>
      <c r="C571" s="1" t="s">
        <v>3184</v>
      </c>
      <c r="D571" s="3">
        <v>39.26</v>
      </c>
      <c r="E571" s="4">
        <v>0</v>
      </c>
      <c r="F571" s="4" t="s">
        <v>3178</v>
      </c>
      <c r="G571" s="4" t="s">
        <v>3178</v>
      </c>
      <c r="H571" s="3">
        <v>0</v>
      </c>
      <c r="I571" s="5">
        <v>1561.435961</v>
      </c>
      <c r="J571" s="6">
        <v>44.46002165432802</v>
      </c>
      <c r="K571" s="4">
        <v>0</v>
      </c>
      <c r="L571" s="7">
        <v>1.605757943528115</v>
      </c>
      <c r="M571" s="3">
        <v>39.77</v>
      </c>
      <c r="N571" s="3">
        <v>17.29</v>
      </c>
    </row>
    <row r="572" spans="1:14">
      <c r="A572" s="8" t="s">
        <v>584</v>
      </c>
      <c r="B572" s="2">
        <f>HYPERLINK("https://www.suredividend.com/sure-analysis-research-database/","Chegg Inc")</f>
        <v>0</v>
      </c>
      <c r="C572" s="1" t="s">
        <v>3184</v>
      </c>
      <c r="D572" s="3">
        <v>3.7</v>
      </c>
      <c r="E572" s="4">
        <v>0</v>
      </c>
      <c r="F572" s="4" t="s">
        <v>3178</v>
      </c>
      <c r="G572" s="4" t="s">
        <v>3178</v>
      </c>
      <c r="H572" s="3">
        <v>0</v>
      </c>
      <c r="I572" s="5">
        <v>378.204199</v>
      </c>
      <c r="J572" s="6">
        <v>25.95061058734733</v>
      </c>
      <c r="K572" s="4">
        <v>0</v>
      </c>
      <c r="L572" s="7">
        <v>1.310363162462152</v>
      </c>
      <c r="M572" s="3">
        <v>13.11</v>
      </c>
      <c r="N572" s="3">
        <v>3.51</v>
      </c>
    </row>
    <row r="573" spans="1:14">
      <c r="A573" s="8" t="s">
        <v>585</v>
      </c>
      <c r="B573" s="2">
        <f>HYPERLINK("https://www.suredividend.com/sure-analysis-research-database/","Choice Hotels International, Inc.")</f>
        <v>0</v>
      </c>
      <c r="C573" s="1" t="s">
        <v>3182</v>
      </c>
      <c r="D573" s="3">
        <v>114.1</v>
      </c>
      <c r="E573" s="4">
        <v>0.01004303510876</v>
      </c>
      <c r="F573" s="4" t="s">
        <v>3178</v>
      </c>
      <c r="G573" s="4" t="s">
        <v>3178</v>
      </c>
      <c r="H573" s="3">
        <v>1.145910305909545</v>
      </c>
      <c r="I573" s="5">
        <v>5495.300859</v>
      </c>
      <c r="J573" s="6">
        <v>0</v>
      </c>
      <c r="K573" s="4" t="s">
        <v>3178</v>
      </c>
      <c r="L573" s="7">
        <v>0.7255974911429021</v>
      </c>
      <c r="M573" s="3">
        <v>135.05</v>
      </c>
      <c r="N573" s="3">
        <v>108.66</v>
      </c>
    </row>
    <row r="574" spans="1:14">
      <c r="A574" s="8" t="s">
        <v>586</v>
      </c>
      <c r="B574" s="2">
        <f>HYPERLINK("https://www.suredividend.com/sure-analysis-research-database/","Chesapeake Energy Corp.")</f>
        <v>0</v>
      </c>
      <c r="C574" s="1" t="s">
        <v>3185</v>
      </c>
      <c r="D574" s="3">
        <v>88.29000000000001</v>
      </c>
      <c r="E574" s="4">
        <v>0.025669726572969</v>
      </c>
      <c r="F574" s="4" t="s">
        <v>3178</v>
      </c>
      <c r="G574" s="4" t="s">
        <v>3178</v>
      </c>
      <c r="H574" s="3">
        <v>2.266380159127442</v>
      </c>
      <c r="I574" s="5">
        <v>11570.268798</v>
      </c>
      <c r="J574" s="6" t="s">
        <v>3178</v>
      </c>
      <c r="K574" s="4" t="s">
        <v>3178</v>
      </c>
      <c r="L574" s="7">
        <v>0.608857393398866</v>
      </c>
      <c r="M574" s="3">
        <v>92.98</v>
      </c>
      <c r="N574" s="3">
        <v>71.42</v>
      </c>
    </row>
    <row r="575" spans="1:14">
      <c r="A575" s="8" t="s">
        <v>587</v>
      </c>
      <c r="B575" s="2">
        <f>HYPERLINK("https://www.suredividend.com/sure-analysis-research-database/","Chiasma Inc")</f>
        <v>0</v>
      </c>
      <c r="C575" s="1" t="s">
        <v>3176</v>
      </c>
      <c r="D575" s="3">
        <v>3.76</v>
      </c>
      <c r="E575" s="4">
        <v>0</v>
      </c>
      <c r="F575" s="4" t="s">
        <v>3178</v>
      </c>
      <c r="G575" s="4" t="s">
        <v>3178</v>
      </c>
      <c r="H575" s="3">
        <v>0</v>
      </c>
      <c r="I575" s="5">
        <v>0</v>
      </c>
      <c r="J575" s="6">
        <v>0</v>
      </c>
      <c r="K575" s="4" t="s">
        <v>3178</v>
      </c>
    </row>
    <row r="576" spans="1:14">
      <c r="A576" s="8" t="s">
        <v>588</v>
      </c>
      <c r="B576" s="2">
        <f>HYPERLINK("https://www.suredividend.com/sure-analysis-research-database/","Chemung Financial Corp.")</f>
        <v>0</v>
      </c>
      <c r="C576" s="1" t="s">
        <v>3180</v>
      </c>
      <c r="D576" s="3">
        <v>43.09</v>
      </c>
      <c r="E576" s="4">
        <v>0.028194856094968</v>
      </c>
      <c r="F576" s="4">
        <v>0</v>
      </c>
      <c r="G576" s="4">
        <v>0.03580420358021419</v>
      </c>
      <c r="H576" s="3">
        <v>1.214916349132201</v>
      </c>
      <c r="I576" s="5">
        <v>204.779839</v>
      </c>
      <c r="J576" s="6">
        <v>0</v>
      </c>
      <c r="K576" s="4" t="s">
        <v>3178</v>
      </c>
      <c r="L576" s="7">
        <v>0.365644647357477</v>
      </c>
      <c r="M576" s="3">
        <v>50.59</v>
      </c>
      <c r="N576" s="3">
        <v>35.46</v>
      </c>
    </row>
    <row r="577" spans="1:14">
      <c r="A577" s="8" t="s">
        <v>589</v>
      </c>
      <c r="B577" s="2">
        <f>HYPERLINK("https://www.suredividend.com/sure-analysis-research-database/","Cherry Hill Mortgage Investment Corporation")</f>
        <v>0</v>
      </c>
      <c r="C577" s="1" t="s">
        <v>3183</v>
      </c>
      <c r="D577" s="3">
        <v>3.7</v>
      </c>
      <c r="E577" s="4">
        <v>0.153040694562661</v>
      </c>
      <c r="F577" s="4">
        <v>-0.4444444444444445</v>
      </c>
      <c r="G577" s="4">
        <v>-0.2108146115618069</v>
      </c>
      <c r="H577" s="3">
        <v>0.5662505698818481</v>
      </c>
      <c r="I577" s="5">
        <v>111.073885</v>
      </c>
      <c r="J577" s="6" t="s">
        <v>3178</v>
      </c>
      <c r="K577" s="4" t="s">
        <v>3178</v>
      </c>
      <c r="L577" s="7">
        <v>1.265066780396852</v>
      </c>
      <c r="M577" s="3">
        <v>4.5</v>
      </c>
      <c r="N577" s="3">
        <v>2.56</v>
      </c>
    </row>
    <row r="578" spans="1:14">
      <c r="A578" s="8" t="s">
        <v>590</v>
      </c>
      <c r="B578" s="2">
        <f>HYPERLINK("https://www.suredividend.com/sure-analysis-research-database/","Coherus Biosciences Inc")</f>
        <v>0</v>
      </c>
      <c r="C578" s="1" t="s">
        <v>3176</v>
      </c>
      <c r="D578" s="3">
        <v>1.69</v>
      </c>
      <c r="E578" s="4">
        <v>0</v>
      </c>
      <c r="F578" s="4" t="s">
        <v>3178</v>
      </c>
      <c r="G578" s="4" t="s">
        <v>3178</v>
      </c>
      <c r="H578" s="3">
        <v>0</v>
      </c>
      <c r="I578" s="5">
        <v>193.886501</v>
      </c>
      <c r="J578" s="6" t="s">
        <v>3178</v>
      </c>
      <c r="K578" s="4">
        <v>-0</v>
      </c>
      <c r="L578" s="7">
        <v>2.514981404533664</v>
      </c>
      <c r="M578" s="3">
        <v>5.63</v>
      </c>
      <c r="N578" s="3">
        <v>1.43</v>
      </c>
    </row>
    <row r="579" spans="1:14">
      <c r="A579" s="8" t="s">
        <v>591</v>
      </c>
      <c r="B579" s="2">
        <f>HYPERLINK("https://www.suredividend.com/sure-analysis-CHRW/","C.H. Robinson Worldwide, Inc.")</f>
        <v>0</v>
      </c>
      <c r="C579" s="1" t="s">
        <v>3179</v>
      </c>
      <c r="D579" s="3">
        <v>86.98</v>
      </c>
      <c r="E579" s="4">
        <v>0.02816739480340308</v>
      </c>
      <c r="F579" s="4">
        <v>0</v>
      </c>
      <c r="G579" s="4">
        <v>0.03645853398452026</v>
      </c>
      <c r="H579" s="3">
        <v>2.386198039139048</v>
      </c>
      <c r="I579" s="5">
        <v>10184.899441</v>
      </c>
      <c r="J579" s="6">
        <v>33.5977840135646</v>
      </c>
      <c r="K579" s="4">
        <v>0.9431612802921137</v>
      </c>
      <c r="L579" s="7">
        <v>0.581282168922815</v>
      </c>
      <c r="M579" s="3">
        <v>95.16</v>
      </c>
      <c r="N579" s="3">
        <v>64.09999999999999</v>
      </c>
    </row>
    <row r="580" spans="1:14">
      <c r="A580" s="8" t="s">
        <v>592</v>
      </c>
      <c r="B580" s="2">
        <f>HYPERLINK("https://www.suredividend.com/sure-analysis-research-database/","Chico`s Fas, Inc.")</f>
        <v>0</v>
      </c>
      <c r="C580" s="1" t="s">
        <v>3182</v>
      </c>
      <c r="D580" s="3">
        <v>7.59</v>
      </c>
      <c r="E580" s="4">
        <v>0</v>
      </c>
      <c r="F580" s="4" t="s">
        <v>3178</v>
      </c>
      <c r="G580" s="4" t="s">
        <v>3178</v>
      </c>
      <c r="H580" s="3">
        <v>0</v>
      </c>
      <c r="I580" s="5">
        <v>937.041393</v>
      </c>
      <c r="J580" s="6">
        <v>8.39169100561511</v>
      </c>
      <c r="K580" s="4">
        <v>0</v>
      </c>
      <c r="L580" s="7">
        <v>1.158319217241463</v>
      </c>
      <c r="M580" s="3">
        <v>7.6</v>
      </c>
      <c r="N580" s="3">
        <v>4.33</v>
      </c>
    </row>
    <row r="581" spans="1:14">
      <c r="A581" s="8" t="s">
        <v>593</v>
      </c>
      <c r="B581" s="2">
        <f>HYPERLINK("https://www.suredividend.com/sure-analysis-research-database/","Charter Communications Inc.")</f>
        <v>0</v>
      </c>
      <c r="C581" s="1" t="s">
        <v>3187</v>
      </c>
      <c r="D581" s="3">
        <v>276.83</v>
      </c>
      <c r="E581" s="4">
        <v>0</v>
      </c>
      <c r="F581" s="4" t="s">
        <v>3178</v>
      </c>
      <c r="G581" s="4" t="s">
        <v>3178</v>
      </c>
      <c r="H581" s="3">
        <v>0</v>
      </c>
      <c r="I581" s="5">
        <v>39871.823516</v>
      </c>
      <c r="J581" s="6">
        <v>8.589363101217147</v>
      </c>
      <c r="K581" s="4">
        <v>0</v>
      </c>
      <c r="L581" s="7">
        <v>0.925781881529356</v>
      </c>
      <c r="M581" s="3">
        <v>458.3</v>
      </c>
      <c r="N581" s="3">
        <v>236.08</v>
      </c>
    </row>
    <row r="582" spans="1:14">
      <c r="A582" s="8" t="s">
        <v>594</v>
      </c>
      <c r="B582" s="2">
        <f>HYPERLINK("https://www.suredividend.com/sure-analysis-research-database/","Chuy`s Holdings Inc")</f>
        <v>0</v>
      </c>
      <c r="C582" s="1" t="s">
        <v>3182</v>
      </c>
      <c r="D582" s="3">
        <v>26.18</v>
      </c>
      <c r="E582" s="4">
        <v>0</v>
      </c>
      <c r="F582" s="4" t="s">
        <v>3178</v>
      </c>
      <c r="G582" s="4" t="s">
        <v>3178</v>
      </c>
      <c r="H582" s="3">
        <v>0</v>
      </c>
      <c r="I582" s="5">
        <v>451.083678</v>
      </c>
      <c r="J582" s="6">
        <v>14.31557212503967</v>
      </c>
      <c r="K582" s="4">
        <v>0</v>
      </c>
      <c r="L582" s="7">
        <v>0.971920102240559</v>
      </c>
      <c r="M582" s="3">
        <v>42.89</v>
      </c>
      <c r="N582" s="3">
        <v>25.44</v>
      </c>
    </row>
    <row r="583" spans="1:14">
      <c r="A583" s="8" t="s">
        <v>595</v>
      </c>
      <c r="B583" s="2">
        <f>HYPERLINK("https://www.suredividend.com/sure-analysis-CI/","Cigna Group (The)")</f>
        <v>0</v>
      </c>
      <c r="C583" s="1" t="s">
        <v>3176</v>
      </c>
      <c r="D583" s="3">
        <v>338.1</v>
      </c>
      <c r="E583" s="4">
        <v>0.0165631469979296</v>
      </c>
      <c r="F583" s="4" t="s">
        <v>3178</v>
      </c>
      <c r="G583" s="4" t="s">
        <v>3178</v>
      </c>
      <c r="H583" s="3">
        <v>5.228284175483606</v>
      </c>
      <c r="I583" s="5">
        <v>96045.419738</v>
      </c>
      <c r="J583" s="6">
        <v>26.53188390555249</v>
      </c>
      <c r="K583" s="4">
        <v>0.4243737155425005</v>
      </c>
      <c r="L583" s="7">
        <v>0.302448140572464</v>
      </c>
      <c r="M583" s="3">
        <v>364.21</v>
      </c>
      <c r="N583" s="3">
        <v>251.09</v>
      </c>
    </row>
    <row r="584" spans="1:14">
      <c r="A584" s="8" t="s">
        <v>596</v>
      </c>
      <c r="B584" s="2">
        <f>HYPERLINK("https://www.suredividend.com/sure-analysis-research-database/","Citizens, Inc.")</f>
        <v>0</v>
      </c>
      <c r="C584" s="1" t="s">
        <v>3180</v>
      </c>
      <c r="D584" s="3">
        <v>2.98</v>
      </c>
      <c r="E584" s="4">
        <v>0</v>
      </c>
      <c r="F584" s="4" t="s">
        <v>3178</v>
      </c>
      <c r="G584" s="4" t="s">
        <v>3178</v>
      </c>
      <c r="H584" s="3">
        <v>0</v>
      </c>
      <c r="I584" s="5">
        <v>147.908441</v>
      </c>
      <c r="J584" s="6">
        <v>6.135497610652507</v>
      </c>
      <c r="K584" s="4">
        <v>0</v>
      </c>
      <c r="L584" s="7">
        <v>0.6668503202574381</v>
      </c>
      <c r="M584" s="3">
        <v>3.69</v>
      </c>
      <c r="N584" s="3">
        <v>1.78</v>
      </c>
    </row>
    <row r="585" spans="1:14">
      <c r="A585" s="8" t="s">
        <v>597</v>
      </c>
      <c r="B585" s="2">
        <f>HYPERLINK("https://www.suredividend.com/sure-analysis-research-database/","CIENA Corp.")</f>
        <v>0</v>
      </c>
      <c r="C585" s="1" t="s">
        <v>3181</v>
      </c>
      <c r="D585" s="3">
        <v>45.75</v>
      </c>
      <c r="E585" s="4">
        <v>0</v>
      </c>
      <c r="F585" s="4" t="s">
        <v>3178</v>
      </c>
      <c r="G585" s="4" t="s">
        <v>3178</v>
      </c>
      <c r="H585" s="3">
        <v>0</v>
      </c>
      <c r="I585" s="5">
        <v>6574.504528</v>
      </c>
      <c r="J585" s="6">
        <v>28.81873524544893</v>
      </c>
      <c r="K585" s="4">
        <v>0</v>
      </c>
      <c r="L585" s="7">
        <v>1.04550966070625</v>
      </c>
      <c r="M585" s="3">
        <v>63.24</v>
      </c>
      <c r="N585" s="3">
        <v>39.94</v>
      </c>
    </row>
    <row r="586" spans="1:14">
      <c r="A586" s="8" t="s">
        <v>598</v>
      </c>
      <c r="B586" s="2">
        <f>HYPERLINK("https://www.suredividend.com/sure-analysis-CIM/","Chimera Investment Corp")</f>
        <v>0</v>
      </c>
      <c r="C586" s="1" t="s">
        <v>3183</v>
      </c>
      <c r="D586" s="3">
        <v>11.63</v>
      </c>
      <c r="E586" s="4">
        <v>0.03783319002579535</v>
      </c>
      <c r="F586" s="4">
        <v>-0.5217391304347827</v>
      </c>
      <c r="G586" s="4">
        <v>-0.2612720412113078</v>
      </c>
      <c r="H586" s="3">
        <v>1.666340763553761</v>
      </c>
      <c r="I586" s="5">
        <v>2807.701528</v>
      </c>
      <c r="J586" s="6">
        <v>22.5623304662413</v>
      </c>
      <c r="K586" s="4">
        <v>3.148197172782469</v>
      </c>
      <c r="M586" s="3">
        <v>17.99</v>
      </c>
      <c r="N586" s="3">
        <v>11.42</v>
      </c>
    </row>
    <row r="587" spans="1:14">
      <c r="A587" s="8" t="s">
        <v>599</v>
      </c>
      <c r="B587" s="2">
        <f>HYPERLINK("https://www.suredividend.com/sure-analysis-CINF/","Cincinnati Financial Corp.")</f>
        <v>0</v>
      </c>
      <c r="C587" s="1" t="s">
        <v>3180</v>
      </c>
      <c r="D587" s="3">
        <v>115.97</v>
      </c>
      <c r="E587" s="4">
        <v>0.02793825989480038</v>
      </c>
      <c r="F587" s="4">
        <v>0.08000000000000007</v>
      </c>
      <c r="G587" s="4">
        <v>0.07661245164297736</v>
      </c>
      <c r="H587" s="3">
        <v>3.012956252999787</v>
      </c>
      <c r="I587" s="5">
        <v>18156.078924</v>
      </c>
      <c r="J587" s="6">
        <v>7.651107848154235</v>
      </c>
      <c r="K587" s="4">
        <v>0.2005962884820098</v>
      </c>
      <c r="L587" s="7">
        <v>0.4906366228879631</v>
      </c>
      <c r="M587" s="3">
        <v>124.35</v>
      </c>
      <c r="N587" s="3">
        <v>91.70999999999999</v>
      </c>
    </row>
    <row r="588" spans="1:14">
      <c r="A588" s="8" t="s">
        <v>600</v>
      </c>
      <c r="B588" s="2">
        <f>HYPERLINK("https://www.suredividend.com/sure-analysis-CIO/","City Office REIT Inc")</f>
        <v>0</v>
      </c>
      <c r="C588" s="1" t="s">
        <v>3183</v>
      </c>
      <c r="D588" s="3">
        <v>4.91</v>
      </c>
      <c r="E588" s="4">
        <v>0.0814663951120163</v>
      </c>
      <c r="F588" s="4">
        <v>-0.5</v>
      </c>
      <c r="G588" s="4">
        <v>-0.1570798659572398</v>
      </c>
      <c r="H588" s="3">
        <v>0.388222949755571</v>
      </c>
      <c r="I588" s="5">
        <v>197.15641</v>
      </c>
      <c r="J588" s="6" t="s">
        <v>3178</v>
      </c>
      <c r="K588" s="4" t="s">
        <v>3178</v>
      </c>
      <c r="L588" s="7">
        <v>1.593384396980092</v>
      </c>
      <c r="M588" s="3">
        <v>6.46</v>
      </c>
      <c r="N588" s="3">
        <v>3.33</v>
      </c>
    </row>
    <row r="589" spans="1:14">
      <c r="A589" s="8" t="s">
        <v>601</v>
      </c>
      <c r="B589" s="2">
        <f>HYPERLINK("https://www.suredividend.com/sure-analysis-research-database/","Circor International Inc")</f>
        <v>0</v>
      </c>
      <c r="C589" s="1" t="s">
        <v>3179</v>
      </c>
      <c r="D589" s="3">
        <v>56</v>
      </c>
      <c r="E589" s="4">
        <v>0</v>
      </c>
      <c r="F589" s="4" t="s">
        <v>3178</v>
      </c>
      <c r="G589" s="4" t="s">
        <v>3178</v>
      </c>
      <c r="H589" s="3">
        <v>0</v>
      </c>
      <c r="I589" s="5">
        <v>1141.939008</v>
      </c>
      <c r="J589" s="6">
        <v>40.88428656331675</v>
      </c>
      <c r="K589" s="4">
        <v>0</v>
      </c>
      <c r="L589" s="7">
        <v>1.381934889203435</v>
      </c>
      <c r="M589" s="3">
        <v>56.48</v>
      </c>
      <c r="N589" s="3">
        <v>17.15</v>
      </c>
    </row>
    <row r="590" spans="1:14">
      <c r="A590" s="8" t="s">
        <v>602</v>
      </c>
      <c r="B590" s="2">
        <f>HYPERLINK("https://www.suredividend.com/sure-analysis-research-database/","CIT Group Inc")</f>
        <v>0</v>
      </c>
      <c r="C590" s="1" t="s">
        <v>3180</v>
      </c>
      <c r="D590" s="3">
        <v>53.5</v>
      </c>
      <c r="E590" s="4">
        <v>0.025891808250519</v>
      </c>
      <c r="F590" s="4" t="s">
        <v>3178</v>
      </c>
      <c r="G590" s="4" t="s">
        <v>3178</v>
      </c>
      <c r="H590" s="3">
        <v>1.3852117414028</v>
      </c>
      <c r="I590" s="5">
        <v>5305.57895</v>
      </c>
      <c r="J590" s="6">
        <v>7.74876434935008</v>
      </c>
      <c r="K590" s="4">
        <v>0.2016319856481514</v>
      </c>
      <c r="L590" s="7">
        <v>1.250922609319329</v>
      </c>
      <c r="M590" s="3">
        <v>56.21</v>
      </c>
      <c r="N590" s="3">
        <v>34.51</v>
      </c>
    </row>
    <row r="591" spans="1:14">
      <c r="A591" s="8" t="s">
        <v>603</v>
      </c>
      <c r="B591" s="2">
        <f>HYPERLINK("https://www.suredividend.com/sure-analysis-CIVB/","Civista Bancshares Inc")</f>
        <v>0</v>
      </c>
      <c r="C591" s="1" t="s">
        <v>3180</v>
      </c>
      <c r="D591" s="3">
        <v>14.11</v>
      </c>
      <c r="E591" s="4">
        <v>0.04535790219702339</v>
      </c>
      <c r="F591" s="4">
        <v>0.06666666666666665</v>
      </c>
      <c r="G591" s="4">
        <v>0.07781806771272581</v>
      </c>
      <c r="H591" s="3">
        <v>0.6199011870528891</v>
      </c>
      <c r="I591" s="5">
        <v>221.908153</v>
      </c>
      <c r="J591" s="6">
        <v>6.326134712070242</v>
      </c>
      <c r="K591" s="4">
        <v>0.2695222552403866</v>
      </c>
      <c r="L591" s="7">
        <v>0.8590576941758621</v>
      </c>
      <c r="M591" s="3">
        <v>18.25</v>
      </c>
      <c r="N591" s="3">
        <v>13.4</v>
      </c>
    </row>
    <row r="592" spans="1:14">
      <c r="A592" s="8" t="s">
        <v>604</v>
      </c>
      <c r="B592" s="2">
        <f>HYPERLINK("https://www.suredividend.com/sure-analysis-research-database/","Compx International, Inc.")</f>
        <v>0</v>
      </c>
      <c r="C592" s="1" t="s">
        <v>3179</v>
      </c>
      <c r="D592" s="3">
        <v>23.89</v>
      </c>
      <c r="E592" s="4">
        <v>0.033071745256258</v>
      </c>
      <c r="F592" s="4">
        <v>0.2000000000000002</v>
      </c>
      <c r="G592" s="4">
        <v>0.3378414360792157</v>
      </c>
      <c r="H592" s="3">
        <v>0.790083994172006</v>
      </c>
      <c r="I592" s="5">
        <v>294.175655</v>
      </c>
      <c r="J592" s="6">
        <v>14.50641820257409</v>
      </c>
      <c r="K592" s="4">
        <v>0.4788387843466703</v>
      </c>
      <c r="L592" s="7">
        <v>0.8803370311321781</v>
      </c>
      <c r="M592" s="3">
        <v>39.91</v>
      </c>
      <c r="N592" s="3">
        <v>16.87</v>
      </c>
    </row>
    <row r="593" spans="1:14">
      <c r="A593" s="8" t="s">
        <v>605</v>
      </c>
      <c r="B593" s="2">
        <f>HYPERLINK("https://www.suredividend.com/sure-analysis-research-database/","Citizens Holding Co")</f>
        <v>0</v>
      </c>
      <c r="C593" s="1" t="s">
        <v>3180</v>
      </c>
      <c r="D593" s="3">
        <v>7.83</v>
      </c>
      <c r="E593" s="4">
        <v>0</v>
      </c>
      <c r="F593" s="4">
        <v>0</v>
      </c>
      <c r="G593" s="4">
        <v>-0.07789208851827223</v>
      </c>
      <c r="H593" s="3">
        <v>0.464662244725989</v>
      </c>
      <c r="I593" s="5">
        <v>0</v>
      </c>
      <c r="J593" s="6">
        <v>0</v>
      </c>
      <c r="K593" s="4" t="s">
        <v>3178</v>
      </c>
    </row>
    <row r="594" spans="1:14">
      <c r="A594" s="8" t="s">
        <v>606</v>
      </c>
      <c r="B594" s="2">
        <f>HYPERLINK("https://www.suredividend.com/sure-analysis-research-database/","SEACOR Holdings Inc")</f>
        <v>0</v>
      </c>
      <c r="C594" s="1" t="s">
        <v>3185</v>
      </c>
      <c r="D594" s="3">
        <v>41.5</v>
      </c>
      <c r="E594" s="4">
        <v>0</v>
      </c>
      <c r="F594" s="4" t="s">
        <v>3178</v>
      </c>
      <c r="G594" s="4" t="s">
        <v>3178</v>
      </c>
      <c r="H594" s="3">
        <v>0</v>
      </c>
      <c r="I594" s="5">
        <v>850.6904060000001</v>
      </c>
      <c r="J594" s="6">
        <v>36.49308935695594</v>
      </c>
      <c r="K594" s="4">
        <v>0</v>
      </c>
      <c r="L594" s="7">
        <v>1.038796686823308</v>
      </c>
      <c r="M594" s="3">
        <v>43.73</v>
      </c>
      <c r="N594" s="3">
        <v>22.61</v>
      </c>
    </row>
    <row r="595" spans="1:14">
      <c r="A595" s="8" t="s">
        <v>607</v>
      </c>
      <c r="B595" s="2">
        <f>HYPERLINK("https://www.suredividend.com/sure-analysis-research-database/","CKX Lands Inc")</f>
        <v>0</v>
      </c>
      <c r="C595" s="1" t="s">
        <v>3185</v>
      </c>
      <c r="D595" s="3">
        <v>13.49</v>
      </c>
      <c r="E595" s="4">
        <v>0</v>
      </c>
      <c r="F595" s="4" t="s">
        <v>3178</v>
      </c>
      <c r="G595" s="4" t="s">
        <v>3178</v>
      </c>
      <c r="H595" s="3">
        <v>0</v>
      </c>
      <c r="I595" s="5">
        <v>27.344662</v>
      </c>
      <c r="J595" s="6">
        <v>0</v>
      </c>
      <c r="K595" s="4" t="s">
        <v>3178</v>
      </c>
      <c r="M595" s="3">
        <v>14.44</v>
      </c>
      <c r="N595" s="3">
        <v>9.82</v>
      </c>
    </row>
    <row r="596" spans="1:14">
      <c r="A596" s="8" t="s">
        <v>608</v>
      </c>
      <c r="B596" s="2">
        <f>HYPERLINK("https://www.suredividend.com/sure-analysis-CL/","Colgate-Palmolive Co.")</f>
        <v>0</v>
      </c>
      <c r="C596" s="1" t="s">
        <v>3184</v>
      </c>
      <c r="D596" s="3">
        <v>93.89</v>
      </c>
      <c r="E596" s="4">
        <v>0.02130152305889871</v>
      </c>
      <c r="F596" s="4">
        <v>0.04166666666666674</v>
      </c>
      <c r="G596" s="4">
        <v>0.03062413800126618</v>
      </c>
      <c r="H596" s="3">
        <v>1.922917324282215</v>
      </c>
      <c r="I596" s="5">
        <v>77031.216193</v>
      </c>
      <c r="J596" s="6">
        <v>29.50257226865569</v>
      </c>
      <c r="K596" s="4">
        <v>0.6085181405956377</v>
      </c>
      <c r="L596" s="7">
        <v>0.230586003569089</v>
      </c>
      <c r="M596" s="3">
        <v>95.59</v>
      </c>
      <c r="N596" s="3">
        <v>66.39</v>
      </c>
    </row>
    <row r="597" spans="1:14">
      <c r="A597" s="8" t="s">
        <v>609</v>
      </c>
      <c r="B597" s="2">
        <f>HYPERLINK("https://www.suredividend.com/sure-analysis-research-database/","Clarus Corp")</f>
        <v>0</v>
      </c>
      <c r="C597" s="1" t="s">
        <v>3182</v>
      </c>
      <c r="D597" s="3">
        <v>6.67</v>
      </c>
      <c r="E597" s="4">
        <v>0.014817846333562</v>
      </c>
      <c r="F597" s="4">
        <v>0</v>
      </c>
      <c r="G597" s="4">
        <v>0</v>
      </c>
      <c r="H597" s="3">
        <v>0.09883503504485901</v>
      </c>
      <c r="I597" s="5">
        <v>255.448741</v>
      </c>
      <c r="J597" s="6">
        <v>25.1921834852071</v>
      </c>
      <c r="K597" s="4">
        <v>0.3656494082310728</v>
      </c>
      <c r="L597" s="7">
        <v>1.065734469755517</v>
      </c>
      <c r="M597" s="3">
        <v>9.289999999999999</v>
      </c>
      <c r="N597" s="3">
        <v>4.65</v>
      </c>
    </row>
    <row r="598" spans="1:14">
      <c r="A598" s="8" t="s">
        <v>610</v>
      </c>
      <c r="B598" s="2">
        <f>HYPERLINK("https://www.suredividend.com/sure-analysis-research-database/","Core Laboratories Inc")</f>
        <v>0</v>
      </c>
      <c r="C598" s="1" t="s">
        <v>3185</v>
      </c>
      <c r="D598" s="3">
        <v>18.25</v>
      </c>
      <c r="E598" s="4">
        <v>0.002189716829337</v>
      </c>
      <c r="F598" s="4">
        <v>0</v>
      </c>
      <c r="G598" s="4">
        <v>-0.5513295553650404</v>
      </c>
      <c r="H598" s="3">
        <v>0.0399623321354</v>
      </c>
      <c r="I598" s="5">
        <v>855.9225</v>
      </c>
      <c r="J598" s="6">
        <v>36.09355232141351</v>
      </c>
      <c r="K598" s="4">
        <v>0.07938484730909812</v>
      </c>
      <c r="L598" s="7">
        <v>0.6366910655839261</v>
      </c>
      <c r="M598" s="3">
        <v>27.88</v>
      </c>
      <c r="N598" s="3">
        <v>13.81</v>
      </c>
    </row>
    <row r="599" spans="1:14">
      <c r="A599" s="8" t="s">
        <v>611</v>
      </c>
      <c r="B599" s="2">
        <f>HYPERLINK("https://www.suredividend.com/sure-analysis-research-database/","Columbia Financial, Inc")</f>
        <v>0</v>
      </c>
      <c r="C599" s="1" t="s">
        <v>3180</v>
      </c>
      <c r="D599" s="3">
        <v>14.34</v>
      </c>
      <c r="E599" s="4">
        <v>0</v>
      </c>
      <c r="F599" s="4" t="s">
        <v>3178</v>
      </c>
      <c r="G599" s="4" t="s">
        <v>3178</v>
      </c>
      <c r="H599" s="3">
        <v>0</v>
      </c>
      <c r="I599" s="5">
        <v>1503.045236</v>
      </c>
      <c r="J599" s="6">
        <v>41.65175513495538</v>
      </c>
      <c r="K599" s="4">
        <v>0</v>
      </c>
      <c r="L599" s="7">
        <v>1.057661202927734</v>
      </c>
      <c r="M599" s="3">
        <v>20.46</v>
      </c>
      <c r="N599" s="3">
        <v>14.1</v>
      </c>
    </row>
    <row r="600" spans="1:14">
      <c r="A600" s="8" t="s">
        <v>612</v>
      </c>
      <c r="B600" s="2">
        <f>HYPERLINK("https://www.suredividend.com/sure-analysis-research-database/","Collectors Universe Inc")</f>
        <v>0</v>
      </c>
      <c r="C600" s="1" t="s">
        <v>3179</v>
      </c>
      <c r="D600" s="3">
        <v>91.92</v>
      </c>
      <c r="E600" s="4">
        <v>0</v>
      </c>
      <c r="F600" s="4" t="s">
        <v>3178</v>
      </c>
      <c r="G600" s="4" t="s">
        <v>3178</v>
      </c>
      <c r="H600" s="3">
        <v>0.5249999910593031</v>
      </c>
      <c r="I600" s="5">
        <v>0</v>
      </c>
      <c r="J600" s="6">
        <v>0</v>
      </c>
      <c r="K600" s="4" t="s">
        <v>3178</v>
      </c>
    </row>
    <row r="601" spans="1:14">
      <c r="A601" s="8" t="s">
        <v>613</v>
      </c>
      <c r="B601" s="2">
        <f>HYPERLINK("https://www.suredividend.com/sure-analysis-research-database/","Cloudera Inc")</f>
        <v>0</v>
      </c>
      <c r="C601" s="1" t="s">
        <v>3181</v>
      </c>
      <c r="D601" s="3">
        <v>15.99</v>
      </c>
      <c r="E601" s="4">
        <v>0</v>
      </c>
      <c r="F601" s="4" t="s">
        <v>3178</v>
      </c>
      <c r="G601" s="4" t="s">
        <v>3178</v>
      </c>
      <c r="H601" s="3">
        <v>0</v>
      </c>
      <c r="I601" s="5">
        <v>4736.508359</v>
      </c>
      <c r="J601" s="6" t="s">
        <v>3178</v>
      </c>
      <c r="K601" s="4">
        <v>-0</v>
      </c>
      <c r="L601" s="7">
        <v>0.8643407652207561</v>
      </c>
      <c r="M601" s="3">
        <v>19.35</v>
      </c>
      <c r="N601" s="3">
        <v>9.34</v>
      </c>
    </row>
    <row r="602" spans="1:14">
      <c r="A602" s="8" t="s">
        <v>614</v>
      </c>
      <c r="B602" s="2">
        <f>HYPERLINK("https://www.suredividend.com/sure-analysis-research-database/","Chatham Lodging Trust")</f>
        <v>0</v>
      </c>
      <c r="C602" s="1" t="s">
        <v>3183</v>
      </c>
      <c r="D602" s="3">
        <v>8.57</v>
      </c>
      <c r="E602" s="4">
        <v>0.032336445385941</v>
      </c>
      <c r="F602" s="4" t="s">
        <v>3178</v>
      </c>
      <c r="G602" s="4" t="s">
        <v>3178</v>
      </c>
      <c r="H602" s="3">
        <v>0.277123336957519</v>
      </c>
      <c r="I602" s="5">
        <v>419.144722</v>
      </c>
      <c r="J602" s="6" t="s">
        <v>3178</v>
      </c>
      <c r="K602" s="4" t="s">
        <v>3178</v>
      </c>
      <c r="L602" s="7">
        <v>1.16048382692072</v>
      </c>
      <c r="M602" s="3">
        <v>11.17</v>
      </c>
      <c r="N602" s="3">
        <v>8.23</v>
      </c>
    </row>
    <row r="603" spans="1:14">
      <c r="A603" s="8" t="s">
        <v>615</v>
      </c>
      <c r="B603" s="2">
        <f>HYPERLINK("https://www.suredividend.com/sure-analysis-research-database/","Celldex Therapeutics Inc.")</f>
        <v>0</v>
      </c>
      <c r="C603" s="1" t="s">
        <v>3176</v>
      </c>
      <c r="D603" s="3">
        <v>35.28</v>
      </c>
      <c r="E603" s="4">
        <v>0</v>
      </c>
      <c r="F603" s="4" t="s">
        <v>3178</v>
      </c>
      <c r="G603" s="4" t="s">
        <v>3178</v>
      </c>
      <c r="H603" s="3">
        <v>0</v>
      </c>
      <c r="I603" s="5">
        <v>2325.324133</v>
      </c>
      <c r="J603" s="6" t="s">
        <v>3178</v>
      </c>
      <c r="K603" s="4">
        <v>-0</v>
      </c>
      <c r="L603" s="7">
        <v>1.092610705089716</v>
      </c>
      <c r="M603" s="3">
        <v>53.18</v>
      </c>
      <c r="N603" s="3">
        <v>22.11</v>
      </c>
    </row>
    <row r="604" spans="1:14">
      <c r="A604" s="8" t="s">
        <v>616</v>
      </c>
      <c r="B604" s="2">
        <f>HYPERLINK("https://www.suredividend.com/sure-analysis-research-database/","Cleveland-Cliffs Inc")</f>
        <v>0</v>
      </c>
      <c r="C604" s="1" t="s">
        <v>3177</v>
      </c>
      <c r="D604" s="3">
        <v>15.8</v>
      </c>
      <c r="E604" s="4">
        <v>0</v>
      </c>
      <c r="F604" s="4" t="s">
        <v>3178</v>
      </c>
      <c r="G604" s="4" t="s">
        <v>3178</v>
      </c>
      <c r="H604" s="3">
        <v>0</v>
      </c>
      <c r="I604" s="5">
        <v>7512.523849</v>
      </c>
      <c r="J604" s="6">
        <v>19.31240064113111</v>
      </c>
      <c r="K604" s="4">
        <v>0</v>
      </c>
      <c r="L604" s="7">
        <v>1.356421275318881</v>
      </c>
      <c r="M604" s="3">
        <v>22.97</v>
      </c>
      <c r="N604" s="3">
        <v>13.84</v>
      </c>
    </row>
    <row r="605" spans="1:14">
      <c r="A605" s="8" t="s">
        <v>617</v>
      </c>
      <c r="B605" s="2">
        <f>HYPERLINK("https://www.suredividend.com/sure-analysis-research-database/","Clearfield Inc")</f>
        <v>0</v>
      </c>
      <c r="C605" s="1" t="s">
        <v>3181</v>
      </c>
      <c r="D605" s="3">
        <v>39.5</v>
      </c>
      <c r="E605" s="4">
        <v>0</v>
      </c>
      <c r="F605" s="4" t="s">
        <v>3178</v>
      </c>
      <c r="G605" s="4" t="s">
        <v>3178</v>
      </c>
      <c r="H605" s="3">
        <v>0</v>
      </c>
      <c r="I605" s="5">
        <v>562.214679</v>
      </c>
      <c r="J605" s="6" t="s">
        <v>3178</v>
      </c>
      <c r="K605" s="4">
        <v>-0</v>
      </c>
      <c r="L605" s="7">
        <v>1.941827667689995</v>
      </c>
      <c r="M605" s="3">
        <v>50.82</v>
      </c>
      <c r="N605" s="3">
        <v>22.91</v>
      </c>
    </row>
    <row r="606" spans="1:14">
      <c r="A606" s="8" t="s">
        <v>618</v>
      </c>
      <c r="B606" s="2">
        <f>HYPERLINK("https://www.suredividend.com/sure-analysis-research-database/","CoreLogic Inc")</f>
        <v>0</v>
      </c>
      <c r="C606" s="1" t="s">
        <v>3181</v>
      </c>
      <c r="D606" s="3">
        <v>80</v>
      </c>
      <c r="E606" s="4">
        <v>0.012325071757486</v>
      </c>
      <c r="F606" s="4" t="s">
        <v>3178</v>
      </c>
      <c r="G606" s="4" t="s">
        <v>3178</v>
      </c>
      <c r="H606" s="3">
        <v>0.9860057405989241</v>
      </c>
      <c r="I606" s="5">
        <v>5889.47856</v>
      </c>
      <c r="J606" s="6">
        <v>18.3416855913148</v>
      </c>
      <c r="K606" s="4">
        <v>0.2428585567977646</v>
      </c>
      <c r="M606" s="3">
        <v>90.34</v>
      </c>
      <c r="N606" s="3">
        <v>44.22</v>
      </c>
    </row>
    <row r="607" spans="1:14">
      <c r="A607" s="8" t="s">
        <v>619</v>
      </c>
      <c r="B607" s="2">
        <f>HYPERLINK("https://www.suredividend.com/sure-analysis-research-database/","Clean Harbors, Inc.")</f>
        <v>0</v>
      </c>
      <c r="C607" s="1" t="s">
        <v>3179</v>
      </c>
      <c r="D607" s="3">
        <v>213.9</v>
      </c>
      <c r="E607" s="4">
        <v>0</v>
      </c>
      <c r="F607" s="4" t="s">
        <v>3178</v>
      </c>
      <c r="G607" s="4" t="s">
        <v>3178</v>
      </c>
      <c r="H607" s="3">
        <v>0</v>
      </c>
      <c r="I607" s="5">
        <v>11536.723024</v>
      </c>
      <c r="J607" s="6">
        <v>30.74106756588957</v>
      </c>
      <c r="K607" s="4">
        <v>0</v>
      </c>
      <c r="L607" s="7">
        <v>0.888266177449015</v>
      </c>
      <c r="M607" s="3">
        <v>221.52</v>
      </c>
      <c r="N607" s="3">
        <v>132.92</v>
      </c>
    </row>
    <row r="608" spans="1:14">
      <c r="A608" s="8" t="s">
        <v>620</v>
      </c>
      <c r="B608" s="2">
        <f>HYPERLINK("https://www.suredividend.com/sure-analysis-research-database/","ClearSign Technologies Corp")</f>
        <v>0</v>
      </c>
      <c r="C608" s="1" t="s">
        <v>3179</v>
      </c>
      <c r="D608" s="3">
        <v>0.7975</v>
      </c>
      <c r="E608" s="4">
        <v>0</v>
      </c>
      <c r="F608" s="4" t="s">
        <v>3178</v>
      </c>
      <c r="G608" s="4" t="s">
        <v>3178</v>
      </c>
      <c r="H608" s="3">
        <v>0</v>
      </c>
      <c r="I608" s="5">
        <v>36.616053</v>
      </c>
      <c r="J608" s="6">
        <v>0</v>
      </c>
      <c r="K608" s="4" t="s">
        <v>3178</v>
      </c>
      <c r="L608" s="7">
        <v>1.164518401350961</v>
      </c>
      <c r="M608" s="3">
        <v>1.72</v>
      </c>
      <c r="N608" s="3">
        <v>0.73</v>
      </c>
    </row>
    <row r="609" spans="1:14">
      <c r="A609" s="8" t="s">
        <v>621</v>
      </c>
      <c r="B609" s="2">
        <f>HYPERLINK("https://www.suredividend.com/sure-analysis-research-database/","Clean Energy Fuels Corp")</f>
        <v>0</v>
      </c>
      <c r="C609" s="1" t="s">
        <v>3185</v>
      </c>
      <c r="D609" s="3">
        <v>2.94</v>
      </c>
      <c r="E609" s="4">
        <v>0</v>
      </c>
      <c r="F609" s="4" t="s">
        <v>3178</v>
      </c>
      <c r="G609" s="4" t="s">
        <v>3178</v>
      </c>
      <c r="H609" s="3">
        <v>0</v>
      </c>
      <c r="I609" s="5">
        <v>656.393382</v>
      </c>
      <c r="J609" s="6" t="s">
        <v>3178</v>
      </c>
      <c r="K609" s="4">
        <v>-0</v>
      </c>
      <c r="L609" s="7">
        <v>1.730147038935622</v>
      </c>
      <c r="M609" s="3">
        <v>5.25</v>
      </c>
      <c r="N609" s="3">
        <v>2.17</v>
      </c>
    </row>
    <row r="610" spans="1:14">
      <c r="A610" s="8" t="s">
        <v>622</v>
      </c>
      <c r="B610" s="2">
        <f>HYPERLINK("https://www.suredividend.com/sure-analysis-CLPR/","Clipper Realty Inc")</f>
        <v>0</v>
      </c>
      <c r="C610" s="1" t="s">
        <v>3183</v>
      </c>
      <c r="D610" s="3">
        <v>3.72</v>
      </c>
      <c r="E610" s="4">
        <v>0.1021505376344086</v>
      </c>
      <c r="F610" s="4">
        <v>0</v>
      </c>
      <c r="G610" s="4">
        <v>0</v>
      </c>
      <c r="H610" s="3">
        <v>0.367657359918024</v>
      </c>
      <c r="I610" s="5">
        <v>59.807519</v>
      </c>
      <c r="J610" s="6">
        <v>0</v>
      </c>
      <c r="K610" s="4" t="s">
        <v>3178</v>
      </c>
      <c r="L610" s="7">
        <v>0.848668134204101</v>
      </c>
      <c r="M610" s="3">
        <v>6.34</v>
      </c>
      <c r="N610" s="3">
        <v>3.55</v>
      </c>
    </row>
    <row r="611" spans="1:14">
      <c r="A611" s="8" t="s">
        <v>623</v>
      </c>
      <c r="B611" s="2">
        <f>HYPERLINK("https://www.suredividend.com/sure-analysis-research-database/","Continental Resources Inc (OKLA)")</f>
        <v>0</v>
      </c>
      <c r="C611" s="1" t="s">
        <v>3185</v>
      </c>
      <c r="D611" s="3">
        <v>74.27</v>
      </c>
      <c r="E611" s="4">
        <v>0</v>
      </c>
      <c r="F611" s="4" t="s">
        <v>3178</v>
      </c>
      <c r="G611" s="4" t="s">
        <v>3178</v>
      </c>
      <c r="H611" s="3">
        <v>0.7867554645615901</v>
      </c>
      <c r="I611" s="5">
        <v>26961.475199</v>
      </c>
      <c r="J611" s="6">
        <v>0</v>
      </c>
      <c r="K611" s="4">
        <v>0.08011766441564054</v>
      </c>
    </row>
    <row r="612" spans="1:14">
      <c r="A612" s="8" t="s">
        <v>624</v>
      </c>
      <c r="B612" s="2">
        <f>HYPERLINK("https://www.suredividend.com/sure-analysis-research-database/","Cellectar Biosciences Inc")</f>
        <v>0</v>
      </c>
      <c r="C612" s="1" t="s">
        <v>3176</v>
      </c>
      <c r="D612" s="3">
        <v>3.33</v>
      </c>
      <c r="E612" s="4">
        <v>0</v>
      </c>
      <c r="F612" s="4" t="s">
        <v>3178</v>
      </c>
      <c r="G612" s="4" t="s">
        <v>3178</v>
      </c>
      <c r="H612" s="3">
        <v>0</v>
      </c>
      <c r="I612" s="5">
        <v>119.376917</v>
      </c>
      <c r="J612" s="6">
        <v>0</v>
      </c>
      <c r="K612" s="4" t="s">
        <v>3178</v>
      </c>
      <c r="L612" s="7">
        <v>1.219404987732832</v>
      </c>
      <c r="M612" s="3">
        <v>4.45</v>
      </c>
      <c r="N612" s="3">
        <v>1.56</v>
      </c>
    </row>
    <row r="613" spans="1:14">
      <c r="A613" s="8" t="s">
        <v>625</v>
      </c>
      <c r="B613" s="2">
        <f>HYPERLINK("https://www.suredividend.com/sure-analysis-research-database/","ClearOne Inc")</f>
        <v>0</v>
      </c>
      <c r="C613" s="1" t="s">
        <v>3181</v>
      </c>
      <c r="D613" s="3">
        <v>0.7011000000000001</v>
      </c>
      <c r="E613" s="4">
        <v>0</v>
      </c>
      <c r="F613" s="4" t="s">
        <v>3178</v>
      </c>
      <c r="G613" s="4" t="s">
        <v>3178</v>
      </c>
      <c r="H613" s="3">
        <v>0</v>
      </c>
      <c r="I613" s="5">
        <v>16.80477</v>
      </c>
      <c r="J613" s="6">
        <v>0</v>
      </c>
      <c r="K613" s="4" t="s">
        <v>3178</v>
      </c>
      <c r="L613" s="7">
        <v>2.066259100160865</v>
      </c>
      <c r="M613" s="3">
        <v>1.23</v>
      </c>
      <c r="N613" s="3">
        <v>0.2993</v>
      </c>
    </row>
    <row r="614" spans="1:14">
      <c r="A614" s="8" t="s">
        <v>626</v>
      </c>
      <c r="B614" s="2">
        <f>HYPERLINK("https://www.suredividend.com/sure-analysis-research-database/","Clovis Oncology Inc")</f>
        <v>0</v>
      </c>
      <c r="C614" s="1" t="s">
        <v>3176</v>
      </c>
      <c r="D614" s="3">
        <v>0.08120000000000001</v>
      </c>
      <c r="E614" s="4">
        <v>0</v>
      </c>
      <c r="F614" s="4" t="s">
        <v>3178</v>
      </c>
      <c r="G614" s="4" t="s">
        <v>3178</v>
      </c>
      <c r="H614" s="3">
        <v>0</v>
      </c>
      <c r="I614" s="5">
        <v>0</v>
      </c>
      <c r="J614" s="6">
        <v>0</v>
      </c>
      <c r="K614" s="4" t="s">
        <v>3178</v>
      </c>
    </row>
    <row r="615" spans="1:14">
      <c r="A615" s="8" t="s">
        <v>627</v>
      </c>
      <c r="B615" s="2">
        <f>HYPERLINK("https://www.suredividend.com/sure-analysis-research-database/","Clearwater Paper Corp")</f>
        <v>0</v>
      </c>
      <c r="C615" s="1" t="s">
        <v>3177</v>
      </c>
      <c r="D615" s="3">
        <v>50.27</v>
      </c>
      <c r="E615" s="4">
        <v>0</v>
      </c>
      <c r="F615" s="4" t="s">
        <v>3178</v>
      </c>
      <c r="G615" s="4" t="s">
        <v>3178</v>
      </c>
      <c r="H615" s="3">
        <v>0</v>
      </c>
      <c r="I615" s="5">
        <v>838.4278430000001</v>
      </c>
      <c r="J615" s="6">
        <v>8.293054827992089</v>
      </c>
      <c r="K615" s="4">
        <v>0</v>
      </c>
      <c r="L615" s="7">
        <v>0.403518268936032</v>
      </c>
      <c r="M615" s="3">
        <v>53.77</v>
      </c>
      <c r="N615" s="3">
        <v>29.22</v>
      </c>
    </row>
    <row r="616" spans="1:14">
      <c r="A616" s="8" t="s">
        <v>628</v>
      </c>
      <c r="B616" s="2">
        <f>HYPERLINK("https://www.suredividend.com/sure-analysis-CLX/","Clorox Co.")</f>
        <v>0</v>
      </c>
      <c r="C616" s="1" t="s">
        <v>3184</v>
      </c>
      <c r="D616" s="3">
        <v>132.97</v>
      </c>
      <c r="E616" s="4">
        <v>0.03609836805294427</v>
      </c>
      <c r="F616" s="4">
        <v>0.01694915254237284</v>
      </c>
      <c r="G616" s="4">
        <v>0.02512087219852699</v>
      </c>
      <c r="H616" s="3">
        <v>4.738618050106691</v>
      </c>
      <c r="I616" s="5">
        <v>16513.303358</v>
      </c>
      <c r="J616" s="6">
        <v>68.80543065983333</v>
      </c>
      <c r="K616" s="4">
        <v>2.455242513008648</v>
      </c>
      <c r="L616" s="7">
        <v>0.558916792194815</v>
      </c>
      <c r="M616" s="3">
        <v>163.49</v>
      </c>
      <c r="N616" s="3">
        <v>112.78</v>
      </c>
    </row>
    <row r="617" spans="1:14">
      <c r="A617" s="8" t="s">
        <v>629</v>
      </c>
      <c r="B617" s="2">
        <f>HYPERLINK("https://www.suredividend.com/sure-analysis-CMA/","Comerica, Inc.")</f>
        <v>0</v>
      </c>
      <c r="C617" s="1" t="s">
        <v>3180</v>
      </c>
      <c r="D617" s="3">
        <v>48.05</v>
      </c>
      <c r="E617" s="4">
        <v>0.059105098855359</v>
      </c>
      <c r="F617" s="4">
        <v>0</v>
      </c>
      <c r="G617" s="4">
        <v>0.01166496270449802</v>
      </c>
      <c r="H617" s="3">
        <v>2.780901702661745</v>
      </c>
      <c r="I617" s="5">
        <v>6370.817411</v>
      </c>
      <c r="J617" s="6">
        <v>9.537151812200598</v>
      </c>
      <c r="K617" s="4">
        <v>0.5550702001320849</v>
      </c>
      <c r="L617" s="7">
        <v>1.574598680717323</v>
      </c>
      <c r="M617" s="3">
        <v>56.6</v>
      </c>
      <c r="N617" s="3">
        <v>36.39</v>
      </c>
    </row>
    <row r="618" spans="1:14">
      <c r="A618" s="8" t="s">
        <v>630</v>
      </c>
      <c r="B618" s="2">
        <f>HYPERLINK("https://www.suredividend.com/sure-analysis-research-database/","Commercial Metals Co.")</f>
        <v>0</v>
      </c>
      <c r="C618" s="1" t="s">
        <v>3177</v>
      </c>
      <c r="D618" s="3">
        <v>52.38</v>
      </c>
      <c r="E618" s="4">
        <v>0.012540288801139</v>
      </c>
      <c r="F618" s="4">
        <v>0.125</v>
      </c>
      <c r="G618" s="4">
        <v>0.08447177119769855</v>
      </c>
      <c r="H618" s="3">
        <v>0.656860327403701</v>
      </c>
      <c r="I618" s="5">
        <v>6060.800283</v>
      </c>
      <c r="J618" s="6">
        <v>8.909574297037738</v>
      </c>
      <c r="K618" s="4">
        <v>0.1140382512853648</v>
      </c>
      <c r="L618" s="7">
        <v>1.089616385323463</v>
      </c>
      <c r="M618" s="3">
        <v>59.63</v>
      </c>
      <c r="N618" s="3">
        <v>39.44</v>
      </c>
    </row>
    <row r="619" spans="1:14">
      <c r="A619" s="8" t="s">
        <v>631</v>
      </c>
      <c r="B619" s="2">
        <f>HYPERLINK("https://www.suredividend.com/sure-analysis-research-database/","Columbus Mckinnon Corp.")</f>
        <v>0</v>
      </c>
      <c r="C619" s="1" t="s">
        <v>3179</v>
      </c>
      <c r="D619" s="3">
        <v>36.41</v>
      </c>
      <c r="E619" s="4">
        <v>0.007649947713851001</v>
      </c>
      <c r="F619" s="4">
        <v>0</v>
      </c>
      <c r="G619" s="4">
        <v>0.03131030647754507</v>
      </c>
      <c r="H619" s="3">
        <v>0.278534596261342</v>
      </c>
      <c r="I619" s="5">
        <v>1050.74483</v>
      </c>
      <c r="J619" s="6">
        <v>22.53608214648793</v>
      </c>
      <c r="K619" s="4">
        <v>0.1730028548207093</v>
      </c>
      <c r="L619" s="7">
        <v>1.325912050112073</v>
      </c>
      <c r="M619" s="3">
        <v>45.84</v>
      </c>
      <c r="N619" s="3">
        <v>29.96</v>
      </c>
    </row>
    <row r="620" spans="1:14">
      <c r="A620" s="8" t="s">
        <v>632</v>
      </c>
      <c r="B620" s="2">
        <f>HYPERLINK("https://www.suredividend.com/sure-analysis-CMCSA/","Comcast Corp")</f>
        <v>0</v>
      </c>
      <c r="C620" s="1" t="s">
        <v>3187</v>
      </c>
      <c r="D620" s="3">
        <v>38.96</v>
      </c>
      <c r="E620" s="4">
        <v>0.03182751540041068</v>
      </c>
      <c r="F620" s="4">
        <v>0.06896551724137945</v>
      </c>
      <c r="G620" s="4">
        <v>0.08100693430783124</v>
      </c>
      <c r="H620" s="3">
        <v>1.15608862050268</v>
      </c>
      <c r="I620" s="5">
        <v>152496.51798</v>
      </c>
      <c r="J620" s="6">
        <v>9.895303223676596</v>
      </c>
      <c r="K620" s="4">
        <v>0.3066548064993846</v>
      </c>
      <c r="L620" s="7">
        <v>0.640742524826424</v>
      </c>
      <c r="M620" s="3">
        <v>46.42</v>
      </c>
      <c r="N620" s="3">
        <v>36.43</v>
      </c>
    </row>
    <row r="621" spans="1:14">
      <c r="A621" s="8" t="s">
        <v>633</v>
      </c>
      <c r="B621" s="2">
        <f>HYPERLINK("https://www.suredividend.com/sure-analysis-research-database/","Creative Media &amp; Community Trust")</f>
        <v>0</v>
      </c>
      <c r="C621" s="1" t="s">
        <v>3183</v>
      </c>
      <c r="D621" s="3">
        <v>2.9304</v>
      </c>
      <c r="E621" s="4">
        <v>0.108546062643148</v>
      </c>
      <c r="F621" s="4">
        <v>0</v>
      </c>
      <c r="G621" s="4">
        <v>-0.6397050474769999</v>
      </c>
      <c r="H621" s="3">
        <v>0.318083381969482</v>
      </c>
      <c r="I621" s="5">
        <v>66.774266</v>
      </c>
      <c r="J621" s="6">
        <v>0</v>
      </c>
      <c r="K621" s="4" t="s">
        <v>3178</v>
      </c>
      <c r="M621" s="3">
        <v>4.36</v>
      </c>
      <c r="N621" s="3">
        <v>2.84</v>
      </c>
    </row>
    <row r="622" spans="1:14">
      <c r="A622" s="8" t="s">
        <v>634</v>
      </c>
      <c r="B622" s="2">
        <f>HYPERLINK("https://www.suredividend.com/sure-analysis-research-database/","Cantel Medical Corp")</f>
        <v>0</v>
      </c>
      <c r="C622" s="1" t="s">
        <v>3176</v>
      </c>
      <c r="D622" s="3">
        <v>80.37</v>
      </c>
      <c r="E622" s="4">
        <v>0</v>
      </c>
      <c r="F622" s="4" t="s">
        <v>3178</v>
      </c>
      <c r="G622" s="4" t="s">
        <v>3178</v>
      </c>
      <c r="H622" s="3">
        <v>0</v>
      </c>
      <c r="I622" s="5">
        <v>3400.793299</v>
      </c>
      <c r="J622" s="6">
        <v>72.76447565761603</v>
      </c>
      <c r="K622" s="4">
        <v>0</v>
      </c>
      <c r="L622" s="7">
        <v>1.250781572994958</v>
      </c>
      <c r="M622" s="3">
        <v>89.76000000000001</v>
      </c>
      <c r="N622" s="3">
        <v>39.4</v>
      </c>
    </row>
    <row r="623" spans="1:14">
      <c r="A623" s="8" t="s">
        <v>635</v>
      </c>
      <c r="B623" s="2">
        <f>HYPERLINK("https://www.suredividend.com/sure-analysis-CME/","CME Group Inc")</f>
        <v>0</v>
      </c>
      <c r="C623" s="1" t="s">
        <v>3180</v>
      </c>
      <c r="D623" s="3">
        <v>199.36</v>
      </c>
      <c r="E623" s="4">
        <v>0.02307383627608347</v>
      </c>
      <c r="F623" s="4">
        <v>0.04545454545454519</v>
      </c>
      <c r="G623" s="4">
        <v>0.06232103966616465</v>
      </c>
      <c r="H623" s="3">
        <v>9.466055815904642</v>
      </c>
      <c r="I623" s="5">
        <v>71709.792</v>
      </c>
      <c r="J623" s="6">
        <v>22.71237829791277</v>
      </c>
      <c r="K623" s="4">
        <v>1.078138475615563</v>
      </c>
      <c r="L623" s="7">
        <v>0.161780408150693</v>
      </c>
      <c r="M623" s="3">
        <v>218.29</v>
      </c>
      <c r="N623" s="3">
        <v>162.22</v>
      </c>
    </row>
    <row r="624" spans="1:14">
      <c r="A624" s="8" t="s">
        <v>636</v>
      </c>
      <c r="B624" s="2">
        <f>HYPERLINK("https://www.suredividend.com/sure-analysis-research-database/","Chipotle Mexican Grill")</f>
        <v>0</v>
      </c>
      <c r="C624" s="1" t="s">
        <v>3182</v>
      </c>
      <c r="D624" s="3">
        <v>3169.02</v>
      </c>
      <c r="E624" s="4">
        <v>0</v>
      </c>
      <c r="F624" s="4" t="s">
        <v>3178</v>
      </c>
      <c r="G624" s="4" t="s">
        <v>3178</v>
      </c>
      <c r="H624" s="3">
        <v>0</v>
      </c>
      <c r="I624" s="5">
        <v>87043.47233999999</v>
      </c>
      <c r="J624" s="6">
        <v>67.14348596862031</v>
      </c>
      <c r="K624" s="4">
        <v>0</v>
      </c>
      <c r="L624" s="7">
        <v>0.795255418292478</v>
      </c>
      <c r="M624" s="3">
        <v>3260</v>
      </c>
      <c r="N624" s="3">
        <v>1768.64</v>
      </c>
    </row>
    <row r="625" spans="1:14">
      <c r="A625" s="8" t="s">
        <v>637</v>
      </c>
      <c r="B625" s="2">
        <f>HYPERLINK("https://www.suredividend.com/sure-analysis-CMI/","Cummins Inc.")</f>
        <v>0</v>
      </c>
      <c r="C625" s="1" t="s">
        <v>3179</v>
      </c>
      <c r="D625" s="3">
        <v>271.87</v>
      </c>
      <c r="E625" s="4">
        <v>0.02471769595762681</v>
      </c>
      <c r="F625" s="4">
        <v>0.07006369426751591</v>
      </c>
      <c r="G625" s="4">
        <v>0.0508514262518267</v>
      </c>
      <c r="H625" s="3">
        <v>6.656718595093993</v>
      </c>
      <c r="I625" s="5">
        <v>37186.344616</v>
      </c>
      <c r="J625" s="6">
        <v>19.18800031798246</v>
      </c>
      <c r="K625" s="4">
        <v>0.4898247678509193</v>
      </c>
      <c r="L625" s="7">
        <v>0.7260561936448201</v>
      </c>
      <c r="M625" s="3">
        <v>302.46</v>
      </c>
      <c r="N625" s="3">
        <v>208.63</v>
      </c>
    </row>
    <row r="626" spans="1:14">
      <c r="A626" s="8" t="s">
        <v>638</v>
      </c>
      <c r="B626" s="2">
        <f>HYPERLINK("https://www.suredividend.com/sure-analysis-research-database/","Capstead Mortgage Corp.")</f>
        <v>0</v>
      </c>
      <c r="C626" s="1" t="s">
        <v>3183</v>
      </c>
      <c r="D626" s="3">
        <v>6.5</v>
      </c>
      <c r="E626" s="4">
        <v>0.077874537735778</v>
      </c>
      <c r="F626" s="4" t="s">
        <v>3178</v>
      </c>
      <c r="G626" s="4" t="s">
        <v>3178</v>
      </c>
      <c r="H626" s="3">
        <v>0.506184495282563</v>
      </c>
      <c r="I626" s="5">
        <v>629.69114</v>
      </c>
      <c r="J626" s="6">
        <v>9.350645065486621</v>
      </c>
      <c r="K626" s="4">
        <v>0.7213688118605716</v>
      </c>
      <c r="L626" s="7">
        <v>0.6896066183388661</v>
      </c>
      <c r="M626" s="3">
        <v>6.95</v>
      </c>
      <c r="N626" s="3">
        <v>4.64</v>
      </c>
    </row>
    <row r="627" spans="1:14">
      <c r="A627" s="8" t="s">
        <v>639</v>
      </c>
      <c r="B627" s="2">
        <f>HYPERLINK("https://www.suredividend.com/sure-analysis-CMP/","Compass Minerals International Inc")</f>
        <v>0</v>
      </c>
      <c r="C627" s="1" t="s">
        <v>3177</v>
      </c>
      <c r="D627" s="3">
        <v>13.38</v>
      </c>
      <c r="E627" s="4">
        <v>0.04484304932735426</v>
      </c>
      <c r="F627" s="4" t="s">
        <v>3178</v>
      </c>
      <c r="G627" s="4" t="s">
        <v>3178</v>
      </c>
      <c r="H627" s="3">
        <v>0.447051338902434</v>
      </c>
      <c r="I627" s="5">
        <v>553.046592</v>
      </c>
      <c r="J627" s="6" t="s">
        <v>3178</v>
      </c>
      <c r="K627" s="4" t="s">
        <v>3178</v>
      </c>
      <c r="L627" s="7">
        <v>1.683523742605181</v>
      </c>
      <c r="M627" s="3">
        <v>39.06</v>
      </c>
      <c r="N627" s="3">
        <v>11.85</v>
      </c>
    </row>
    <row r="628" spans="1:14">
      <c r="A628" s="8" t="s">
        <v>640</v>
      </c>
      <c r="B628" s="2">
        <f>HYPERLINK("https://www.suredividend.com/sure-analysis-research-database/","Chimerix Inc")</f>
        <v>0</v>
      </c>
      <c r="C628" s="1" t="s">
        <v>3176</v>
      </c>
      <c r="D628" s="3">
        <v>0.9335</v>
      </c>
      <c r="E628" s="4">
        <v>0</v>
      </c>
      <c r="F628" s="4" t="s">
        <v>3178</v>
      </c>
      <c r="G628" s="4" t="s">
        <v>3178</v>
      </c>
      <c r="H628" s="3">
        <v>0</v>
      </c>
      <c r="I628" s="5">
        <v>83.66951400000001</v>
      </c>
      <c r="J628" s="6" t="s">
        <v>3178</v>
      </c>
      <c r="K628" s="4">
        <v>-0</v>
      </c>
      <c r="L628" s="7">
        <v>0.699787165746935</v>
      </c>
      <c r="M628" s="3">
        <v>1.45</v>
      </c>
      <c r="N628" s="3">
        <v>0.88</v>
      </c>
    </row>
    <row r="629" spans="1:14">
      <c r="A629" s="8" t="s">
        <v>641</v>
      </c>
      <c r="B629" s="2">
        <f>HYPERLINK("https://www.suredividend.com/sure-analysis-CMS/","CMS Energy Corporation")</f>
        <v>0</v>
      </c>
      <c r="C629" s="1" t="s">
        <v>3186</v>
      </c>
      <c r="D629" s="3">
        <v>60.63</v>
      </c>
      <c r="E629" s="4">
        <v>0.03430644895266369</v>
      </c>
      <c r="F629" s="4">
        <v>0.05641025641025643</v>
      </c>
      <c r="G629" s="4">
        <v>0.06129265338184653</v>
      </c>
      <c r="H629" s="3">
        <v>1.979684599052475</v>
      </c>
      <c r="I629" s="5">
        <v>18071.62032</v>
      </c>
      <c r="J629" s="6">
        <v>18.8246045</v>
      </c>
      <c r="K629" s="4">
        <v>0.6054081342668119</v>
      </c>
      <c r="L629" s="7">
        <v>0.408571142143332</v>
      </c>
      <c r="M629" s="3">
        <v>63.5</v>
      </c>
      <c r="N629" s="3">
        <v>48.57</v>
      </c>
    </row>
    <row r="630" spans="1:14">
      <c r="A630" s="8" t="s">
        <v>642</v>
      </c>
      <c r="B630" s="2">
        <f>HYPERLINK("https://www.suredividend.com/sure-analysis-research-database/","Core Molding Technologies")</f>
        <v>0</v>
      </c>
      <c r="C630" s="1" t="s">
        <v>3177</v>
      </c>
      <c r="D630" s="3">
        <v>17.03</v>
      </c>
      <c r="E630" s="4">
        <v>0</v>
      </c>
      <c r="F630" s="4" t="s">
        <v>3178</v>
      </c>
      <c r="G630" s="4" t="s">
        <v>3178</v>
      </c>
      <c r="H630" s="3">
        <v>0</v>
      </c>
      <c r="I630" s="5">
        <v>155.733219</v>
      </c>
      <c r="J630" s="6">
        <v>0</v>
      </c>
      <c r="K630" s="4" t="s">
        <v>3178</v>
      </c>
      <c r="L630" s="7">
        <v>0.6647947904259861</v>
      </c>
      <c r="M630" s="3">
        <v>30.09</v>
      </c>
      <c r="N630" s="3">
        <v>16</v>
      </c>
    </row>
    <row r="631" spans="1:14">
      <c r="A631" s="8" t="s">
        <v>643</v>
      </c>
      <c r="B631" s="2">
        <f>HYPERLINK("https://www.suredividend.com/sure-analysis-research-database/","Comtech Telecommunications Corp.")</f>
        <v>0</v>
      </c>
      <c r="C631" s="1" t="s">
        <v>3181</v>
      </c>
      <c r="D631" s="3">
        <v>2.19</v>
      </c>
      <c r="E631" s="4">
        <v>0</v>
      </c>
      <c r="F631" s="4" t="s">
        <v>3178</v>
      </c>
      <c r="G631" s="4" t="s">
        <v>3178</v>
      </c>
      <c r="H631" s="3">
        <v>0</v>
      </c>
      <c r="I631" s="5">
        <v>62.35767</v>
      </c>
      <c r="J631" s="6" t="s">
        <v>3178</v>
      </c>
      <c r="K631" s="4">
        <v>-0</v>
      </c>
      <c r="L631" s="7">
        <v>0.933650572598521</v>
      </c>
      <c r="M631" s="3">
        <v>13.04</v>
      </c>
      <c r="N631" s="3">
        <v>1.53</v>
      </c>
    </row>
    <row r="632" spans="1:14">
      <c r="A632" s="8" t="s">
        <v>644</v>
      </c>
      <c r="B632" s="2">
        <f>HYPERLINK("https://www.suredividend.com/sure-analysis-CNA/","CNA Financial Corp.")</f>
        <v>0</v>
      </c>
      <c r="C632" s="1" t="s">
        <v>3180</v>
      </c>
      <c r="D632" s="3">
        <v>44.64</v>
      </c>
      <c r="E632" s="4">
        <v>0.03942652329749104</v>
      </c>
      <c r="F632" s="4">
        <v>0.04761904761904767</v>
      </c>
      <c r="G632" s="4">
        <v>0.03526180275714541</v>
      </c>
      <c r="H632" s="3">
        <v>3.675806428336686</v>
      </c>
      <c r="I632" s="5">
        <v>12110.832</v>
      </c>
      <c r="J632" s="6">
        <v>9.719768860353129</v>
      </c>
      <c r="K632" s="4">
        <v>0.8025778227809357</v>
      </c>
      <c r="L632" s="7">
        <v>0.165410590769819</v>
      </c>
      <c r="M632" s="3">
        <v>46.47</v>
      </c>
      <c r="N632" s="3">
        <v>36.06</v>
      </c>
    </row>
    <row r="633" spans="1:14">
      <c r="A633" s="8" t="s">
        <v>645</v>
      </c>
      <c r="B633" s="2">
        <f>HYPERLINK("https://www.suredividend.com/sure-analysis-research-database/","Century Bancorp, Inc.")</f>
        <v>0</v>
      </c>
      <c r="C633" s="1" t="s">
        <v>3180</v>
      </c>
      <c r="D633" s="3">
        <v>115.29</v>
      </c>
      <c r="E633" s="4">
        <v>0</v>
      </c>
      <c r="F633" s="4" t="s">
        <v>3178</v>
      </c>
      <c r="G633" s="4" t="s">
        <v>3178</v>
      </c>
      <c r="H633" s="3">
        <v>0.720000028610229</v>
      </c>
      <c r="I633" s="5">
        <v>0</v>
      </c>
      <c r="J633" s="6">
        <v>0</v>
      </c>
      <c r="K633" s="4">
        <v>0.08921933440027621</v>
      </c>
    </row>
    <row r="634" spans="1:14">
      <c r="A634" s="8" t="s">
        <v>646</v>
      </c>
      <c r="B634" s="2">
        <f>HYPERLINK("https://www.suredividend.com/sure-analysis-research-database/","Centene Corp.")</f>
        <v>0</v>
      </c>
      <c r="C634" s="1" t="s">
        <v>3176</v>
      </c>
      <c r="D634" s="3">
        <v>69.81</v>
      </c>
      <c r="E634" s="4">
        <v>0</v>
      </c>
      <c r="F634" s="4" t="s">
        <v>3178</v>
      </c>
      <c r="G634" s="4" t="s">
        <v>3178</v>
      </c>
      <c r="H634" s="3">
        <v>0</v>
      </c>
      <c r="I634" s="5">
        <v>37254.52536</v>
      </c>
      <c r="J634" s="6">
        <v>13.62139866910421</v>
      </c>
      <c r="K634" s="4">
        <v>0</v>
      </c>
      <c r="L634" s="7">
        <v>0.346474870227755</v>
      </c>
      <c r="M634" s="3">
        <v>81.42</v>
      </c>
      <c r="N634" s="3">
        <v>60.83</v>
      </c>
    </row>
    <row r="635" spans="1:14">
      <c r="A635" s="8" t="s">
        <v>647</v>
      </c>
      <c r="B635" s="2">
        <f>HYPERLINK("https://www.suredividend.com/sure-analysis-research-database/","Concert Pharmaceuticals Inc")</f>
        <v>0</v>
      </c>
      <c r="C635" s="1" t="s">
        <v>3176</v>
      </c>
      <c r="D635" s="3">
        <v>8.369999999999999</v>
      </c>
      <c r="E635" s="4">
        <v>0</v>
      </c>
      <c r="F635" s="4" t="s">
        <v>3178</v>
      </c>
      <c r="G635" s="4" t="s">
        <v>3178</v>
      </c>
      <c r="H635" s="3">
        <v>0</v>
      </c>
      <c r="I635" s="5">
        <v>520.711745</v>
      </c>
      <c r="J635" s="6">
        <v>0</v>
      </c>
      <c r="K635" s="4" t="s">
        <v>3178</v>
      </c>
      <c r="M635" s="3">
        <v>8.550000000000001</v>
      </c>
      <c r="N635" s="3">
        <v>2.66</v>
      </c>
    </row>
    <row r="636" spans="1:14">
      <c r="A636" s="8" t="s">
        <v>648</v>
      </c>
      <c r="B636" s="2">
        <f>HYPERLINK("https://www.suredividend.com/sure-analysis-research-database/","Conduent Inc")</f>
        <v>0</v>
      </c>
      <c r="C636" s="1" t="s">
        <v>3181</v>
      </c>
      <c r="D636" s="3">
        <v>3.47</v>
      </c>
      <c r="E636" s="4">
        <v>0</v>
      </c>
      <c r="F636" s="4" t="s">
        <v>3178</v>
      </c>
      <c r="G636" s="4" t="s">
        <v>3178</v>
      </c>
      <c r="H636" s="3">
        <v>0</v>
      </c>
      <c r="I636" s="5">
        <v>709.904703</v>
      </c>
      <c r="J636" s="6" t="s">
        <v>3178</v>
      </c>
      <c r="K636" s="4">
        <v>-0</v>
      </c>
      <c r="L636" s="7">
        <v>1.010689086488828</v>
      </c>
      <c r="M636" s="3">
        <v>4.08</v>
      </c>
      <c r="N636" s="3">
        <v>2.4</v>
      </c>
    </row>
    <row r="637" spans="1:14">
      <c r="A637" s="8" t="s">
        <v>649</v>
      </c>
      <c r="B637" s="2">
        <f>HYPERLINK("https://www.suredividend.com/sure-analysis-research-database/","Conifer Holdings Inc")</f>
        <v>0</v>
      </c>
      <c r="C637" s="1" t="s">
        <v>3180</v>
      </c>
      <c r="D637" s="3">
        <v>1</v>
      </c>
      <c r="E637" s="4">
        <v>0</v>
      </c>
      <c r="F637" s="4" t="s">
        <v>3178</v>
      </c>
      <c r="G637" s="4" t="s">
        <v>3178</v>
      </c>
      <c r="H637" s="3">
        <v>0</v>
      </c>
      <c r="I637" s="5">
        <v>12.255883</v>
      </c>
      <c r="J637" s="6" t="s">
        <v>3178</v>
      </c>
      <c r="K637" s="4">
        <v>-0</v>
      </c>
      <c r="M637" s="3">
        <v>1.8</v>
      </c>
      <c r="N637" s="3">
        <v>0.65</v>
      </c>
    </row>
    <row r="638" spans="1:14">
      <c r="A638" s="8" t="s">
        <v>650</v>
      </c>
      <c r="B638" s="2">
        <f>HYPERLINK("https://www.suredividend.com/sure-analysis-research-database/","Cinemark Holdings Inc")</f>
        <v>0</v>
      </c>
      <c r="C638" s="1" t="s">
        <v>3187</v>
      </c>
      <c r="D638" s="3">
        <v>16.8</v>
      </c>
      <c r="E638" s="4">
        <v>0</v>
      </c>
      <c r="F638" s="4" t="s">
        <v>3178</v>
      </c>
      <c r="G638" s="4" t="s">
        <v>3178</v>
      </c>
      <c r="H638" s="3">
        <v>0</v>
      </c>
      <c r="I638" s="5">
        <v>2055.418932</v>
      </c>
      <c r="J638" s="6">
        <v>10.09537785854617</v>
      </c>
      <c r="K638" s="4">
        <v>0</v>
      </c>
      <c r="L638" s="7">
        <v>0.6135529945919971</v>
      </c>
      <c r="M638" s="3">
        <v>20.4</v>
      </c>
      <c r="N638" s="3">
        <v>13.19</v>
      </c>
    </row>
    <row r="639" spans="1:14">
      <c r="A639" s="8" t="s">
        <v>651</v>
      </c>
      <c r="B639" s="2">
        <f>HYPERLINK("https://www.suredividend.com/sure-analysis-research-database/","Conmed Corp.")</f>
        <v>0</v>
      </c>
      <c r="C639" s="1" t="s">
        <v>3176</v>
      </c>
      <c r="D639" s="3">
        <v>76.41</v>
      </c>
      <c r="E639" s="4">
        <v>0.010437596562514</v>
      </c>
      <c r="F639" s="4">
        <v>0</v>
      </c>
      <c r="G639" s="4">
        <v>0</v>
      </c>
      <c r="H639" s="3">
        <v>0.797536753341729</v>
      </c>
      <c r="I639" s="5">
        <v>2353.485078</v>
      </c>
      <c r="J639" s="6">
        <v>28.57940082174647</v>
      </c>
      <c r="K639" s="4">
        <v>0.3055696372956817</v>
      </c>
      <c r="L639" s="7">
        <v>0.847489683728554</v>
      </c>
      <c r="M639" s="3">
        <v>137.65</v>
      </c>
      <c r="N639" s="3">
        <v>61.05</v>
      </c>
    </row>
    <row r="640" spans="1:14">
      <c r="A640" s="8" t="s">
        <v>652</v>
      </c>
      <c r="B640" s="2">
        <f>HYPERLINK("https://www.suredividend.com/sure-analysis-research-database/","Cannae Holdings Inc")</f>
        <v>0</v>
      </c>
      <c r="C640" s="1" t="s">
        <v>3182</v>
      </c>
      <c r="D640" s="3">
        <v>17.34</v>
      </c>
      <c r="E640" s="4">
        <v>0</v>
      </c>
      <c r="F640" s="4" t="s">
        <v>3178</v>
      </c>
      <c r="G640" s="4" t="s">
        <v>3178</v>
      </c>
      <c r="H640" s="3">
        <v>0</v>
      </c>
      <c r="I640" s="5">
        <v>1088.474075</v>
      </c>
      <c r="J640" s="6" t="s">
        <v>3178</v>
      </c>
      <c r="K640" s="4">
        <v>-0</v>
      </c>
      <c r="L640" s="7">
        <v>1.429348329892818</v>
      </c>
      <c r="M640" s="3">
        <v>22.99</v>
      </c>
      <c r="N640" s="3">
        <v>15.93</v>
      </c>
    </row>
    <row r="641" spans="1:14">
      <c r="A641" s="8" t="s">
        <v>653</v>
      </c>
      <c r="B641" s="2">
        <f>HYPERLINK("https://www.suredividend.com/sure-analysis-research-database/","CNO Financial Group Inc")</f>
        <v>0</v>
      </c>
      <c r="C641" s="1" t="s">
        <v>3180</v>
      </c>
      <c r="D641" s="3">
        <v>27.61</v>
      </c>
      <c r="E641" s="4">
        <v>0.016207253435246</v>
      </c>
      <c r="F641" s="4" t="s">
        <v>3178</v>
      </c>
      <c r="G641" s="4" t="s">
        <v>3178</v>
      </c>
      <c r="H641" s="3">
        <v>0.4474822673471671</v>
      </c>
      <c r="I641" s="5">
        <v>2989.049323</v>
      </c>
      <c r="J641" s="6">
        <v>7.67209785174538</v>
      </c>
      <c r="K641" s="4">
        <v>0.1289574257484631</v>
      </c>
      <c r="L641" s="7">
        <v>0.8544122740383511</v>
      </c>
      <c r="M641" s="3">
        <v>29.09</v>
      </c>
      <c r="N641" s="3">
        <v>21.67</v>
      </c>
    </row>
    <row r="642" spans="1:14">
      <c r="A642" s="8" t="s">
        <v>654</v>
      </c>
      <c r="B642" s="2">
        <f>HYPERLINK("https://www.suredividend.com/sure-analysis-research-database/","ConnectOne Bancorp Inc.")</f>
        <v>0</v>
      </c>
      <c r="C642" s="1" t="s">
        <v>3180</v>
      </c>
      <c r="D642" s="3">
        <v>18.08</v>
      </c>
      <c r="E642" s="4">
        <v>0.037160934375319</v>
      </c>
      <c r="F642" s="4">
        <v>0.0588235294117645</v>
      </c>
      <c r="G642" s="4">
        <v>0.1486983549970351</v>
      </c>
      <c r="H642" s="3">
        <v>0.6718696935057721</v>
      </c>
      <c r="I642" s="5">
        <v>693.061598</v>
      </c>
      <c r="J642" s="6">
        <v>9.490224407290253</v>
      </c>
      <c r="K642" s="4">
        <v>0.3554866103205143</v>
      </c>
      <c r="L642" s="7">
        <v>1.469152787260858</v>
      </c>
      <c r="M642" s="3">
        <v>23.58</v>
      </c>
      <c r="N642" s="3">
        <v>13.73</v>
      </c>
    </row>
    <row r="643" spans="1:14">
      <c r="A643" s="8" t="s">
        <v>655</v>
      </c>
      <c r="B643" s="2">
        <f>HYPERLINK("https://www.suredividend.com/sure-analysis-CNP/","Centerpoint Energy Inc.")</f>
        <v>0</v>
      </c>
      <c r="C643" s="1" t="s">
        <v>3186</v>
      </c>
      <c r="D643" s="3">
        <v>30.17</v>
      </c>
      <c r="E643" s="4">
        <v>0.02651640702684786</v>
      </c>
      <c r="F643" s="4">
        <v>0.05263157894736836</v>
      </c>
      <c r="G643" s="4">
        <v>-0.07000967743947428</v>
      </c>
      <c r="H643" s="3">
        <v>0.7818466024452161</v>
      </c>
      <c r="I643" s="5">
        <v>19300.477394</v>
      </c>
      <c r="J643" s="6">
        <v>21.35008561317478</v>
      </c>
      <c r="K643" s="4">
        <v>0.5467458758358155</v>
      </c>
      <c r="L643" s="7">
        <v>0.491077152624564</v>
      </c>
      <c r="M643" s="3">
        <v>30.92</v>
      </c>
      <c r="N643" s="3">
        <v>24.88</v>
      </c>
    </row>
    <row r="644" spans="1:14">
      <c r="A644" s="8" t="s">
        <v>656</v>
      </c>
      <c r="B644" s="2">
        <f>HYPERLINK("https://www.suredividend.com/sure-analysis-research-database/","Cornerstone Building Brands Inc")</f>
        <v>0</v>
      </c>
      <c r="C644" s="1" t="s">
        <v>3179</v>
      </c>
      <c r="D644" s="3">
        <v>24.66</v>
      </c>
      <c r="E644" s="4">
        <v>0</v>
      </c>
      <c r="F644" s="4" t="s">
        <v>3178</v>
      </c>
      <c r="G644" s="4" t="s">
        <v>3178</v>
      </c>
      <c r="H644" s="3">
        <v>0</v>
      </c>
      <c r="I644" s="5">
        <v>3140.549665</v>
      </c>
      <c r="J644" s="6">
        <v>4.125652290268975</v>
      </c>
      <c r="K644" s="4">
        <v>0</v>
      </c>
      <c r="L644" s="7">
        <v>0.379026239325039</v>
      </c>
      <c r="M644" s="3">
        <v>24.66</v>
      </c>
      <c r="N644" s="3">
        <v>13.51</v>
      </c>
    </row>
    <row r="645" spans="1:14">
      <c r="A645" s="8" t="s">
        <v>657</v>
      </c>
      <c r="B645" s="2">
        <f>HYPERLINK("https://www.suredividend.com/sure-analysis-CNS/","Cohen &amp; Steers Inc.")</f>
        <v>0</v>
      </c>
      <c r="C645" s="1" t="s">
        <v>3180</v>
      </c>
      <c r="D645" s="3">
        <v>68.58</v>
      </c>
      <c r="E645" s="4">
        <v>0.03441236512102654</v>
      </c>
      <c r="F645" s="4">
        <v>0.0350877192982455</v>
      </c>
      <c r="G645" s="4">
        <v>0.08631926363477471</v>
      </c>
      <c r="H645" s="3">
        <v>2.291054180492964</v>
      </c>
      <c r="I645" s="5">
        <v>3466.060495</v>
      </c>
      <c r="J645" s="6">
        <v>27.13392538566921</v>
      </c>
      <c r="K645" s="4">
        <v>0.8914607706198303</v>
      </c>
      <c r="L645" s="7">
        <v>1.37387702150018</v>
      </c>
      <c r="M645" s="3">
        <v>77.33</v>
      </c>
      <c r="N645" s="3">
        <v>48.72</v>
      </c>
    </row>
    <row r="646" spans="1:14">
      <c r="A646" s="8" t="s">
        <v>658</v>
      </c>
      <c r="B646" s="2">
        <f>HYPERLINK("https://www.suredividend.com/sure-analysis-research-database/","Consolidated Communications Holdings Inc")</f>
        <v>0</v>
      </c>
      <c r="C646" s="1" t="s">
        <v>3187</v>
      </c>
      <c r="D646" s="3">
        <v>4.39</v>
      </c>
      <c r="E646" s="4">
        <v>0</v>
      </c>
      <c r="F646" s="4" t="s">
        <v>3178</v>
      </c>
      <c r="G646" s="4" t="s">
        <v>3178</v>
      </c>
      <c r="H646" s="3">
        <v>0</v>
      </c>
      <c r="I646" s="5">
        <v>519.906234</v>
      </c>
      <c r="J646" s="6" t="s">
        <v>3178</v>
      </c>
      <c r="K646" s="4">
        <v>-0</v>
      </c>
      <c r="L646" s="7">
        <v>0.5451907153251371</v>
      </c>
      <c r="M646" s="3">
        <v>4.65</v>
      </c>
      <c r="N646" s="3">
        <v>2.93</v>
      </c>
    </row>
    <row r="647" spans="1:14">
      <c r="A647" s="8" t="s">
        <v>659</v>
      </c>
      <c r="B647" s="2">
        <f>HYPERLINK("https://www.suredividend.com/sure-analysis-research-database/","Century Casinos Inc.")</f>
        <v>0</v>
      </c>
      <c r="C647" s="1" t="s">
        <v>3182</v>
      </c>
      <c r="D647" s="3">
        <v>2.59</v>
      </c>
      <c r="E647" s="4">
        <v>0</v>
      </c>
      <c r="F647" s="4" t="s">
        <v>3178</v>
      </c>
      <c r="G647" s="4" t="s">
        <v>3178</v>
      </c>
      <c r="H647" s="3">
        <v>0</v>
      </c>
      <c r="I647" s="5">
        <v>79.46794199999999</v>
      </c>
      <c r="J647" s="6" t="s">
        <v>3178</v>
      </c>
      <c r="K647" s="4">
        <v>-0</v>
      </c>
      <c r="L647" s="7">
        <v>1.544687926789494</v>
      </c>
      <c r="M647" s="3">
        <v>8.01</v>
      </c>
      <c r="N647" s="3">
        <v>2.46</v>
      </c>
    </row>
    <row r="648" spans="1:14">
      <c r="A648" s="8" t="s">
        <v>660</v>
      </c>
      <c r="B648" s="2">
        <f>HYPERLINK("https://www.suredividend.com/sure-analysis-research-database/","CNX Resources Corp")</f>
        <v>0</v>
      </c>
      <c r="C648" s="1" t="s">
        <v>3185</v>
      </c>
      <c r="D648" s="3">
        <v>25.38</v>
      </c>
      <c r="E648" s="4">
        <v>0</v>
      </c>
      <c r="F648" s="4" t="s">
        <v>3178</v>
      </c>
      <c r="G648" s="4" t="s">
        <v>3178</v>
      </c>
      <c r="H648" s="3">
        <v>0</v>
      </c>
      <c r="I648" s="5">
        <v>3889.36947</v>
      </c>
      <c r="J648" s="6">
        <v>3.823708743693297</v>
      </c>
      <c r="K648" s="4">
        <v>0</v>
      </c>
      <c r="L648" s="7">
        <v>0.628529970555448</v>
      </c>
      <c r="M648" s="3">
        <v>26.57</v>
      </c>
      <c r="N648" s="3">
        <v>16.5</v>
      </c>
    </row>
    <row r="649" spans="1:14">
      <c r="A649" s="8" t="s">
        <v>661</v>
      </c>
      <c r="B649" s="2">
        <f>HYPERLINK("https://www.suredividend.com/sure-analysis-research-database/","PC Connection, Inc.")</f>
        <v>0</v>
      </c>
      <c r="C649" s="1" t="s">
        <v>3181</v>
      </c>
      <c r="D649" s="3">
        <v>65.08</v>
      </c>
      <c r="E649" s="4">
        <v>0.005508812831782</v>
      </c>
      <c r="F649" s="4" t="s">
        <v>3178</v>
      </c>
      <c r="G649" s="4" t="s">
        <v>3178</v>
      </c>
      <c r="H649" s="3">
        <v>0.358513539092416</v>
      </c>
      <c r="I649" s="5">
        <v>1715.732089</v>
      </c>
      <c r="J649" s="6">
        <v>20.86579942695222</v>
      </c>
      <c r="K649" s="4">
        <v>0.1152776653030277</v>
      </c>
      <c r="L649" s="7">
        <v>0.9192188428104361</v>
      </c>
      <c r="M649" s="3">
        <v>70.13</v>
      </c>
      <c r="N649" s="3">
        <v>43.41</v>
      </c>
    </row>
    <row r="650" spans="1:14">
      <c r="A650" s="8" t="s">
        <v>662</v>
      </c>
      <c r="B650" s="2">
        <f>HYPERLINK("https://www.suredividend.com/sure-analysis-research-database/","Coda Octopus Group Inc.")</f>
        <v>0</v>
      </c>
      <c r="C650" s="1" t="s">
        <v>3179</v>
      </c>
      <c r="D650" s="3">
        <v>6.58</v>
      </c>
      <c r="E650" s="4">
        <v>0</v>
      </c>
      <c r="F650" s="4" t="s">
        <v>3178</v>
      </c>
      <c r="G650" s="4" t="s">
        <v>3178</v>
      </c>
      <c r="H650" s="3">
        <v>0</v>
      </c>
      <c r="I650" s="5">
        <v>73.516254</v>
      </c>
      <c r="J650" s="6">
        <v>31.20145920090995</v>
      </c>
      <c r="K650" s="4">
        <v>0</v>
      </c>
      <c r="L650" s="7">
        <v>0.417057895960409</v>
      </c>
      <c r="M650" s="3">
        <v>10.25</v>
      </c>
      <c r="N650" s="3">
        <v>5.21</v>
      </c>
    </row>
    <row r="651" spans="1:14">
      <c r="A651" s="8" t="s">
        <v>663</v>
      </c>
      <c r="B651" s="2">
        <f>HYPERLINK("https://www.suredividend.com/sure-analysis-research-database/","Capital One Financial Corp.")</f>
        <v>0</v>
      </c>
      <c r="C651" s="1" t="s">
        <v>3180</v>
      </c>
      <c r="D651" s="3">
        <v>139.8</v>
      </c>
      <c r="E651" s="4">
        <v>0.017050852731695</v>
      </c>
      <c r="F651" s="4">
        <v>0</v>
      </c>
      <c r="G651" s="4">
        <v>0.08447177119769855</v>
      </c>
      <c r="H651" s="3">
        <v>2.383709211890993</v>
      </c>
      <c r="I651" s="5">
        <v>53151.96</v>
      </c>
      <c r="J651" s="6">
        <v>10.85841879468846</v>
      </c>
      <c r="K651" s="4">
        <v>0.1866647777518397</v>
      </c>
      <c r="L651" s="7">
        <v>0.983984105996718</v>
      </c>
      <c r="M651" s="3">
        <v>149.3</v>
      </c>
      <c r="N651" s="3">
        <v>86.97</v>
      </c>
    </row>
    <row r="652" spans="1:14">
      <c r="A652" s="8" t="s">
        <v>664</v>
      </c>
      <c r="B652" s="2">
        <f>HYPERLINK("https://www.suredividend.com/sure-analysis-research-database/","Cabot Oil &amp; Gas Corp.")</f>
        <v>0</v>
      </c>
      <c r="C652" s="1" t="s">
        <v>3185</v>
      </c>
      <c r="D652" s="3">
        <v>22.25</v>
      </c>
      <c r="E652" s="4">
        <v>0.018702595578168</v>
      </c>
      <c r="F652" s="4" t="s">
        <v>3178</v>
      </c>
      <c r="G652" s="4" t="s">
        <v>3178</v>
      </c>
      <c r="H652" s="3">
        <v>0.41613275161424</v>
      </c>
      <c r="I652" s="5">
        <v>8892.528027</v>
      </c>
      <c r="J652" s="6">
        <v>32.56584754159297</v>
      </c>
      <c r="K652" s="4">
        <v>0.6114204402207465</v>
      </c>
      <c r="L652" s="7">
        <v>0.585574518545935</v>
      </c>
      <c r="M652" s="3">
        <v>23.1</v>
      </c>
      <c r="N652" s="3">
        <v>14.28</v>
      </c>
    </row>
    <row r="653" spans="1:14">
      <c r="A653" s="8" t="s">
        <v>665</v>
      </c>
      <c r="B653" s="2">
        <f>HYPERLINK("https://www.suredividend.com/sure-analysis-research-database/","Cohen &amp; Company Inc")</f>
        <v>0</v>
      </c>
      <c r="C653" s="1" t="s">
        <v>3180</v>
      </c>
      <c r="D653" s="3">
        <v>11.93</v>
      </c>
      <c r="E653" s="4">
        <v>0.07699856848573701</v>
      </c>
      <c r="F653" s="4" t="s">
        <v>3178</v>
      </c>
      <c r="G653" s="4" t="s">
        <v>3178</v>
      </c>
      <c r="H653" s="3">
        <v>0.9185929220348481</v>
      </c>
      <c r="I653" s="5">
        <v>22.987177</v>
      </c>
      <c r="J653" s="6" t="s">
        <v>3178</v>
      </c>
      <c r="K653" s="4" t="s">
        <v>3178</v>
      </c>
      <c r="M653" s="3">
        <v>12</v>
      </c>
      <c r="N653" s="3">
        <v>2.72</v>
      </c>
    </row>
    <row r="654" spans="1:14">
      <c r="A654" s="8" t="s">
        <v>666</v>
      </c>
      <c r="B654" s="2">
        <f>HYPERLINK("https://www.suredividend.com/sure-analysis-research-database/","Coherent Corp")</f>
        <v>0</v>
      </c>
      <c r="C654" s="1" t="s">
        <v>3181</v>
      </c>
      <c r="D654" s="3">
        <v>65.88</v>
      </c>
      <c r="E654" s="4">
        <v>0</v>
      </c>
      <c r="F654" s="4" t="s">
        <v>3178</v>
      </c>
      <c r="G654" s="4" t="s">
        <v>3178</v>
      </c>
      <c r="H654" s="3">
        <v>0</v>
      </c>
      <c r="I654" s="5">
        <v>10044.131536</v>
      </c>
      <c r="J654" s="6" t="s">
        <v>3178</v>
      </c>
      <c r="K654" s="4">
        <v>-0</v>
      </c>
      <c r="L654" s="7">
        <v>2.428713747514085</v>
      </c>
      <c r="M654" s="3">
        <v>70.33</v>
      </c>
      <c r="N654" s="3">
        <v>28.47</v>
      </c>
    </row>
    <row r="655" spans="1:14">
      <c r="A655" s="8" t="s">
        <v>667</v>
      </c>
      <c r="B655" s="2">
        <f>HYPERLINK("https://www.suredividend.com/sure-analysis-research-database/","Cohu, Inc.")</f>
        <v>0</v>
      </c>
      <c r="C655" s="1" t="s">
        <v>3181</v>
      </c>
      <c r="D655" s="3">
        <v>31.26</v>
      </c>
      <c r="E655" s="4">
        <v>0</v>
      </c>
      <c r="F655" s="4" t="s">
        <v>3178</v>
      </c>
      <c r="G655" s="4" t="s">
        <v>3178</v>
      </c>
      <c r="H655" s="3">
        <v>0</v>
      </c>
      <c r="I655" s="5">
        <v>1472.346</v>
      </c>
      <c r="J655" s="6" t="s">
        <v>3178</v>
      </c>
      <c r="K655" s="4">
        <v>-0</v>
      </c>
      <c r="L655" s="7">
        <v>1.623239532469117</v>
      </c>
      <c r="M655" s="3">
        <v>43.99</v>
      </c>
      <c r="N655" s="3">
        <v>28.57</v>
      </c>
    </row>
    <row r="656" spans="1:14">
      <c r="A656" s="8" t="s">
        <v>668</v>
      </c>
      <c r="B656" s="2">
        <f>HYPERLINK("https://www.suredividend.com/sure-analysis-research-database/","Coca-Cola Consolidated Inc")</f>
        <v>0</v>
      </c>
      <c r="C656" s="1" t="s">
        <v>3184</v>
      </c>
      <c r="D656" s="3">
        <v>1021.03</v>
      </c>
      <c r="E656" s="4">
        <v>0.001920730410929</v>
      </c>
      <c r="F656" s="4">
        <v>0</v>
      </c>
      <c r="G656" s="4">
        <v>0.1486983549970351</v>
      </c>
      <c r="H656" s="3">
        <v>1.961123371470867</v>
      </c>
      <c r="I656" s="5">
        <v>8544.992923</v>
      </c>
      <c r="J656" s="6">
        <v>18.73947161617934</v>
      </c>
      <c r="K656" s="4">
        <v>0.04038557190014141</v>
      </c>
      <c r="L656" s="7">
        <v>0.623410498412273</v>
      </c>
      <c r="M656" s="3">
        <v>1030</v>
      </c>
      <c r="N656" s="3">
        <v>590.05</v>
      </c>
    </row>
    <row r="657" spans="1:14">
      <c r="A657" s="8" t="s">
        <v>669</v>
      </c>
      <c r="B657" s="2">
        <f>HYPERLINK("https://www.suredividend.com/sure-analysis-COLB/","Columbia Banking System, Inc.")</f>
        <v>0</v>
      </c>
      <c r="C657" s="1" t="s">
        <v>3180</v>
      </c>
      <c r="D657" s="3">
        <v>18.93</v>
      </c>
      <c r="E657" s="4">
        <v>0.07606973058637084</v>
      </c>
      <c r="F657" s="4">
        <v>0</v>
      </c>
      <c r="G657" s="4">
        <v>0.05154749679728043</v>
      </c>
      <c r="H657" s="3">
        <v>1.363067693884228</v>
      </c>
      <c r="I657" s="5">
        <v>3963.530878</v>
      </c>
      <c r="J657" s="6">
        <v>8.141458936144428</v>
      </c>
      <c r="K657" s="4">
        <v>0.5850075939417287</v>
      </c>
      <c r="L657" s="7">
        <v>1.272746578426296</v>
      </c>
      <c r="M657" s="3">
        <v>26.04</v>
      </c>
      <c r="N657" s="3">
        <v>16.11</v>
      </c>
    </row>
    <row r="658" spans="1:14">
      <c r="A658" s="8" t="s">
        <v>670</v>
      </c>
      <c r="B658" s="2">
        <f>HYPERLINK("https://www.suredividend.com/sure-analysis-COLD/","Americold Realty Trust Inc")</f>
        <v>0</v>
      </c>
      <c r="C658" s="1" t="s">
        <v>3183</v>
      </c>
      <c r="D658" s="3">
        <v>26.6</v>
      </c>
      <c r="E658" s="4">
        <v>0.03308270676691729</v>
      </c>
      <c r="F658" s="4">
        <v>0</v>
      </c>
      <c r="G658" s="4">
        <v>0.01924487649145656</v>
      </c>
      <c r="H658" s="3">
        <v>0.8693947715526831</v>
      </c>
      <c r="I658" s="5">
        <v>7555.47182</v>
      </c>
      <c r="J658" s="6" t="s">
        <v>3178</v>
      </c>
      <c r="K658" s="4" t="s">
        <v>3178</v>
      </c>
      <c r="L658" s="7">
        <v>1.099651924394026</v>
      </c>
      <c r="M658" s="3">
        <v>33.11</v>
      </c>
      <c r="N658" s="3">
        <v>21.87</v>
      </c>
    </row>
    <row r="659" spans="1:14">
      <c r="A659" s="8" t="s">
        <v>671</v>
      </c>
      <c r="B659" s="2">
        <f>HYPERLINK("https://www.suredividend.com/sure-analysis-research-database/","Collegium Pharmaceutical Inc")</f>
        <v>0</v>
      </c>
      <c r="C659" s="1" t="s">
        <v>3176</v>
      </c>
      <c r="D659" s="3">
        <v>33.19</v>
      </c>
      <c r="E659" s="4">
        <v>0</v>
      </c>
      <c r="F659" s="4" t="s">
        <v>3178</v>
      </c>
      <c r="G659" s="4" t="s">
        <v>3178</v>
      </c>
      <c r="H659" s="3">
        <v>0</v>
      </c>
      <c r="I659" s="5">
        <v>1085.821537</v>
      </c>
      <c r="J659" s="6">
        <v>11.63870706776427</v>
      </c>
      <c r="K659" s="4">
        <v>0</v>
      </c>
      <c r="L659" s="7">
        <v>0.636253931975705</v>
      </c>
      <c r="M659" s="3">
        <v>40.95</v>
      </c>
      <c r="N659" s="3">
        <v>20.83</v>
      </c>
    </row>
    <row r="660" spans="1:14">
      <c r="A660" s="8" t="s">
        <v>672</v>
      </c>
      <c r="B660" s="2">
        <f>HYPERLINK("https://www.suredividend.com/sure-analysis-research-database/","Columbia Sportswear Co.")</f>
        <v>0</v>
      </c>
      <c r="C660" s="1" t="s">
        <v>3182</v>
      </c>
      <c r="D660" s="3">
        <v>82.83</v>
      </c>
      <c r="E660" s="4">
        <v>0.014329586533218</v>
      </c>
      <c r="F660" s="4" t="s">
        <v>3178</v>
      </c>
      <c r="G660" s="4" t="s">
        <v>3178</v>
      </c>
      <c r="H660" s="3">
        <v>1.18691965254652</v>
      </c>
      <c r="I660" s="5">
        <v>4897.243405</v>
      </c>
      <c r="J660" s="6">
        <v>19.78700193496513</v>
      </c>
      <c r="K660" s="4">
        <v>0.2916264502571302</v>
      </c>
      <c r="L660" s="7">
        <v>0.7691417845090741</v>
      </c>
      <c r="M660" s="3">
        <v>87.23</v>
      </c>
      <c r="N660" s="3">
        <v>64.55</v>
      </c>
    </row>
    <row r="661" spans="1:14">
      <c r="A661" s="8" t="s">
        <v>673</v>
      </c>
      <c r="B661" s="2">
        <f>HYPERLINK("https://www.suredividend.com/sure-analysis-research-database/","CommScope Holding Company Inc")</f>
        <v>0</v>
      </c>
      <c r="C661" s="1" t="s">
        <v>3181</v>
      </c>
      <c r="D661" s="3">
        <v>1.62</v>
      </c>
      <c r="E661" s="4">
        <v>0</v>
      </c>
      <c r="F661" s="4" t="s">
        <v>3178</v>
      </c>
      <c r="G661" s="4" t="s">
        <v>3178</v>
      </c>
      <c r="H661" s="3">
        <v>0</v>
      </c>
      <c r="I661" s="5">
        <v>343.888186</v>
      </c>
      <c r="J661" s="6" t="s">
        <v>3178</v>
      </c>
      <c r="K661" s="4">
        <v>-0</v>
      </c>
      <c r="L661" s="7">
        <v>2.03893649207117</v>
      </c>
      <c r="M661" s="3">
        <v>6.65</v>
      </c>
      <c r="N661" s="3">
        <v>0.86</v>
      </c>
    </row>
    <row r="662" spans="1:14">
      <c r="A662" s="8" t="s">
        <v>674</v>
      </c>
      <c r="B662" s="2">
        <f>HYPERLINK("https://www.suredividend.com/sure-analysis-research-database/","CyrusOne Inc")</f>
        <v>0</v>
      </c>
      <c r="C662" s="1" t="s">
        <v>3183</v>
      </c>
      <c r="D662" s="3">
        <v>89.84</v>
      </c>
      <c r="E662" s="4">
        <v>0</v>
      </c>
      <c r="F662" s="4" t="s">
        <v>3178</v>
      </c>
      <c r="G662" s="4" t="s">
        <v>3178</v>
      </c>
      <c r="H662" s="3">
        <v>1.549999952316284</v>
      </c>
      <c r="I662" s="5">
        <v>0</v>
      </c>
      <c r="J662" s="6">
        <v>0</v>
      </c>
      <c r="K662" s="4">
        <v>7.711442548837234</v>
      </c>
    </row>
    <row r="663" spans="1:14">
      <c r="A663" s="8" t="s">
        <v>675</v>
      </c>
      <c r="B663" s="2">
        <f>HYPERLINK("https://www.suredividend.com/sure-analysis-research-database/","Conns Inc")</f>
        <v>0</v>
      </c>
      <c r="C663" s="1" t="s">
        <v>3182</v>
      </c>
      <c r="D663" s="3">
        <v>3.08</v>
      </c>
      <c r="E663" s="4">
        <v>0</v>
      </c>
      <c r="F663" s="4" t="s">
        <v>3178</v>
      </c>
      <c r="G663" s="4" t="s">
        <v>3178</v>
      </c>
      <c r="H663" s="3">
        <v>0</v>
      </c>
      <c r="I663" s="5">
        <v>76.648803</v>
      </c>
      <c r="J663" s="6" t="s">
        <v>3178</v>
      </c>
      <c r="K663" s="4">
        <v>-0</v>
      </c>
      <c r="L663" s="7">
        <v>1.685977568900695</v>
      </c>
      <c r="M663" s="3">
        <v>5.26</v>
      </c>
      <c r="N663" s="3">
        <v>2.55</v>
      </c>
    </row>
    <row r="664" spans="1:14">
      <c r="A664" s="8" t="s">
        <v>676</v>
      </c>
      <c r="B664" s="2">
        <f>HYPERLINK("https://www.suredividend.com/sure-analysis-research-database/","Cooper Companies, Inc.")</f>
        <v>0</v>
      </c>
      <c r="C664" s="1" t="s">
        <v>3176</v>
      </c>
      <c r="D664" s="3">
        <v>94.38</v>
      </c>
      <c r="E664" s="4">
        <v>7.946598678000001E-05</v>
      </c>
      <c r="F664" s="4" t="s">
        <v>3178</v>
      </c>
      <c r="G664" s="4" t="s">
        <v>3178</v>
      </c>
      <c r="H664" s="3">
        <v>0.007499999832361001</v>
      </c>
      <c r="I664" s="5">
        <v>18792.934274</v>
      </c>
      <c r="J664" s="6">
        <v>55.28959774757281</v>
      </c>
      <c r="K664" s="4">
        <v>0.004411764607271176</v>
      </c>
      <c r="L664" s="7">
        <v>1.04088424558816</v>
      </c>
      <c r="M664" s="3">
        <v>104.07</v>
      </c>
      <c r="N664" s="3">
        <v>75.94</v>
      </c>
    </row>
    <row r="665" spans="1:14">
      <c r="A665" s="8" t="s">
        <v>677</v>
      </c>
      <c r="B665" s="2">
        <f>HYPERLINK("https://www.suredividend.com/sure-analysis-research-database/","Mr. Cooper Group Inc")</f>
        <v>0</v>
      </c>
      <c r="C665" s="1" t="s">
        <v>3180</v>
      </c>
      <c r="D665" s="3">
        <v>81.81</v>
      </c>
      <c r="E665" s="4">
        <v>0</v>
      </c>
      <c r="F665" s="4" t="s">
        <v>3178</v>
      </c>
      <c r="G665" s="4" t="s">
        <v>3178</v>
      </c>
      <c r="H665" s="3">
        <v>0</v>
      </c>
      <c r="I665" s="5">
        <v>5294.821983</v>
      </c>
      <c r="J665" s="6">
        <v>8.221773265574534</v>
      </c>
      <c r="K665" s="4">
        <v>0</v>
      </c>
      <c r="L665" s="7">
        <v>0.8112412124359151</v>
      </c>
      <c r="M665" s="3">
        <v>85.17</v>
      </c>
      <c r="N665" s="3">
        <v>47.81</v>
      </c>
    </row>
    <row r="666" spans="1:14">
      <c r="A666" s="8" t="s">
        <v>678</v>
      </c>
      <c r="B666" s="2">
        <f>HYPERLINK("https://www.suredividend.com/sure-analysis-COP/","Conoco Phillips")</f>
        <v>0</v>
      </c>
      <c r="C666" s="1" t="s">
        <v>3185</v>
      </c>
      <c r="D666" s="3">
        <v>112</v>
      </c>
      <c r="E666" s="4">
        <v>0.02071428571428571</v>
      </c>
      <c r="F666" s="4">
        <v>0.2999999999999998</v>
      </c>
      <c r="G666" s="4">
        <v>0.3128433885382442</v>
      </c>
      <c r="H666" s="3">
        <v>3.624584002457605</v>
      </c>
      <c r="I666" s="5">
        <v>130987.805312</v>
      </c>
      <c r="J666" s="6">
        <v>12.42297091350531</v>
      </c>
      <c r="K666" s="4">
        <v>0.4109505671720641</v>
      </c>
      <c r="L666" s="7">
        <v>0.449142094961141</v>
      </c>
      <c r="M666" s="3">
        <v>134.96</v>
      </c>
      <c r="N666" s="3">
        <v>97.29000000000001</v>
      </c>
    </row>
    <row r="667" spans="1:14">
      <c r="A667" s="8" t="s">
        <v>679</v>
      </c>
      <c r="B667" s="2">
        <f>HYPERLINK("https://www.suredividend.com/sure-analysis-COR/","Cencora Inc.")</f>
        <v>0</v>
      </c>
      <c r="C667" s="1" t="s">
        <v>3183</v>
      </c>
      <c r="D667" s="3">
        <v>235.47</v>
      </c>
      <c r="E667" s="4">
        <v>0.008663524015798191</v>
      </c>
      <c r="F667" s="4" t="s">
        <v>3178</v>
      </c>
      <c r="G667" s="4" t="s">
        <v>3178</v>
      </c>
      <c r="H667" s="3">
        <v>2.011586967763959</v>
      </c>
      <c r="I667" s="5">
        <v>46964.913227</v>
      </c>
      <c r="J667" s="6">
        <v>25.35326107119818</v>
      </c>
      <c r="K667" s="4">
        <v>0.2200861015059036</v>
      </c>
      <c r="L667" s="7">
        <v>0.020223713339018</v>
      </c>
      <c r="M667" s="3">
        <v>246.19</v>
      </c>
      <c r="N667" s="3">
        <v>170.45</v>
      </c>
    </row>
    <row r="668" spans="1:14">
      <c r="A668" s="8" t="s">
        <v>680</v>
      </c>
      <c r="B668" s="2">
        <f>HYPERLINK("https://www.suredividend.com/sure-analysis-research-database/","Core-Mark Hldg Co Inc")</f>
        <v>0</v>
      </c>
      <c r="C668" s="1" t="s">
        <v>3184</v>
      </c>
      <c r="D668" s="3">
        <v>45.65</v>
      </c>
      <c r="E668" s="4">
        <v>0</v>
      </c>
      <c r="F668" s="4" t="s">
        <v>3178</v>
      </c>
      <c r="G668" s="4" t="s">
        <v>3178</v>
      </c>
      <c r="H668" s="3">
        <v>0.5176683630585011</v>
      </c>
      <c r="I668" s="5">
        <v>0</v>
      </c>
      <c r="J668" s="6">
        <v>0</v>
      </c>
      <c r="K668" s="4">
        <v>0.3570126641782766</v>
      </c>
    </row>
    <row r="669" spans="1:14">
      <c r="A669" s="8" t="s">
        <v>681</v>
      </c>
      <c r="B669" s="2">
        <f>HYPERLINK("https://www.suredividend.com/sure-analysis-research-database/","CorEnergy Infrastructure Trust Inc")</f>
        <v>0</v>
      </c>
      <c r="C669" s="1" t="s">
        <v>3183</v>
      </c>
      <c r="D669" s="3">
        <v>1.14</v>
      </c>
      <c r="E669" s="4">
        <v>0</v>
      </c>
      <c r="F669" s="4" t="s">
        <v>3178</v>
      </c>
      <c r="G669" s="4" t="s">
        <v>3178</v>
      </c>
      <c r="H669" s="3">
        <v>0</v>
      </c>
      <c r="I669" s="5">
        <v>0.304006</v>
      </c>
      <c r="J669" s="6">
        <v>0</v>
      </c>
      <c r="K669" s="4" t="s">
        <v>3178</v>
      </c>
      <c r="M669" s="3">
        <v>0.4973</v>
      </c>
      <c r="N669" s="3">
        <v>0.0153</v>
      </c>
    </row>
    <row r="670" spans="1:14">
      <c r="A670" s="8" t="s">
        <v>682</v>
      </c>
      <c r="B670" s="2">
        <f>HYPERLINK("https://www.suredividend.com/sure-analysis-research-database/","Corcept Therapeutics Inc")</f>
        <v>0</v>
      </c>
      <c r="C670" s="1" t="s">
        <v>3176</v>
      </c>
      <c r="D670" s="3">
        <v>33.31</v>
      </c>
      <c r="E670" s="4">
        <v>0</v>
      </c>
      <c r="F670" s="4" t="s">
        <v>3178</v>
      </c>
      <c r="G670" s="4" t="s">
        <v>3178</v>
      </c>
      <c r="H670" s="3">
        <v>0</v>
      </c>
      <c r="I670" s="5">
        <v>3467.9041</v>
      </c>
      <c r="J670" s="6">
        <v>29.38329054506325</v>
      </c>
      <c r="K670" s="4">
        <v>0</v>
      </c>
      <c r="L670" s="7">
        <v>1.211312945021074</v>
      </c>
      <c r="M670" s="3">
        <v>35.22</v>
      </c>
      <c r="N670" s="3">
        <v>20.84</v>
      </c>
    </row>
    <row r="671" spans="1:14">
      <c r="A671" s="8" t="s">
        <v>683</v>
      </c>
      <c r="B671" s="2">
        <f>HYPERLINK("https://www.suredividend.com/sure-analysis-COST/","Costco Wholesale Corp")</f>
        <v>0</v>
      </c>
      <c r="C671" s="1" t="s">
        <v>3184</v>
      </c>
      <c r="D671" s="3">
        <v>845.58</v>
      </c>
      <c r="E671" s="4">
        <v>0.005487357789919344</v>
      </c>
      <c r="F671" s="4">
        <v>0.1372549019607843</v>
      </c>
      <c r="G671" s="4">
        <v>0.1228168631640354</v>
      </c>
      <c r="H671" s="3">
        <v>4.111530595197992</v>
      </c>
      <c r="I671" s="5">
        <v>374875.229594</v>
      </c>
      <c r="J671" s="6">
        <v>55.177396172199</v>
      </c>
      <c r="K671" s="4">
        <v>0.2690792274344236</v>
      </c>
      <c r="L671" s="7">
        <v>0.7860930267133801</v>
      </c>
      <c r="M671" s="3">
        <v>850.38</v>
      </c>
      <c r="N671" s="3">
        <v>486.65</v>
      </c>
    </row>
    <row r="672" spans="1:14">
      <c r="A672" s="8" t="s">
        <v>684</v>
      </c>
      <c r="B672" s="2">
        <f>HYPERLINK("https://www.suredividend.com/sure-analysis-research-database/","Coty Inc")</f>
        <v>0</v>
      </c>
      <c r="C672" s="1" t="s">
        <v>3184</v>
      </c>
      <c r="D672" s="3">
        <v>10.02</v>
      </c>
      <c r="E672" s="4">
        <v>0</v>
      </c>
      <c r="F672" s="4" t="s">
        <v>3178</v>
      </c>
      <c r="G672" s="4" t="s">
        <v>3178</v>
      </c>
      <c r="H672" s="3">
        <v>0</v>
      </c>
      <c r="I672" s="5">
        <v>8695.74661</v>
      </c>
      <c r="J672" s="6">
        <v>42.21236218281553</v>
      </c>
      <c r="K672" s="4">
        <v>0</v>
      </c>
      <c r="L672" s="7">
        <v>1.168940812305566</v>
      </c>
      <c r="M672" s="3">
        <v>13.46</v>
      </c>
      <c r="N672" s="3">
        <v>9.02</v>
      </c>
    </row>
    <row r="673" spans="1:14">
      <c r="A673" s="8" t="s">
        <v>685</v>
      </c>
      <c r="B673" s="2">
        <f>HYPERLINK("https://www.suredividend.com/sure-analysis-research-database/","Coupa Software Inc")</f>
        <v>0</v>
      </c>
      <c r="C673" s="1" t="s">
        <v>3181</v>
      </c>
      <c r="D673" s="3">
        <v>80.97</v>
      </c>
      <c r="E673" s="4">
        <v>0</v>
      </c>
      <c r="F673" s="4" t="s">
        <v>3178</v>
      </c>
      <c r="G673" s="4" t="s">
        <v>3178</v>
      </c>
      <c r="H673" s="3">
        <v>0</v>
      </c>
      <c r="I673" s="5">
        <v>0</v>
      </c>
      <c r="J673" s="6">
        <v>0</v>
      </c>
      <c r="K673" s="4">
        <v>-0</v>
      </c>
    </row>
    <row r="674" spans="1:14">
      <c r="A674" s="8" t="s">
        <v>686</v>
      </c>
      <c r="B674" s="2">
        <f>HYPERLINK("https://www.suredividend.com/sure-analysis-research-database/","Cowen Inc")</f>
        <v>0</v>
      </c>
      <c r="C674" s="1" t="s">
        <v>3180</v>
      </c>
      <c r="D674" s="3">
        <v>38.99</v>
      </c>
      <c r="E674" s="4">
        <v>0</v>
      </c>
      <c r="F674" s="4" t="s">
        <v>3178</v>
      </c>
      <c r="G674" s="4" t="s">
        <v>3178</v>
      </c>
      <c r="H674" s="3">
        <v>0.4799999892711641</v>
      </c>
      <c r="I674" s="5">
        <v>0</v>
      </c>
      <c r="J674" s="6">
        <v>0</v>
      </c>
      <c r="K674" s="4">
        <v>0.2171945652810697</v>
      </c>
    </row>
    <row r="675" spans="1:14">
      <c r="A675" s="8" t="s">
        <v>687</v>
      </c>
      <c r="B675" s="2">
        <f>HYPERLINK("https://www.suredividend.com/sure-analysis-CPB/","Campbell Soup Co.")</f>
        <v>0</v>
      </c>
      <c r="C675" s="1" t="s">
        <v>3184</v>
      </c>
      <c r="D675" s="3">
        <v>42.86</v>
      </c>
      <c r="E675" s="4">
        <v>0.03453103126458236</v>
      </c>
      <c r="F675" s="4">
        <v>0</v>
      </c>
      <c r="G675" s="4">
        <v>0.0111759598354646</v>
      </c>
      <c r="H675" s="3">
        <v>1.46130888249787</v>
      </c>
      <c r="I675" s="5">
        <v>12796.019511</v>
      </c>
      <c r="J675" s="6">
        <v>17.31531733572395</v>
      </c>
      <c r="K675" s="4">
        <v>0.5916230293513643</v>
      </c>
      <c r="L675" s="7">
        <v>-0.04287422265436101</v>
      </c>
      <c r="M675" s="3">
        <v>46.97</v>
      </c>
      <c r="N675" s="3">
        <v>37.31</v>
      </c>
    </row>
    <row r="676" spans="1:14">
      <c r="A676" s="8" t="s">
        <v>688</v>
      </c>
      <c r="B676" s="2">
        <f>HYPERLINK("https://www.suredividend.com/sure-analysis-research-database/","Callon Petroleum Co.")</f>
        <v>0</v>
      </c>
      <c r="C676" s="1" t="s">
        <v>3185</v>
      </c>
      <c r="D676" s="3">
        <v>35.76</v>
      </c>
      <c r="E676" s="4">
        <v>0</v>
      </c>
      <c r="F676" s="4" t="s">
        <v>3178</v>
      </c>
      <c r="G676" s="4" t="s">
        <v>3178</v>
      </c>
      <c r="H676" s="3">
        <v>0</v>
      </c>
      <c r="I676" s="5">
        <v>2378.335986</v>
      </c>
      <c r="J676" s="6">
        <v>5.928041020635542</v>
      </c>
      <c r="K676" s="4">
        <v>0</v>
      </c>
      <c r="L676" s="7">
        <v>0.8826341477343661</v>
      </c>
      <c r="M676" s="3">
        <v>41.36</v>
      </c>
      <c r="N676" s="3">
        <v>28.62</v>
      </c>
    </row>
    <row r="677" spans="1:14">
      <c r="A677" s="8" t="s">
        <v>689</v>
      </c>
      <c r="B677" s="2">
        <f>HYPERLINK("https://www.suredividend.com/sure-analysis-research-database/","Central Pacific Financial Corp.")</f>
        <v>0</v>
      </c>
      <c r="C677" s="1" t="s">
        <v>3180</v>
      </c>
      <c r="D677" s="3">
        <v>20.33</v>
      </c>
      <c r="E677" s="4">
        <v>0.04994622030218501</v>
      </c>
      <c r="F677" s="4">
        <v>0</v>
      </c>
      <c r="G677" s="4">
        <v>0.02482356331085978</v>
      </c>
      <c r="H677" s="3">
        <v>1.015406658743427</v>
      </c>
      <c r="I677" s="5">
        <v>549.770488</v>
      </c>
      <c r="J677" s="6">
        <v>9.918820928067548</v>
      </c>
      <c r="K677" s="4">
        <v>0.4953203213382571</v>
      </c>
      <c r="L677" s="7">
        <v>0.88559218052067</v>
      </c>
      <c r="M677" s="3">
        <v>21.42</v>
      </c>
      <c r="N677" s="3">
        <v>13.88</v>
      </c>
    </row>
    <row r="678" spans="1:14">
      <c r="A678" s="8" t="s">
        <v>690</v>
      </c>
      <c r="B678" s="2">
        <f>HYPERLINK("https://www.suredividend.com/sure-analysis-research-database/","Canterbury Park Holding Corp")</f>
        <v>0</v>
      </c>
      <c r="C678" s="1" t="s">
        <v>3182</v>
      </c>
      <c r="D678" s="3">
        <v>21.67</v>
      </c>
      <c r="E678" s="4">
        <v>0.009297348876615001</v>
      </c>
      <c r="F678" s="4" t="s">
        <v>3178</v>
      </c>
      <c r="G678" s="4" t="s">
        <v>3178</v>
      </c>
      <c r="H678" s="3">
        <v>0.207795747392351</v>
      </c>
      <c r="I678" s="5">
        <v>111.36491</v>
      </c>
      <c r="J678" s="6">
        <v>10.54267579037472</v>
      </c>
      <c r="K678" s="4">
        <v>0.09755668891659673</v>
      </c>
      <c r="M678" s="3">
        <v>30.07</v>
      </c>
      <c r="N678" s="3">
        <v>14.09</v>
      </c>
    </row>
    <row r="679" spans="1:14">
      <c r="A679" s="8" t="s">
        <v>691</v>
      </c>
      <c r="B679" s="2">
        <f>HYPERLINK("https://www.suredividend.com/sure-analysis-research-database/","Cumberland Pharmaceuticals Inc.")</f>
        <v>0</v>
      </c>
      <c r="C679" s="1" t="s">
        <v>3176</v>
      </c>
      <c r="D679" s="3">
        <v>1.39</v>
      </c>
      <c r="E679" s="4">
        <v>0</v>
      </c>
      <c r="F679" s="4" t="s">
        <v>3178</v>
      </c>
      <c r="G679" s="4" t="s">
        <v>3178</v>
      </c>
      <c r="H679" s="3">
        <v>0</v>
      </c>
      <c r="I679" s="5">
        <v>19.725808</v>
      </c>
      <c r="J679" s="6" t="s">
        <v>3178</v>
      </c>
      <c r="K679" s="4">
        <v>-0</v>
      </c>
      <c r="M679" s="3">
        <v>2.36</v>
      </c>
      <c r="N679" s="3">
        <v>1.39</v>
      </c>
    </row>
    <row r="680" spans="1:14">
      <c r="A680" s="8" t="s">
        <v>692</v>
      </c>
      <c r="B680" s="2">
        <f>HYPERLINK("https://www.suredividend.com/sure-analysis-CPK/","Chesapeake Utilities Corp")</f>
        <v>0</v>
      </c>
      <c r="C680" s="1" t="s">
        <v>3186</v>
      </c>
      <c r="D680" s="3">
        <v>108.09</v>
      </c>
      <c r="E680" s="4">
        <v>0.0236839670644833</v>
      </c>
      <c r="F680" s="4">
        <v>0.1028037383177569</v>
      </c>
      <c r="G680" s="4">
        <v>0.07815052245448206</v>
      </c>
      <c r="H680" s="3">
        <v>2.340355340457867</v>
      </c>
      <c r="I680" s="5">
        <v>2407.183432</v>
      </c>
      <c r="J680" s="6">
        <v>24.80711727534111</v>
      </c>
      <c r="K680" s="4">
        <v>0.4718458347697312</v>
      </c>
      <c r="L680" s="7">
        <v>0.675018330128997</v>
      </c>
      <c r="M680" s="3">
        <v>128.43</v>
      </c>
      <c r="N680" s="3">
        <v>82.86</v>
      </c>
    </row>
    <row r="681" spans="1:14">
      <c r="A681" s="8" t="s">
        <v>693</v>
      </c>
      <c r="B681" s="2">
        <f>HYPERLINK("https://www.suredividend.com/sure-analysis-research-database/","CorePoint Lodging Inc")</f>
        <v>0</v>
      </c>
      <c r="C681" s="1" t="s">
        <v>3183</v>
      </c>
      <c r="D681" s="3">
        <v>15.98</v>
      </c>
      <c r="E681" s="4">
        <v>0</v>
      </c>
      <c r="F681" s="4" t="s">
        <v>3178</v>
      </c>
      <c r="G681" s="4" t="s">
        <v>3178</v>
      </c>
      <c r="H681" s="3">
        <v>0</v>
      </c>
      <c r="I681" s="5">
        <v>932.783205</v>
      </c>
      <c r="J681" s="6">
        <v>0</v>
      </c>
      <c r="K681" s="4" t="s">
        <v>3178</v>
      </c>
      <c r="L681" s="7">
        <v>0.636231069279927</v>
      </c>
      <c r="M681" s="3">
        <v>18.15</v>
      </c>
      <c r="N681" s="3">
        <v>8.300000000000001</v>
      </c>
    </row>
    <row r="682" spans="1:14">
      <c r="A682" s="8" t="s">
        <v>694</v>
      </c>
      <c r="B682" s="2">
        <f>HYPERLINK("https://www.suredividend.com/sure-analysis-research-database/","Capri Holdings Ltd")</f>
        <v>0</v>
      </c>
      <c r="C682" s="1" t="s">
        <v>3182</v>
      </c>
      <c r="D682" s="3">
        <v>33.9</v>
      </c>
      <c r="E682" s="4">
        <v>0</v>
      </c>
      <c r="F682" s="4" t="s">
        <v>3178</v>
      </c>
      <c r="G682" s="4" t="s">
        <v>3178</v>
      </c>
      <c r="H682" s="3">
        <v>0</v>
      </c>
      <c r="I682" s="5">
        <v>3954.408626</v>
      </c>
      <c r="J682" s="6" t="s">
        <v>3178</v>
      </c>
      <c r="K682" s="4">
        <v>-0</v>
      </c>
      <c r="L682" s="7">
        <v>0.347499866513175</v>
      </c>
      <c r="M682" s="3">
        <v>54.52</v>
      </c>
      <c r="N682" s="3">
        <v>32.95</v>
      </c>
    </row>
    <row r="683" spans="1:14">
      <c r="A683" s="8" t="s">
        <v>695</v>
      </c>
      <c r="B683" s="2">
        <f>HYPERLINK("https://www.suredividend.com/sure-analysis-research-database/","Copart, Inc.")</f>
        <v>0</v>
      </c>
      <c r="C683" s="1" t="s">
        <v>3179</v>
      </c>
      <c r="D683" s="3">
        <v>53.76</v>
      </c>
      <c r="E683" s="4">
        <v>0</v>
      </c>
      <c r="F683" s="4" t="s">
        <v>3178</v>
      </c>
      <c r="G683" s="4" t="s">
        <v>3178</v>
      </c>
      <c r="H683" s="3">
        <v>0</v>
      </c>
      <c r="I683" s="5">
        <v>51733.119137</v>
      </c>
      <c r="J683" s="6">
        <v>37.26530979362328</v>
      </c>
      <c r="K683" s="4">
        <v>0</v>
      </c>
      <c r="L683" s="7">
        <v>1.189578136745581</v>
      </c>
      <c r="M683" s="3">
        <v>58.58</v>
      </c>
      <c r="N683" s="3">
        <v>42.41</v>
      </c>
    </row>
    <row r="684" spans="1:14">
      <c r="A684" s="8" t="s">
        <v>696</v>
      </c>
      <c r="B684" s="2">
        <f>HYPERLINK("https://www.suredividend.com/sure-analysis-research-database/","Catalyst Pharmaceuticals Inc")</f>
        <v>0</v>
      </c>
      <c r="C684" s="1" t="s">
        <v>3176</v>
      </c>
      <c r="D684" s="3">
        <v>15.62</v>
      </c>
      <c r="E684" s="4">
        <v>0</v>
      </c>
      <c r="F684" s="4" t="s">
        <v>3178</v>
      </c>
      <c r="G684" s="4" t="s">
        <v>3178</v>
      </c>
      <c r="H684" s="3">
        <v>0</v>
      </c>
      <c r="I684" s="5">
        <v>1844.957534</v>
      </c>
      <c r="J684" s="6">
        <v>28.33296272831979</v>
      </c>
      <c r="K684" s="4">
        <v>0</v>
      </c>
      <c r="L684" s="7">
        <v>1.255385815599828</v>
      </c>
      <c r="M684" s="3">
        <v>17.5</v>
      </c>
      <c r="N684" s="3">
        <v>11.49</v>
      </c>
    </row>
    <row r="685" spans="1:14">
      <c r="A685" s="8" t="s">
        <v>697</v>
      </c>
      <c r="B685" s="2">
        <f>HYPERLINK("https://www.suredividend.com/sure-analysis-research-database/","Cooper-Standard Holdings Inc")</f>
        <v>0</v>
      </c>
      <c r="C685" s="1" t="s">
        <v>3182</v>
      </c>
      <c r="D685" s="3">
        <v>12.58</v>
      </c>
      <c r="E685" s="4">
        <v>0</v>
      </c>
      <c r="F685" s="4" t="s">
        <v>3178</v>
      </c>
      <c r="G685" s="4" t="s">
        <v>3178</v>
      </c>
      <c r="H685" s="3">
        <v>0</v>
      </c>
      <c r="I685" s="5">
        <v>217.510024</v>
      </c>
      <c r="J685" s="6">
        <v>0</v>
      </c>
      <c r="K685" s="4" t="s">
        <v>3178</v>
      </c>
      <c r="L685" s="7">
        <v>2.527985184572951</v>
      </c>
      <c r="M685" s="3">
        <v>22.74</v>
      </c>
      <c r="N685" s="3">
        <v>11.24</v>
      </c>
    </row>
    <row r="686" spans="1:14">
      <c r="A686" s="8" t="s">
        <v>698</v>
      </c>
      <c r="B686" s="2">
        <f>HYPERLINK("https://www.suredividend.com/sure-analysis-research-database/","CPS Technologies Corporation")</f>
        <v>0</v>
      </c>
      <c r="C686" s="1" t="s">
        <v>3181</v>
      </c>
      <c r="D686" s="3">
        <v>1.715</v>
      </c>
      <c r="E686" s="4">
        <v>0</v>
      </c>
      <c r="F686" s="4" t="s">
        <v>3178</v>
      </c>
      <c r="G686" s="4" t="s">
        <v>3178</v>
      </c>
      <c r="H686" s="3">
        <v>0</v>
      </c>
      <c r="I686" s="5">
        <v>24.900454</v>
      </c>
      <c r="J686" s="6">
        <v>0</v>
      </c>
      <c r="K686" s="4" t="s">
        <v>3178</v>
      </c>
      <c r="L686" s="7">
        <v>0.299507826736809</v>
      </c>
      <c r="M686" s="3">
        <v>3.11</v>
      </c>
      <c r="N686" s="3">
        <v>1.62</v>
      </c>
    </row>
    <row r="687" spans="1:14">
      <c r="A687" s="8" t="s">
        <v>699</v>
      </c>
      <c r="B687" s="2">
        <f>HYPERLINK("https://www.suredividend.com/sure-analysis-research-database/","Consumer Portfolio Service, Inc.")</f>
        <v>0</v>
      </c>
      <c r="C687" s="1" t="s">
        <v>3180</v>
      </c>
      <c r="D687" s="3">
        <v>8.32</v>
      </c>
      <c r="E687" s="4">
        <v>0</v>
      </c>
      <c r="F687" s="4" t="s">
        <v>3178</v>
      </c>
      <c r="G687" s="4" t="s">
        <v>3178</v>
      </c>
      <c r="H687" s="3">
        <v>0</v>
      </c>
      <c r="I687" s="5">
        <v>174.897665</v>
      </c>
      <c r="J687" s="6">
        <v>0</v>
      </c>
      <c r="K687" s="4" t="s">
        <v>3178</v>
      </c>
      <c r="L687" s="7">
        <v>1.122676929533864</v>
      </c>
      <c r="M687" s="3">
        <v>13.75</v>
      </c>
      <c r="N687" s="3">
        <v>7.03</v>
      </c>
    </row>
    <row r="688" spans="1:14">
      <c r="A688" s="8" t="s">
        <v>700</v>
      </c>
      <c r="B688" s="2">
        <f>HYPERLINK("https://www.suredividend.com/sure-analysis-CPT/","Camden Property Trust")</f>
        <v>0</v>
      </c>
      <c r="C688" s="1" t="s">
        <v>3183</v>
      </c>
      <c r="D688" s="3">
        <v>106.69</v>
      </c>
      <c r="E688" s="4">
        <v>0.03861655262911239</v>
      </c>
      <c r="F688" s="4">
        <v>0.03000000000000003</v>
      </c>
      <c r="G688" s="4">
        <v>0.05183943118341872</v>
      </c>
      <c r="H688" s="3">
        <v>3.967425001627595</v>
      </c>
      <c r="I688" s="5">
        <v>11366.239314</v>
      </c>
      <c r="J688" s="6">
        <v>25.56756347197322</v>
      </c>
      <c r="K688" s="4">
        <v>0.9771982762629545</v>
      </c>
      <c r="L688" s="7">
        <v>0.999948836265605</v>
      </c>
      <c r="M688" s="3">
        <v>110.49</v>
      </c>
      <c r="N688" s="3">
        <v>81.09</v>
      </c>
    </row>
    <row r="689" spans="1:14">
      <c r="A689" s="8" t="s">
        <v>701</v>
      </c>
      <c r="B689" s="2">
        <f>HYPERLINK("https://www.suredividend.com/sure-analysis-research-database/","Crane Co")</f>
        <v>0</v>
      </c>
      <c r="C689" s="1" t="s">
        <v>3179</v>
      </c>
      <c r="D689" s="3">
        <v>141.98</v>
      </c>
      <c r="E689" s="4">
        <v>0.005411383796972</v>
      </c>
      <c r="F689" s="4">
        <v>0.1388888888888891</v>
      </c>
      <c r="G689" s="4">
        <v>-0.1206984255239015</v>
      </c>
      <c r="H689" s="3">
        <v>0.7683082714941971</v>
      </c>
      <c r="I689" s="5">
        <v>8115.27637</v>
      </c>
      <c r="J689" s="6">
        <v>0</v>
      </c>
      <c r="K689" s="4" t="s">
        <v>3178</v>
      </c>
      <c r="L689" s="7">
        <v>1.146500561351696</v>
      </c>
      <c r="M689" s="3">
        <v>150</v>
      </c>
      <c r="N689" s="3">
        <v>77.2</v>
      </c>
    </row>
    <row r="690" spans="1:14">
      <c r="A690" s="8" t="s">
        <v>702</v>
      </c>
      <c r="B690" s="2">
        <f>HYPERLINK("https://www.suredividend.com/sure-analysis-research-database/","CRA International Inc.")</f>
        <v>0</v>
      </c>
      <c r="C690" s="1" t="s">
        <v>3179</v>
      </c>
      <c r="D690" s="3">
        <v>176.88</v>
      </c>
      <c r="E690" s="4">
        <v>0.009081988365926</v>
      </c>
      <c r="F690" s="4">
        <v>0.1666666666666667</v>
      </c>
      <c r="G690" s="4">
        <v>0.1279875101706811</v>
      </c>
      <c r="H690" s="3">
        <v>1.606422102165092</v>
      </c>
      <c r="I690" s="5">
        <v>1223.231505</v>
      </c>
      <c r="J690" s="6">
        <v>28.37729097759013</v>
      </c>
      <c r="K690" s="4">
        <v>0.262916874331439</v>
      </c>
      <c r="L690" s="7">
        <v>0.4874923550994971</v>
      </c>
      <c r="M690" s="3">
        <v>187.1</v>
      </c>
      <c r="N690" s="3">
        <v>79.72</v>
      </c>
    </row>
    <row r="691" spans="1:14">
      <c r="A691" s="8" t="s">
        <v>703</v>
      </c>
      <c r="B691" s="2">
        <f>HYPERLINK("https://www.suredividend.com/sure-analysis-research-database/","Corbus Pharmaceuticals Holdings Inc")</f>
        <v>0</v>
      </c>
      <c r="C691" s="1" t="s">
        <v>3176</v>
      </c>
      <c r="D691" s="3">
        <v>44.13</v>
      </c>
      <c r="E691" s="4">
        <v>0</v>
      </c>
      <c r="F691" s="4" t="s">
        <v>3178</v>
      </c>
      <c r="G691" s="4" t="s">
        <v>3178</v>
      </c>
      <c r="H691" s="3">
        <v>0</v>
      </c>
      <c r="I691" s="5">
        <v>471.603762</v>
      </c>
      <c r="J691" s="6" t="s">
        <v>3178</v>
      </c>
      <c r="K691" s="4">
        <v>-0</v>
      </c>
      <c r="L691" s="7">
        <v>0.7553651974326161</v>
      </c>
      <c r="M691" s="3">
        <v>50.48</v>
      </c>
      <c r="N691" s="3">
        <v>3.03</v>
      </c>
    </row>
    <row r="692" spans="1:14">
      <c r="A692" s="8" t="s">
        <v>704</v>
      </c>
      <c r="B692" s="2">
        <f>HYPERLINK("https://www.suredividend.com/sure-analysis-research-database/","California Resources Corporation")</f>
        <v>0</v>
      </c>
      <c r="C692" s="1" t="s">
        <v>3185</v>
      </c>
      <c r="D692" s="3">
        <v>47.5</v>
      </c>
      <c r="E692" s="4">
        <v>0.025293648133901</v>
      </c>
      <c r="F692" s="4" t="s">
        <v>3178</v>
      </c>
      <c r="G692" s="4" t="s">
        <v>3178</v>
      </c>
      <c r="H692" s="3">
        <v>1.201448286360302</v>
      </c>
      <c r="I692" s="5">
        <v>3255.21034</v>
      </c>
      <c r="J692" s="6">
        <v>12.86644403162055</v>
      </c>
      <c r="K692" s="4">
        <v>0.3393921712882209</v>
      </c>
      <c r="L692" s="7">
        <v>0.8219397072539991</v>
      </c>
      <c r="M692" s="3">
        <v>57.5</v>
      </c>
      <c r="N692" s="3">
        <v>39.94</v>
      </c>
    </row>
    <row r="693" spans="1:14">
      <c r="A693" s="8" t="s">
        <v>705</v>
      </c>
      <c r="B693" s="2">
        <f>HYPERLINK("https://www.suredividend.com/sure-analysis-research-database/","Cree, Inc.")</f>
        <v>0</v>
      </c>
      <c r="C693" s="1" t="s">
        <v>3181</v>
      </c>
      <c r="D693" s="3">
        <v>80.06999999999999</v>
      </c>
      <c r="E693" s="4">
        <v>0</v>
      </c>
      <c r="F693" s="4" t="s">
        <v>3178</v>
      </c>
      <c r="G693" s="4" t="s">
        <v>3178</v>
      </c>
      <c r="H693" s="3">
        <v>0</v>
      </c>
      <c r="I693" s="5">
        <v>14965.284981</v>
      </c>
      <c r="J693" s="6">
        <v>0</v>
      </c>
      <c r="K693" s="4">
        <v>-0</v>
      </c>
    </row>
    <row r="694" spans="1:14">
      <c r="A694" s="8" t="s">
        <v>706</v>
      </c>
      <c r="B694" s="2">
        <f>HYPERLINK("https://www.suredividend.com/sure-analysis-CRI/","Carters Inc")</f>
        <v>0</v>
      </c>
      <c r="C694" s="1" t="s">
        <v>3182</v>
      </c>
      <c r="D694" s="3">
        <v>67</v>
      </c>
      <c r="E694" s="4">
        <v>0.04776119402985075</v>
      </c>
      <c r="F694" s="4" t="s">
        <v>3178</v>
      </c>
      <c r="G694" s="4" t="s">
        <v>3178</v>
      </c>
      <c r="H694" s="3">
        <v>3.049811557972612</v>
      </c>
      <c r="I694" s="5">
        <v>2445.403386</v>
      </c>
      <c r="J694" s="6">
        <v>10.5940500545861</v>
      </c>
      <c r="K694" s="4">
        <v>0.4795301191780836</v>
      </c>
      <c r="L694" s="7">
        <v>0.9201115272502941</v>
      </c>
      <c r="M694" s="3">
        <v>86.97</v>
      </c>
      <c r="N694" s="3">
        <v>60.26</v>
      </c>
    </row>
    <row r="695" spans="1:14">
      <c r="A695" s="8" t="s">
        <v>707</v>
      </c>
      <c r="B695" s="2">
        <f>HYPERLINK("https://www.suredividend.com/sure-analysis-research-database/","Curis Inc")</f>
        <v>0</v>
      </c>
      <c r="C695" s="1" t="s">
        <v>3176</v>
      </c>
      <c r="D695" s="3">
        <v>8.84</v>
      </c>
      <c r="E695" s="4">
        <v>0</v>
      </c>
      <c r="F695" s="4" t="s">
        <v>3178</v>
      </c>
      <c r="G695" s="4" t="s">
        <v>3178</v>
      </c>
      <c r="H695" s="3">
        <v>0</v>
      </c>
      <c r="I695" s="5">
        <v>52.103711</v>
      </c>
      <c r="J695" s="6" t="s">
        <v>3178</v>
      </c>
      <c r="K695" s="4">
        <v>-0</v>
      </c>
      <c r="L695" s="7">
        <v>-0.006252489002922</v>
      </c>
      <c r="M695" s="3">
        <v>18</v>
      </c>
      <c r="N695" s="3">
        <v>3.8</v>
      </c>
    </row>
    <row r="696" spans="1:14">
      <c r="A696" s="8" t="s">
        <v>708</v>
      </c>
      <c r="B696" s="2">
        <f>HYPERLINK("https://www.suredividend.com/sure-analysis-research-database/","Comstock Resources, Inc.")</f>
        <v>0</v>
      </c>
      <c r="C696" s="1" t="s">
        <v>3185</v>
      </c>
      <c r="D696" s="3">
        <v>11.7</v>
      </c>
      <c r="E696" s="4">
        <v>0.021234802219712</v>
      </c>
      <c r="F696" s="4" t="s">
        <v>3178</v>
      </c>
      <c r="G696" s="4" t="s">
        <v>3178</v>
      </c>
      <c r="H696" s="3">
        <v>0.248447185970636</v>
      </c>
      <c r="I696" s="5">
        <v>3418.766606</v>
      </c>
      <c r="J696" s="6">
        <v>55.98111357131161</v>
      </c>
      <c r="K696" s="4">
        <v>1.127767525967481</v>
      </c>
      <c r="L696" s="7">
        <v>0.7847026942671961</v>
      </c>
      <c r="M696" s="3">
        <v>13.22</v>
      </c>
      <c r="N696" s="3">
        <v>7.07</v>
      </c>
    </row>
    <row r="697" spans="1:14">
      <c r="A697" s="8" t="s">
        <v>709</v>
      </c>
      <c r="B697" s="2">
        <f>HYPERLINK("https://www.suredividend.com/sure-analysis-research-database/","Charles River Laboratories International Inc.")</f>
        <v>0</v>
      </c>
      <c r="C697" s="1" t="s">
        <v>3176</v>
      </c>
      <c r="D697" s="3">
        <v>214.79</v>
      </c>
      <c r="E697" s="4">
        <v>0</v>
      </c>
      <c r="F697" s="4" t="s">
        <v>3178</v>
      </c>
      <c r="G697" s="4" t="s">
        <v>3178</v>
      </c>
      <c r="H697" s="3">
        <v>0</v>
      </c>
      <c r="I697" s="5">
        <v>11064.195251</v>
      </c>
      <c r="J697" s="6">
        <v>24.89396010541047</v>
      </c>
      <c r="K697" s="4">
        <v>0</v>
      </c>
      <c r="L697" s="7">
        <v>1.455888840053412</v>
      </c>
      <c r="M697" s="3">
        <v>275</v>
      </c>
      <c r="N697" s="3">
        <v>161.65</v>
      </c>
    </row>
    <row r="698" spans="1:14">
      <c r="A698" s="8" t="s">
        <v>710</v>
      </c>
      <c r="B698" s="2">
        <f>HYPERLINK("https://www.suredividend.com/sure-analysis-research-database/","Salesforce Inc")</f>
        <v>0</v>
      </c>
      <c r="C698" s="1" t="s">
        <v>3181</v>
      </c>
      <c r="D698" s="3">
        <v>241.85</v>
      </c>
      <c r="E698" s="4">
        <v>0.001653917742238</v>
      </c>
      <c r="F698" s="4" t="s">
        <v>3178</v>
      </c>
      <c r="G698" s="4" t="s">
        <v>3178</v>
      </c>
      <c r="H698" s="3">
        <v>0.400000005960464</v>
      </c>
      <c r="I698" s="5">
        <v>234352.65</v>
      </c>
      <c r="J698" s="6">
        <v>42.84326325411335</v>
      </c>
      <c r="K698" s="4">
        <v>0.07194244711519136</v>
      </c>
      <c r="L698" s="7">
        <v>1.528968418092765</v>
      </c>
      <c r="M698" s="3">
        <v>318.3</v>
      </c>
      <c r="N698" s="3">
        <v>193.43</v>
      </c>
    </row>
    <row r="699" spans="1:14">
      <c r="A699" s="8" t="s">
        <v>711</v>
      </c>
      <c r="B699" s="2">
        <f>HYPERLINK("https://www.suredividend.com/sure-analysis-research-database/","CorMedix Inc")</f>
        <v>0</v>
      </c>
      <c r="C699" s="1" t="s">
        <v>3176</v>
      </c>
      <c r="D699" s="3">
        <v>5.16</v>
      </c>
      <c r="E699" s="4">
        <v>0</v>
      </c>
      <c r="F699" s="4" t="s">
        <v>3178</v>
      </c>
      <c r="G699" s="4" t="s">
        <v>3178</v>
      </c>
      <c r="H699" s="3">
        <v>0</v>
      </c>
      <c r="I699" s="5">
        <v>283.589833</v>
      </c>
      <c r="J699" s="6">
        <v>0</v>
      </c>
      <c r="K699" s="4" t="s">
        <v>3178</v>
      </c>
      <c r="L699" s="7">
        <v>1.303431858119569</v>
      </c>
      <c r="M699" s="3">
        <v>7</v>
      </c>
      <c r="N699" s="3">
        <v>2.57</v>
      </c>
    </row>
    <row r="700" spans="1:14">
      <c r="A700" s="8" t="s">
        <v>712</v>
      </c>
      <c r="B700" s="2">
        <f>HYPERLINK("https://www.suredividend.com/sure-analysis-research-database/","Americas Car Mart, Inc.")</f>
        <v>0</v>
      </c>
      <c r="C700" s="1" t="s">
        <v>3182</v>
      </c>
      <c r="D700" s="3">
        <v>60.59</v>
      </c>
      <c r="E700" s="4">
        <v>0</v>
      </c>
      <c r="F700" s="4" t="s">
        <v>3178</v>
      </c>
      <c r="G700" s="4" t="s">
        <v>3178</v>
      </c>
      <c r="H700" s="3">
        <v>0</v>
      </c>
      <c r="I700" s="5">
        <v>387.297218</v>
      </c>
      <c r="J700" s="6" t="s">
        <v>3178</v>
      </c>
      <c r="K700" s="4">
        <v>-0</v>
      </c>
      <c r="L700" s="7">
        <v>1.758604121643961</v>
      </c>
      <c r="M700" s="3">
        <v>127.96</v>
      </c>
      <c r="N700" s="3">
        <v>55</v>
      </c>
    </row>
    <row r="701" spans="1:14">
      <c r="A701" s="8" t="s">
        <v>713</v>
      </c>
      <c r="B701" s="2">
        <f>HYPERLINK("https://www.suredividend.com/sure-analysis-research-database/","Crinetics Pharmaceuticals Inc")</f>
        <v>0</v>
      </c>
      <c r="C701" s="1" t="s">
        <v>3176</v>
      </c>
      <c r="D701" s="3">
        <v>44.71</v>
      </c>
      <c r="E701" s="4">
        <v>0</v>
      </c>
      <c r="F701" s="4" t="s">
        <v>3178</v>
      </c>
      <c r="G701" s="4" t="s">
        <v>3178</v>
      </c>
      <c r="H701" s="3">
        <v>0</v>
      </c>
      <c r="I701" s="5">
        <v>3525.808692</v>
      </c>
      <c r="J701" s="6" t="s">
        <v>3178</v>
      </c>
      <c r="K701" s="4">
        <v>-0</v>
      </c>
      <c r="L701" s="7">
        <v>1.242842461266344</v>
      </c>
      <c r="M701" s="3">
        <v>53.7</v>
      </c>
      <c r="N701" s="3">
        <v>15.76</v>
      </c>
    </row>
    <row r="702" spans="1:14">
      <c r="A702" s="8" t="s">
        <v>714</v>
      </c>
      <c r="B702" s="2">
        <f>HYPERLINK("https://www.suredividend.com/sure-analysis-research-database/","Crocs Inc")</f>
        <v>0</v>
      </c>
      <c r="C702" s="1" t="s">
        <v>3182</v>
      </c>
      <c r="D702" s="3">
        <v>147</v>
      </c>
      <c r="E702" s="4">
        <v>0</v>
      </c>
      <c r="F702" s="4" t="s">
        <v>3178</v>
      </c>
      <c r="G702" s="4" t="s">
        <v>3178</v>
      </c>
      <c r="H702" s="3">
        <v>0</v>
      </c>
      <c r="I702" s="5">
        <v>8923.2675</v>
      </c>
      <c r="J702" s="6">
        <v>11.21750534584909</v>
      </c>
      <c r="K702" s="4">
        <v>0</v>
      </c>
      <c r="L702" s="7">
        <v>1.823365488176779</v>
      </c>
      <c r="M702" s="3">
        <v>158.11</v>
      </c>
      <c r="N702" s="3">
        <v>74</v>
      </c>
    </row>
    <row r="703" spans="1:14">
      <c r="A703" s="8" t="s">
        <v>715</v>
      </c>
      <c r="B703" s="2">
        <f>HYPERLINK("https://www.suredividend.com/sure-analysis-research-database/","Carpenter Technology Corp.")</f>
        <v>0</v>
      </c>
      <c r="C703" s="1" t="s">
        <v>3179</v>
      </c>
      <c r="D703" s="3">
        <v>104.2</v>
      </c>
      <c r="E703" s="4">
        <v>0.007644453431425001</v>
      </c>
      <c r="F703" s="4">
        <v>0</v>
      </c>
      <c r="G703" s="4">
        <v>0</v>
      </c>
      <c r="H703" s="3">
        <v>0.7965520475545721</v>
      </c>
      <c r="I703" s="5">
        <v>5169.181526</v>
      </c>
      <c r="J703" s="6">
        <v>39.45940095877863</v>
      </c>
      <c r="K703" s="4">
        <v>0.3040274990666306</v>
      </c>
      <c r="L703" s="7">
        <v>1.176056666418578</v>
      </c>
      <c r="M703" s="3">
        <v>112.75</v>
      </c>
      <c r="N703" s="3">
        <v>49.56</v>
      </c>
    </row>
    <row r="704" spans="1:14">
      <c r="A704" s="8" t="s">
        <v>716</v>
      </c>
      <c r="B704" s="2">
        <f>HYPERLINK("https://www.suredividend.com/sure-analysis-research-database/","Cirrus Logic, Inc.")</f>
        <v>0</v>
      </c>
      <c r="C704" s="1" t="s">
        <v>3181</v>
      </c>
      <c r="D704" s="3">
        <v>117.52</v>
      </c>
      <c r="E704" s="4">
        <v>0</v>
      </c>
      <c r="F704" s="4" t="s">
        <v>3178</v>
      </c>
      <c r="G704" s="4" t="s">
        <v>3178</v>
      </c>
      <c r="H704" s="3">
        <v>0</v>
      </c>
      <c r="I704" s="5">
        <v>6281.528144</v>
      </c>
      <c r="J704" s="6">
        <v>22.87752627478402</v>
      </c>
      <c r="K704" s="4">
        <v>0</v>
      </c>
      <c r="L704" s="7">
        <v>1.551441375953991</v>
      </c>
      <c r="M704" s="3">
        <v>120.3</v>
      </c>
      <c r="N704" s="3">
        <v>65.02</v>
      </c>
    </row>
    <row r="705" spans="1:14">
      <c r="A705" s="8" t="s">
        <v>717</v>
      </c>
      <c r="B705" s="2">
        <f>HYPERLINK("https://www.suredividend.com/sure-analysis-research-database/","Corvel Corp.")</f>
        <v>0</v>
      </c>
      <c r="C705" s="1" t="s">
        <v>3180</v>
      </c>
      <c r="D705" s="3">
        <v>234.5</v>
      </c>
      <c r="E705" s="4">
        <v>0</v>
      </c>
      <c r="F705" s="4" t="s">
        <v>3178</v>
      </c>
      <c r="G705" s="4" t="s">
        <v>3178</v>
      </c>
      <c r="H705" s="3">
        <v>0</v>
      </c>
      <c r="I705" s="5">
        <v>4015.056941</v>
      </c>
      <c r="J705" s="6">
        <v>52.6551033546661</v>
      </c>
      <c r="K705" s="4">
        <v>0</v>
      </c>
      <c r="L705" s="7">
        <v>0.6378449876965491</v>
      </c>
      <c r="M705" s="3">
        <v>281.41</v>
      </c>
      <c r="N705" s="3">
        <v>187.92</v>
      </c>
    </row>
    <row r="706" spans="1:14">
      <c r="A706" s="8" t="s">
        <v>718</v>
      </c>
      <c r="B706" s="2">
        <f>HYPERLINK("https://www.suredividend.com/sure-analysis-research-database/","Corvus Pharmaceuticals Inc")</f>
        <v>0</v>
      </c>
      <c r="C706" s="1" t="s">
        <v>3176</v>
      </c>
      <c r="D706" s="3">
        <v>2.03</v>
      </c>
      <c r="E706" s="4">
        <v>0</v>
      </c>
      <c r="F706" s="4" t="s">
        <v>3178</v>
      </c>
      <c r="G706" s="4" t="s">
        <v>3178</v>
      </c>
      <c r="H706" s="3">
        <v>0</v>
      </c>
      <c r="I706" s="5">
        <v>126.9791</v>
      </c>
      <c r="J706" s="6">
        <v>0</v>
      </c>
      <c r="K706" s="4" t="s">
        <v>3178</v>
      </c>
      <c r="L706" s="7">
        <v>1.89986234824255</v>
      </c>
      <c r="M706" s="3">
        <v>3.7</v>
      </c>
      <c r="N706" s="3">
        <v>1.05</v>
      </c>
    </row>
    <row r="707" spans="1:14">
      <c r="A707" s="8" t="s">
        <v>719</v>
      </c>
      <c r="B707" s="2">
        <f>HYPERLINK("https://www.suredividend.com/sure-analysis-research-database/","Crown Crafts, Inc.")</f>
        <v>0</v>
      </c>
      <c r="C707" s="1" t="s">
        <v>3182</v>
      </c>
      <c r="D707" s="3">
        <v>5.1287</v>
      </c>
      <c r="E707" s="4">
        <v>0.05960117538226301</v>
      </c>
      <c r="F707" s="4">
        <v>0</v>
      </c>
      <c r="G707" s="4">
        <v>-0.2037856588930055</v>
      </c>
      <c r="H707" s="3">
        <v>0.305676548183016</v>
      </c>
      <c r="I707" s="5">
        <v>52.521576</v>
      </c>
      <c r="J707" s="6">
        <v>0</v>
      </c>
      <c r="K707" s="4" t="s">
        <v>3178</v>
      </c>
      <c r="L707" s="7">
        <v>0.3954183844186041</v>
      </c>
      <c r="M707" s="3">
        <v>5.79</v>
      </c>
      <c r="N707" s="3">
        <v>3.86</v>
      </c>
    </row>
    <row r="708" spans="1:14">
      <c r="A708" s="8" t="s">
        <v>720</v>
      </c>
      <c r="B708" s="2">
        <f>HYPERLINK("https://www.suredividend.com/sure-analysis-CSCO/","Cisco Systems, Inc.")</f>
        <v>0</v>
      </c>
      <c r="C708" s="1" t="s">
        <v>3181</v>
      </c>
      <c r="D708" s="3">
        <v>45.84</v>
      </c>
      <c r="E708" s="4">
        <v>0.03490401396160558</v>
      </c>
      <c r="F708" s="4">
        <v>0.02564102564102577</v>
      </c>
      <c r="G708" s="4">
        <v>0.02706608708935176</v>
      </c>
      <c r="H708" s="3">
        <v>1.543177598575674</v>
      </c>
      <c r="I708" s="5">
        <v>184680.869332</v>
      </c>
      <c r="J708" s="6">
        <v>15.2427260920964</v>
      </c>
      <c r="K708" s="4">
        <v>0.5195884170288465</v>
      </c>
      <c r="L708" s="7">
        <v>0.648237458813097</v>
      </c>
      <c r="M708" s="3">
        <v>56.01</v>
      </c>
      <c r="N708" s="3">
        <v>45.12</v>
      </c>
    </row>
    <row r="709" spans="1:14">
      <c r="A709" s="8" t="s">
        <v>721</v>
      </c>
      <c r="B709" s="2">
        <f>HYPERLINK("https://www.suredividend.com/sure-analysis-research-database/","Costar Group, Inc.")</f>
        <v>0</v>
      </c>
      <c r="C709" s="1" t="s">
        <v>3183</v>
      </c>
      <c r="D709" s="3">
        <v>76.20999999999999</v>
      </c>
      <c r="E709" s="4">
        <v>0</v>
      </c>
      <c r="F709" s="4" t="s">
        <v>3178</v>
      </c>
      <c r="G709" s="4" t="s">
        <v>3178</v>
      </c>
      <c r="H709" s="3">
        <v>0</v>
      </c>
      <c r="I709" s="5">
        <v>31119.768664</v>
      </c>
      <c r="J709" s="6">
        <v>105.7527930718492</v>
      </c>
      <c r="K709" s="4">
        <v>0</v>
      </c>
      <c r="L709" s="7">
        <v>1.101086991253536</v>
      </c>
      <c r="M709" s="3">
        <v>100.38</v>
      </c>
      <c r="N709" s="3">
        <v>67.34999999999999</v>
      </c>
    </row>
    <row r="710" spans="1:14">
      <c r="A710" s="8" t="s">
        <v>722</v>
      </c>
      <c r="B710" s="2">
        <f>HYPERLINK("https://www.suredividend.com/sure-analysis-research-database/","CSG Systems International Inc.")</f>
        <v>0</v>
      </c>
      <c r="C710" s="1" t="s">
        <v>3181</v>
      </c>
      <c r="D710" s="3">
        <v>40.8</v>
      </c>
      <c r="E710" s="4">
        <v>0.027490746815363</v>
      </c>
      <c r="F710" s="4">
        <v>0.0714285714285714</v>
      </c>
      <c r="G710" s="4">
        <v>0.06159349302142836</v>
      </c>
      <c r="H710" s="3">
        <v>1.121622470066837</v>
      </c>
      <c r="I710" s="5">
        <v>1211.18778</v>
      </c>
      <c r="J710" s="6">
        <v>18.69549710581153</v>
      </c>
      <c r="K710" s="4">
        <v>0.5145057202141453</v>
      </c>
      <c r="L710" s="7">
        <v>0.6617407555921599</v>
      </c>
      <c r="M710" s="3">
        <v>67.12</v>
      </c>
      <c r="N710" s="3">
        <v>40.25</v>
      </c>
    </row>
    <row r="711" spans="1:14">
      <c r="A711" s="8" t="s">
        <v>723</v>
      </c>
      <c r="B711" s="2">
        <f>HYPERLINK("https://www.suredividend.com/sure-analysis-research-database/","Cardiovascular Systems Inc.")</f>
        <v>0</v>
      </c>
      <c r="C711" s="1" t="s">
        <v>3176</v>
      </c>
      <c r="D711" s="3">
        <v>20</v>
      </c>
      <c r="E711" s="4">
        <v>0</v>
      </c>
      <c r="F711" s="4" t="s">
        <v>3178</v>
      </c>
      <c r="G711" s="4" t="s">
        <v>3178</v>
      </c>
      <c r="H711" s="3">
        <v>0</v>
      </c>
      <c r="I711" s="5">
        <v>0</v>
      </c>
      <c r="J711" s="6">
        <v>0</v>
      </c>
      <c r="K711" s="4">
        <v>-0</v>
      </c>
    </row>
    <row r="712" spans="1:14">
      <c r="A712" s="8" t="s">
        <v>724</v>
      </c>
      <c r="B712" s="2">
        <f>HYPERLINK("https://www.suredividend.com/sure-analysis-CSL/","Carlisle Companies Inc.")</f>
        <v>0</v>
      </c>
      <c r="C712" s="1" t="s">
        <v>3179</v>
      </c>
      <c r="D712" s="3">
        <v>408.85</v>
      </c>
      <c r="E712" s="4">
        <v>0.008316008316008315</v>
      </c>
      <c r="F712" s="4">
        <v>0.1333333333333333</v>
      </c>
      <c r="G712" s="4">
        <v>0.1119615859385787</v>
      </c>
      <c r="H712" s="3">
        <v>3.387962546702227</v>
      </c>
      <c r="I712" s="5">
        <v>19461.26</v>
      </c>
      <c r="J712" s="6">
        <v>22.68212121212121</v>
      </c>
      <c r="K712" s="4">
        <v>0.1957228507626937</v>
      </c>
      <c r="L712" s="7">
        <v>1.141229170133434</v>
      </c>
      <c r="M712" s="3">
        <v>430.21</v>
      </c>
      <c r="N712" s="3">
        <v>229.3</v>
      </c>
    </row>
    <row r="713" spans="1:14">
      <c r="A713" s="8" t="s">
        <v>725</v>
      </c>
      <c r="B713" s="2">
        <f>HYPERLINK("https://www.suredividend.com/sure-analysis-research-database/","Castlight Health Inc")</f>
        <v>0</v>
      </c>
      <c r="C713" s="1" t="s">
        <v>3176</v>
      </c>
      <c r="D713" s="3">
        <v>2.05</v>
      </c>
      <c r="E713" s="4">
        <v>0</v>
      </c>
      <c r="F713" s="4" t="s">
        <v>3178</v>
      </c>
      <c r="G713" s="4" t="s">
        <v>3178</v>
      </c>
      <c r="H713" s="3">
        <v>0</v>
      </c>
      <c r="I713" s="5">
        <v>274.154505</v>
      </c>
      <c r="J713" s="6">
        <v>0</v>
      </c>
      <c r="K713" s="4" t="s">
        <v>3178</v>
      </c>
      <c r="M713" s="3">
        <v>2.71</v>
      </c>
      <c r="N713" s="3">
        <v>1.35</v>
      </c>
    </row>
    <row r="714" spans="1:14">
      <c r="A714" s="8" t="s">
        <v>726</v>
      </c>
      <c r="B714" s="2">
        <f>HYPERLINK("https://www.suredividend.com/sure-analysis-research-database/","Cornerstone OnDemand Inc")</f>
        <v>0</v>
      </c>
      <c r="C714" s="1" t="s">
        <v>3181</v>
      </c>
      <c r="D714" s="3">
        <v>57.49</v>
      </c>
      <c r="E714" s="4">
        <v>0</v>
      </c>
      <c r="F714" s="4" t="s">
        <v>3178</v>
      </c>
      <c r="G714" s="4" t="s">
        <v>3178</v>
      </c>
      <c r="H714" s="3">
        <v>0</v>
      </c>
      <c r="I714" s="5">
        <v>0</v>
      </c>
      <c r="J714" s="6">
        <v>0</v>
      </c>
      <c r="K714" s="4">
        <v>-0</v>
      </c>
    </row>
    <row r="715" spans="1:14">
      <c r="A715" s="8" t="s">
        <v>727</v>
      </c>
      <c r="B715" s="2">
        <f>HYPERLINK("https://www.suredividend.com/sure-analysis-research-database/","CSP Inc.")</f>
        <v>0</v>
      </c>
      <c r="C715" s="1" t="s">
        <v>3181</v>
      </c>
      <c r="D715" s="3">
        <v>14.02</v>
      </c>
      <c r="E715" s="4">
        <v>0.006746097022738</v>
      </c>
      <c r="F715" s="4" t="s">
        <v>3178</v>
      </c>
      <c r="G715" s="4" t="s">
        <v>3178</v>
      </c>
      <c r="H715" s="3">
        <v>0.09458028025880001</v>
      </c>
      <c r="I715" s="5">
        <v>136.749678</v>
      </c>
      <c r="J715" s="6">
        <v>0</v>
      </c>
      <c r="K715" s="4" t="s">
        <v>3178</v>
      </c>
      <c r="L715" s="7">
        <v>1.727471467916691</v>
      </c>
      <c r="M715" s="3">
        <v>29.81</v>
      </c>
      <c r="N715" s="3">
        <v>4.83</v>
      </c>
    </row>
    <row r="716" spans="1:14">
      <c r="A716" s="8" t="s">
        <v>728</v>
      </c>
      <c r="B716" s="2">
        <f>HYPERLINK("https://www.suredividend.com/sure-analysis-research-database/","CapStar Financial Holdings Inc")</f>
        <v>0</v>
      </c>
      <c r="C716" s="1" t="s">
        <v>3180</v>
      </c>
      <c r="D716" s="3">
        <v>20.1</v>
      </c>
      <c r="E716" s="4">
        <v>0</v>
      </c>
      <c r="F716" s="4" t="s">
        <v>3178</v>
      </c>
      <c r="G716" s="4" t="s">
        <v>3178</v>
      </c>
      <c r="H716" s="3">
        <v>0.434810773304973</v>
      </c>
      <c r="I716" s="5">
        <v>0</v>
      </c>
      <c r="J716" s="6">
        <v>0</v>
      </c>
      <c r="K716" s="4">
        <v>0.3083764349680659</v>
      </c>
    </row>
    <row r="717" spans="1:14">
      <c r="A717" s="8" t="s">
        <v>729</v>
      </c>
      <c r="B717" s="2">
        <f>HYPERLINK("https://www.suredividend.com/sure-analysis-research-database/","Carriage Services, Inc.")</f>
        <v>0</v>
      </c>
      <c r="C717" s="1" t="s">
        <v>3182</v>
      </c>
      <c r="D717" s="3">
        <v>28.34</v>
      </c>
      <c r="E717" s="4">
        <v>0.015771825339435</v>
      </c>
      <c r="F717" s="4">
        <v>0</v>
      </c>
      <c r="G717" s="4">
        <v>0.08447177119769855</v>
      </c>
      <c r="H717" s="3">
        <v>0.4469735301196061</v>
      </c>
      <c r="I717" s="5">
        <v>429.789873</v>
      </c>
      <c r="J717" s="6">
        <v>13.77266786002692</v>
      </c>
      <c r="K717" s="4">
        <v>0.2212740248116862</v>
      </c>
      <c r="L717" s="7">
        <v>1.45546564448844</v>
      </c>
      <c r="M717" s="3">
        <v>34.98</v>
      </c>
      <c r="N717" s="3">
        <v>17.9</v>
      </c>
    </row>
    <row r="718" spans="1:14">
      <c r="A718" s="8" t="s">
        <v>730</v>
      </c>
      <c r="B718" s="2">
        <f>HYPERLINK("https://www.suredividend.com/sure-analysis-research-database/","CSW Industrials Inc")</f>
        <v>0</v>
      </c>
      <c r="C718" s="1" t="s">
        <v>3179</v>
      </c>
      <c r="D718" s="3">
        <v>253.28</v>
      </c>
      <c r="E718" s="4">
        <v>0.00307128374012</v>
      </c>
      <c r="F718" s="4">
        <v>0.1052631578947367</v>
      </c>
      <c r="G718" s="4">
        <v>0.09238846414037294</v>
      </c>
      <c r="H718" s="3">
        <v>0.7778947456977261</v>
      </c>
      <c r="I718" s="5">
        <v>3932.861681</v>
      </c>
      <c r="J718" s="6">
        <v>38.69098931056194</v>
      </c>
      <c r="K718" s="4">
        <v>0.1193090100763384</v>
      </c>
      <c r="L718" s="7">
        <v>0.8432446242378631</v>
      </c>
      <c r="M718" s="3">
        <v>263.91</v>
      </c>
      <c r="N718" s="3">
        <v>154.76</v>
      </c>
    </row>
    <row r="719" spans="1:14">
      <c r="A719" s="8" t="s">
        <v>731</v>
      </c>
      <c r="B719" s="2">
        <f>HYPERLINK("https://www.suredividend.com/sure-analysis-CSX/","CSX Corp.")</f>
        <v>0</v>
      </c>
      <c r="C719" s="1" t="s">
        <v>3179</v>
      </c>
      <c r="D719" s="3">
        <v>32.75</v>
      </c>
      <c r="E719" s="4">
        <v>0.01465648854961832</v>
      </c>
      <c r="F719" s="4">
        <v>0.09090909090909083</v>
      </c>
      <c r="G719" s="4">
        <v>-0.1294494367038759</v>
      </c>
      <c r="H719" s="3">
        <v>0.455431280748936</v>
      </c>
      <c r="I719" s="5">
        <v>64023.864556</v>
      </c>
      <c r="J719" s="6">
        <v>17.68126610204363</v>
      </c>
      <c r="K719" s="4">
        <v>0.2502369674444703</v>
      </c>
      <c r="L719" s="7">
        <v>0.7031825282881751</v>
      </c>
      <c r="M719" s="3">
        <v>39.58</v>
      </c>
      <c r="N719" s="3">
        <v>28.44</v>
      </c>
    </row>
    <row r="720" spans="1:14">
      <c r="A720" s="8" t="s">
        <v>732</v>
      </c>
      <c r="B720" s="2">
        <f>HYPERLINK("https://www.suredividend.com/sure-analysis-CTAS/","Cintas Corporation")</f>
        <v>0</v>
      </c>
      <c r="C720" s="1" t="s">
        <v>3179</v>
      </c>
      <c r="D720" s="3">
        <v>682.17</v>
      </c>
      <c r="E720" s="4">
        <v>0.007915915387659969</v>
      </c>
      <c r="F720" s="4" t="s">
        <v>3178</v>
      </c>
      <c r="G720" s="4" t="s">
        <v>3178</v>
      </c>
      <c r="H720" s="3">
        <v>5.36548820104989</v>
      </c>
      <c r="I720" s="5">
        <v>69215.18457</v>
      </c>
      <c r="J720" s="6">
        <v>46.21447261981244</v>
      </c>
      <c r="K720" s="4">
        <v>0.3702890407901925</v>
      </c>
      <c r="L720" s="7">
        <v>0.9200703871508631</v>
      </c>
      <c r="M720" s="3">
        <v>705.74</v>
      </c>
      <c r="N720" s="3">
        <v>468.41</v>
      </c>
    </row>
    <row r="721" spans="1:14">
      <c r="A721" s="8" t="s">
        <v>733</v>
      </c>
      <c r="B721" s="2">
        <f>HYPERLINK("https://www.suredividend.com/sure-analysis-research-database/","Cooper Tire &amp; Rubber Co.")</f>
        <v>0</v>
      </c>
      <c r="C721" s="1" t="s">
        <v>3182</v>
      </c>
      <c r="D721" s="3">
        <v>60.17</v>
      </c>
      <c r="E721" s="4">
        <v>0.006959908765423001</v>
      </c>
      <c r="F721" s="4" t="s">
        <v>3178</v>
      </c>
      <c r="G721" s="4" t="s">
        <v>3178</v>
      </c>
      <c r="H721" s="3">
        <v>0.41877771041551</v>
      </c>
      <c r="I721" s="5">
        <v>3040.024387</v>
      </c>
      <c r="J721" s="6">
        <v>17.22988900832582</v>
      </c>
      <c r="K721" s="4">
        <v>0.1203384225331925</v>
      </c>
      <c r="M721" s="3">
        <v>60.46</v>
      </c>
      <c r="N721" s="3">
        <v>24.62</v>
      </c>
    </row>
    <row r="722" spans="1:14">
      <c r="A722" s="8" t="s">
        <v>734</v>
      </c>
      <c r="B722" s="2">
        <f>HYPERLINK("https://www.suredividend.com/sure-analysis-CTBI/","Community Trust Bancorp, Inc.")</f>
        <v>0</v>
      </c>
      <c r="C722" s="1" t="s">
        <v>3180</v>
      </c>
      <c r="D722" s="3">
        <v>41.94</v>
      </c>
      <c r="E722" s="4">
        <v>0.04387219837863615</v>
      </c>
      <c r="F722" s="4">
        <v>0.04545454545454541</v>
      </c>
      <c r="G722" s="4">
        <v>0.03895047748988278</v>
      </c>
      <c r="H722" s="3">
        <v>1.759736176599971</v>
      </c>
      <c r="I722" s="5">
        <v>756.014257</v>
      </c>
      <c r="J722" s="6">
        <v>9.771413423032184</v>
      </c>
      <c r="K722" s="4">
        <v>0.4073463371759192</v>
      </c>
      <c r="L722" s="7">
        <v>0.72641512743916</v>
      </c>
      <c r="M722" s="3">
        <v>44.71</v>
      </c>
      <c r="N722" s="3">
        <v>32.03</v>
      </c>
    </row>
    <row r="723" spans="1:14">
      <c r="A723" s="8" t="s">
        <v>735</v>
      </c>
      <c r="B723" s="2">
        <f>HYPERLINK("https://www.suredividend.com/sure-analysis-research-database/","Computer Task Group, Inc.")</f>
        <v>0</v>
      </c>
      <c r="C723" s="1" t="s">
        <v>3181</v>
      </c>
      <c r="D723" s="3">
        <v>10.5</v>
      </c>
      <c r="E723" s="4">
        <v>0</v>
      </c>
      <c r="F723" s="4" t="s">
        <v>3178</v>
      </c>
      <c r="G723" s="4" t="s">
        <v>3178</v>
      </c>
      <c r="H723" s="3">
        <v>0</v>
      </c>
      <c r="I723" s="5">
        <v>0</v>
      </c>
      <c r="J723" s="6">
        <v>0</v>
      </c>
      <c r="K723" s="4">
        <v>0</v>
      </c>
    </row>
    <row r="724" spans="1:14">
      <c r="A724" s="8" t="s">
        <v>736</v>
      </c>
      <c r="B724" s="2">
        <f>HYPERLINK("https://www.suredividend.com/sure-analysis-research-database/","Charles &amp; Colvard Ltd")</f>
        <v>0</v>
      </c>
      <c r="C724" s="1" t="s">
        <v>3182</v>
      </c>
      <c r="D724" s="3">
        <v>2.2301</v>
      </c>
      <c r="E724" s="4">
        <v>0</v>
      </c>
      <c r="F724" s="4" t="s">
        <v>3178</v>
      </c>
      <c r="G724" s="4" t="s">
        <v>3178</v>
      </c>
      <c r="H724" s="3">
        <v>0</v>
      </c>
      <c r="I724" s="5">
        <v>6.954061</v>
      </c>
      <c r="J724" s="6" t="s">
        <v>3178</v>
      </c>
      <c r="K724" s="4">
        <v>-0</v>
      </c>
      <c r="M724" s="3">
        <v>9.69</v>
      </c>
      <c r="N724" s="3">
        <v>2.1</v>
      </c>
    </row>
    <row r="725" spans="1:14">
      <c r="A725" s="8" t="s">
        <v>737</v>
      </c>
      <c r="B725" s="2">
        <f>HYPERLINK("https://www.suredividend.com/sure-analysis-research-database/","CTI BioPharma Corp")</f>
        <v>0</v>
      </c>
      <c r="C725" s="1" t="s">
        <v>3176</v>
      </c>
      <c r="D725" s="3">
        <v>9.09</v>
      </c>
      <c r="E725" s="4">
        <v>0</v>
      </c>
      <c r="F725" s="4" t="s">
        <v>3178</v>
      </c>
      <c r="G725" s="4" t="s">
        <v>3178</v>
      </c>
      <c r="H725" s="3">
        <v>0</v>
      </c>
      <c r="I725" s="5">
        <v>0</v>
      </c>
      <c r="J725" s="6">
        <v>0</v>
      </c>
      <c r="K725" s="4">
        <v>-0</v>
      </c>
    </row>
    <row r="726" spans="1:14">
      <c r="A726" s="8" t="s">
        <v>738</v>
      </c>
      <c r="B726" s="2">
        <f>HYPERLINK("https://www.suredividend.com/sure-analysis-research-database/","Catalent Inc.")</f>
        <v>0</v>
      </c>
      <c r="C726" s="1" t="s">
        <v>3176</v>
      </c>
      <c r="D726" s="3">
        <v>56.39</v>
      </c>
      <c r="E726" s="4">
        <v>0</v>
      </c>
      <c r="F726" s="4" t="s">
        <v>3178</v>
      </c>
      <c r="G726" s="4" t="s">
        <v>3178</v>
      </c>
      <c r="H726" s="3">
        <v>0</v>
      </c>
      <c r="I726" s="5">
        <v>10205.453685</v>
      </c>
      <c r="J726" s="6" t="s">
        <v>3178</v>
      </c>
      <c r="K726" s="4">
        <v>-0</v>
      </c>
      <c r="L726" s="7">
        <v>1.061502219141446</v>
      </c>
      <c r="M726" s="3">
        <v>60.2</v>
      </c>
      <c r="N726" s="3">
        <v>31.8</v>
      </c>
    </row>
    <row r="727" spans="1:14">
      <c r="A727" s="8" t="s">
        <v>739</v>
      </c>
      <c r="B727" s="2">
        <f>HYPERLINK("https://www.suredividend.com/sure-analysis-research-database/","CytomX Therapeutics Inc")</f>
        <v>0</v>
      </c>
      <c r="C727" s="1" t="s">
        <v>3176</v>
      </c>
      <c r="D727" s="3">
        <v>1.64</v>
      </c>
      <c r="E727" s="4">
        <v>0</v>
      </c>
      <c r="F727" s="4" t="s">
        <v>3178</v>
      </c>
      <c r="G727" s="4" t="s">
        <v>3178</v>
      </c>
      <c r="H727" s="3">
        <v>0</v>
      </c>
      <c r="I727" s="5">
        <v>127.787765</v>
      </c>
      <c r="J727" s="6">
        <v>7.729254530938124</v>
      </c>
      <c r="K727" s="4">
        <v>0</v>
      </c>
      <c r="M727" s="3">
        <v>5.06</v>
      </c>
      <c r="N727" s="3">
        <v>1.04</v>
      </c>
    </row>
    <row r="728" spans="1:14">
      <c r="A728" s="8" t="s">
        <v>740</v>
      </c>
      <c r="B728" s="2">
        <f>HYPERLINK("https://www.suredividend.com/sure-analysis-CTO/","CTO Realty Growth Inc")</f>
        <v>0</v>
      </c>
      <c r="C728" s="1" t="s">
        <v>3183</v>
      </c>
      <c r="D728" s="3">
        <v>17.9</v>
      </c>
      <c r="E728" s="4">
        <v>0.08491620111731844</v>
      </c>
      <c r="F728" s="4">
        <v>0</v>
      </c>
      <c r="G728" s="4">
        <v>0.2813807114396103</v>
      </c>
      <c r="H728" s="3">
        <v>1.114775772732163</v>
      </c>
      <c r="I728" s="5">
        <v>410.741312</v>
      </c>
      <c r="J728" s="6">
        <v>32.59592983096579</v>
      </c>
      <c r="K728" s="4">
        <v>2.067462486521074</v>
      </c>
      <c r="L728" s="7">
        <v>0.6061113814459781</v>
      </c>
      <c r="M728" s="3">
        <v>18</v>
      </c>
      <c r="N728" s="3">
        <v>14.93</v>
      </c>
    </row>
    <row r="729" spans="1:14">
      <c r="A729" s="8" t="s">
        <v>741</v>
      </c>
      <c r="B729" s="2">
        <f>HYPERLINK("https://www.suredividend.com/sure-analysis-CTRA/","Coterra Energy Inc")</f>
        <v>0</v>
      </c>
      <c r="C729" s="1" t="s">
        <v>3185</v>
      </c>
      <c r="D729" s="3">
        <v>27.58</v>
      </c>
      <c r="E729" s="4">
        <v>0.03045685279187817</v>
      </c>
      <c r="F729" s="4" t="s">
        <v>3178</v>
      </c>
      <c r="G729" s="4" t="s">
        <v>3178</v>
      </c>
      <c r="H729" s="3">
        <v>0.810858319850235</v>
      </c>
      <c r="I729" s="5">
        <v>20525.944072</v>
      </c>
      <c r="J729" s="6">
        <v>15.85014986216216</v>
      </c>
      <c r="K729" s="4">
        <v>0.4741861519592018</v>
      </c>
      <c r="L729" s="7">
        <v>0.601258079067681</v>
      </c>
      <c r="M729" s="3">
        <v>29.22</v>
      </c>
      <c r="N729" s="3">
        <v>22.91</v>
      </c>
    </row>
    <row r="730" spans="1:14">
      <c r="A730" s="8" t="s">
        <v>742</v>
      </c>
      <c r="B730" s="2">
        <f>HYPERLINK("https://www.suredividend.com/sure-analysis-CTRE/","CareTrust REIT Inc")</f>
        <v>0</v>
      </c>
      <c r="C730" s="1" t="s">
        <v>3183</v>
      </c>
      <c r="D730" s="3">
        <v>25.83</v>
      </c>
      <c r="E730" s="4">
        <v>0.04490902051877661</v>
      </c>
      <c r="F730" s="4">
        <v>0.03571428571428559</v>
      </c>
      <c r="G730" s="4">
        <v>0.05206626739843068</v>
      </c>
      <c r="H730" s="3">
        <v>1.109394387852051</v>
      </c>
      <c r="I730" s="5">
        <v>3669.520068</v>
      </c>
      <c r="J730" s="6">
        <v>58.38815008305885</v>
      </c>
      <c r="K730" s="4">
        <v>2.024442313598633</v>
      </c>
      <c r="L730" s="7">
        <v>0.5805695064781701</v>
      </c>
      <c r="M730" s="3">
        <v>26.43</v>
      </c>
      <c r="N730" s="3">
        <v>18.07</v>
      </c>
    </row>
    <row r="731" spans="1:14">
      <c r="A731" s="8" t="s">
        <v>743</v>
      </c>
      <c r="B731" s="2">
        <f>HYPERLINK("https://www.suredividend.com/sure-analysis-research-database/","Citi Trends Inc")</f>
        <v>0</v>
      </c>
      <c r="C731" s="1" t="s">
        <v>3182</v>
      </c>
      <c r="D731" s="3">
        <v>22.61</v>
      </c>
      <c r="E731" s="4">
        <v>0</v>
      </c>
      <c r="F731" s="4" t="s">
        <v>3178</v>
      </c>
      <c r="G731" s="4" t="s">
        <v>3178</v>
      </c>
      <c r="H731" s="3">
        <v>0</v>
      </c>
      <c r="I731" s="5">
        <v>193.015149</v>
      </c>
      <c r="J731" s="6" t="s">
        <v>3178</v>
      </c>
      <c r="K731" s="4">
        <v>-0</v>
      </c>
      <c r="L731" s="7">
        <v>1.185129492487495</v>
      </c>
      <c r="M731" s="3">
        <v>32.9</v>
      </c>
      <c r="N731" s="3">
        <v>15.92</v>
      </c>
    </row>
    <row r="732" spans="1:14">
      <c r="A732" s="8" t="s">
        <v>744</v>
      </c>
      <c r="B732" s="2">
        <f>HYPERLINK("https://www.suredividend.com/sure-analysis-research-database/","CTS Corp.")</f>
        <v>0</v>
      </c>
      <c r="C732" s="1" t="s">
        <v>3181</v>
      </c>
      <c r="D732" s="3">
        <v>52.64</v>
      </c>
      <c r="E732" s="4">
        <v>0.003035374888074</v>
      </c>
      <c r="F732" s="4">
        <v>0</v>
      </c>
      <c r="G732" s="4">
        <v>0</v>
      </c>
      <c r="H732" s="3">
        <v>0.159782134108262</v>
      </c>
      <c r="I732" s="5">
        <v>1620.738171</v>
      </c>
      <c r="J732" s="6">
        <v>30.40385261522877</v>
      </c>
      <c r="K732" s="4">
        <v>0.09398949065191882</v>
      </c>
      <c r="L732" s="7">
        <v>1.176705694890648</v>
      </c>
      <c r="M732" s="3">
        <v>54.73</v>
      </c>
      <c r="N732" s="3">
        <v>35.44</v>
      </c>
    </row>
    <row r="733" spans="1:14">
      <c r="A733" s="8" t="s">
        <v>745</v>
      </c>
      <c r="B733" s="2">
        <f>HYPERLINK("https://www.suredividend.com/sure-analysis-CTSH/","Cognizant Technology Solutions Corp.")</f>
        <v>0</v>
      </c>
      <c r="C733" s="1" t="s">
        <v>3181</v>
      </c>
      <c r="D733" s="3">
        <v>65.94</v>
      </c>
      <c r="E733" s="4">
        <v>0.01819836214740673</v>
      </c>
      <c r="F733" s="4">
        <v>0.03448275862068995</v>
      </c>
      <c r="G733" s="4">
        <v>0.08447177119769855</v>
      </c>
      <c r="H733" s="3">
        <v>1.165718918641191</v>
      </c>
      <c r="I733" s="5">
        <v>32785.293356</v>
      </c>
      <c r="J733" s="6">
        <v>15.67174634604206</v>
      </c>
      <c r="K733" s="4">
        <v>0.2795489013528036</v>
      </c>
      <c r="L733" s="7">
        <v>0.8112310630074651</v>
      </c>
      <c r="M733" s="3">
        <v>79.41</v>
      </c>
      <c r="N733" s="3">
        <v>59.49</v>
      </c>
    </row>
    <row r="734" spans="1:14">
      <c r="A734" s="8" t="s">
        <v>746</v>
      </c>
      <c r="B734" s="2">
        <f>HYPERLINK("https://www.suredividend.com/sure-analysis-research-database/","Cytosorbents Corp")</f>
        <v>0</v>
      </c>
      <c r="C734" s="1" t="s">
        <v>3176</v>
      </c>
      <c r="D734" s="3">
        <v>0.888</v>
      </c>
      <c r="E734" s="4">
        <v>0</v>
      </c>
      <c r="F734" s="4" t="s">
        <v>3178</v>
      </c>
      <c r="G734" s="4" t="s">
        <v>3178</v>
      </c>
      <c r="H734" s="3">
        <v>0</v>
      </c>
      <c r="I734" s="5">
        <v>48.224097</v>
      </c>
      <c r="J734" s="6">
        <v>0</v>
      </c>
      <c r="K734" s="4" t="s">
        <v>3178</v>
      </c>
      <c r="L734" s="7">
        <v>1.127981089259523</v>
      </c>
      <c r="M734" s="3">
        <v>4.29</v>
      </c>
      <c r="N734" s="3">
        <v>0.782</v>
      </c>
    </row>
    <row r="735" spans="1:14">
      <c r="A735" s="8" t="s">
        <v>747</v>
      </c>
      <c r="B735" s="2">
        <f>HYPERLINK("https://www.suredividend.com/sure-analysis-research-database/","CatchMark Timber Trust Inc")</f>
        <v>0</v>
      </c>
      <c r="C735" s="1" t="s">
        <v>3183</v>
      </c>
      <c r="D735" s="3">
        <v>10.37</v>
      </c>
      <c r="E735" s="4">
        <v>0</v>
      </c>
      <c r="F735" s="4" t="s">
        <v>3178</v>
      </c>
      <c r="G735" s="4" t="s">
        <v>3178</v>
      </c>
      <c r="H735" s="3">
        <v>0.222892087137926</v>
      </c>
      <c r="I735" s="5">
        <v>510.983523</v>
      </c>
      <c r="J735" s="6">
        <v>0</v>
      </c>
      <c r="K735" s="4" t="s">
        <v>3178</v>
      </c>
    </row>
    <row r="736" spans="1:14">
      <c r="A736" s="8" t="s">
        <v>748</v>
      </c>
      <c r="B736" s="2">
        <f>HYPERLINK("https://www.suredividend.com/sure-analysis-research-database/","Corteva Inc")</f>
        <v>0</v>
      </c>
      <c r="C736" s="1" t="s">
        <v>3177</v>
      </c>
      <c r="D736" s="3">
        <v>52.9</v>
      </c>
      <c r="E736" s="4">
        <v>0.012043899206993</v>
      </c>
      <c r="F736" s="4">
        <v>0.06666666666666665</v>
      </c>
      <c r="G736" s="4">
        <v>0.0424022162772979</v>
      </c>
      <c r="H736" s="3">
        <v>0.6371222680499561</v>
      </c>
      <c r="I736" s="5">
        <v>36870.0304</v>
      </c>
      <c r="J736" s="6">
        <v>65.9571205724508</v>
      </c>
      <c r="K736" s="4">
        <v>0.8076084016351325</v>
      </c>
      <c r="L736" s="7">
        <v>0.808806528897243</v>
      </c>
      <c r="M736" s="3">
        <v>58.59</v>
      </c>
      <c r="N736" s="3">
        <v>42.82</v>
      </c>
    </row>
    <row r="737" spans="1:14">
      <c r="A737" s="8" t="s">
        <v>749</v>
      </c>
      <c r="B737" s="2">
        <f>HYPERLINK("https://www.suredividend.com/sure-analysis-research-database/","Citrix Systems, Inc.")</f>
        <v>0</v>
      </c>
      <c r="C737" s="1" t="s">
        <v>3181</v>
      </c>
      <c r="D737" s="3">
        <v>103.9</v>
      </c>
      <c r="E737" s="4">
        <v>0</v>
      </c>
      <c r="F737" s="4" t="s">
        <v>3178</v>
      </c>
      <c r="G737" s="4" t="s">
        <v>3178</v>
      </c>
      <c r="H737" s="3">
        <v>0.370000004768371</v>
      </c>
      <c r="I737" s="5">
        <v>0</v>
      </c>
      <c r="J737" s="6">
        <v>0</v>
      </c>
      <c r="K737" s="4">
        <v>0.1423076941416812</v>
      </c>
    </row>
    <row r="738" spans="1:14">
      <c r="A738" s="8" t="s">
        <v>750</v>
      </c>
      <c r="B738" s="2">
        <f>HYPERLINK("https://www.suredividend.com/sure-analysis-research-database/","Cubic Corp.")</f>
        <v>0</v>
      </c>
      <c r="C738" s="1" t="s">
        <v>3179</v>
      </c>
      <c r="D738" s="3">
        <v>75</v>
      </c>
      <c r="E738" s="4">
        <v>0.003596500979032</v>
      </c>
      <c r="F738" s="4" t="s">
        <v>3178</v>
      </c>
      <c r="G738" s="4" t="s">
        <v>3178</v>
      </c>
      <c r="H738" s="3">
        <v>0.269737573427437</v>
      </c>
      <c r="I738" s="5">
        <v>2382.6432</v>
      </c>
      <c r="J738" s="6">
        <v>319.175244474213</v>
      </c>
      <c r="K738" s="4">
        <v>1.136694367582963</v>
      </c>
      <c r="L738" s="7">
        <v>0.7468079972166171</v>
      </c>
      <c r="M738" s="3">
        <v>78.13</v>
      </c>
      <c r="N738" s="3">
        <v>39.78</v>
      </c>
    </row>
    <row r="739" spans="1:14">
      <c r="A739" s="8" t="s">
        <v>751</v>
      </c>
      <c r="B739" s="2">
        <f>HYPERLINK("https://www.suredividend.com/sure-analysis-CUBE/","CubeSmart")</f>
        <v>0</v>
      </c>
      <c r="C739" s="1" t="s">
        <v>3183</v>
      </c>
      <c r="D739" s="3">
        <v>42.5</v>
      </c>
      <c r="E739" s="4">
        <v>0.048</v>
      </c>
      <c r="F739" s="4">
        <v>0.04081632653061229</v>
      </c>
      <c r="G739" s="4">
        <v>0.09770094871374502</v>
      </c>
      <c r="H739" s="3">
        <v>1.966767896237556</v>
      </c>
      <c r="I739" s="5">
        <v>9561.325428</v>
      </c>
      <c r="J739" s="6">
        <v>23.45082980761212</v>
      </c>
      <c r="K739" s="4">
        <v>1.092648831243087</v>
      </c>
      <c r="L739" s="7">
        <v>0.9999423913671001</v>
      </c>
      <c r="M739" s="3">
        <v>47.27</v>
      </c>
      <c r="N739" s="3">
        <v>32.45</v>
      </c>
    </row>
    <row r="740" spans="1:14">
      <c r="A740" s="8" t="s">
        <v>752</v>
      </c>
      <c r="B740" s="2">
        <f>HYPERLINK("https://www.suredividend.com/sure-analysis-research-database/","Customers Bancorp Inc")</f>
        <v>0</v>
      </c>
      <c r="C740" s="1" t="s">
        <v>3180</v>
      </c>
      <c r="D740" s="3">
        <v>43.46</v>
      </c>
      <c r="E740" s="4">
        <v>0</v>
      </c>
      <c r="F740" s="4" t="s">
        <v>3178</v>
      </c>
      <c r="G740" s="4" t="s">
        <v>3178</v>
      </c>
      <c r="H740" s="3">
        <v>0</v>
      </c>
      <c r="I740" s="5">
        <v>1368.333146</v>
      </c>
      <c r="J740" s="6">
        <v>5.920726348000295</v>
      </c>
      <c r="K740" s="4">
        <v>0</v>
      </c>
      <c r="L740" s="7">
        <v>1.369826394659912</v>
      </c>
      <c r="M740" s="3">
        <v>60.09</v>
      </c>
      <c r="N740" s="3">
        <v>26.8</v>
      </c>
    </row>
    <row r="741" spans="1:14">
      <c r="A741" s="8" t="s">
        <v>753</v>
      </c>
      <c r="B741" s="2">
        <f>HYPERLINK("https://www.suredividend.com/sure-analysis-research-database/","Cue Biopharma Inc")</f>
        <v>0</v>
      </c>
      <c r="C741" s="1" t="s">
        <v>3176</v>
      </c>
      <c r="D741" s="3">
        <v>1.48</v>
      </c>
      <c r="E741" s="4">
        <v>0</v>
      </c>
      <c r="F741" s="4" t="s">
        <v>3178</v>
      </c>
      <c r="G741" s="4" t="s">
        <v>3178</v>
      </c>
      <c r="H741" s="3">
        <v>0</v>
      </c>
      <c r="I741" s="5">
        <v>71.992108</v>
      </c>
      <c r="J741" s="6" t="s">
        <v>3178</v>
      </c>
      <c r="K741" s="4">
        <v>-0</v>
      </c>
      <c r="L741" s="7">
        <v>1.12576307258896</v>
      </c>
      <c r="M741" s="3">
        <v>4.89</v>
      </c>
      <c r="N741" s="3">
        <v>1.3</v>
      </c>
    </row>
    <row r="742" spans="1:14">
      <c r="A742" s="8" t="s">
        <v>754</v>
      </c>
      <c r="B742" s="2">
        <f>HYPERLINK("https://www.suredividend.com/sure-analysis-research-database/","Culp Inc.")</f>
        <v>0</v>
      </c>
      <c r="C742" s="1" t="s">
        <v>3182</v>
      </c>
      <c r="D742" s="3">
        <v>4.32</v>
      </c>
      <c r="E742" s="4">
        <v>0</v>
      </c>
      <c r="F742" s="4" t="s">
        <v>3178</v>
      </c>
      <c r="G742" s="4" t="s">
        <v>3178</v>
      </c>
      <c r="H742" s="3">
        <v>0</v>
      </c>
      <c r="I742" s="5">
        <v>53.869981</v>
      </c>
      <c r="J742" s="6" t="s">
        <v>3178</v>
      </c>
      <c r="K742" s="4">
        <v>-0</v>
      </c>
      <c r="L742" s="7">
        <v>0.31510383615843</v>
      </c>
      <c r="M742" s="3">
        <v>5.99</v>
      </c>
      <c r="N742" s="3">
        <v>4.28</v>
      </c>
    </row>
    <row r="743" spans="1:14">
      <c r="A743" s="8" t="s">
        <v>755</v>
      </c>
      <c r="B743" s="2">
        <f>HYPERLINK("https://www.suredividend.com/sure-analysis-research-database/","CURO Group Holdings Corp")</f>
        <v>0</v>
      </c>
      <c r="C743" s="1" t="s">
        <v>3180</v>
      </c>
      <c r="D743" s="3">
        <v>0.2061</v>
      </c>
      <c r="E743" s="4">
        <v>0</v>
      </c>
      <c r="F743" s="4" t="s">
        <v>3178</v>
      </c>
      <c r="G743" s="4" t="s">
        <v>3178</v>
      </c>
      <c r="H743" s="3">
        <v>0</v>
      </c>
      <c r="I743" s="5">
        <v>3.737699</v>
      </c>
      <c r="J743" s="6" t="s">
        <v>3178</v>
      </c>
      <c r="K743" s="4">
        <v>-0</v>
      </c>
      <c r="M743" s="3">
        <v>0.195</v>
      </c>
      <c r="N743" s="3">
        <v>0.06430000000000001</v>
      </c>
    </row>
    <row r="744" spans="1:14">
      <c r="A744" s="8" t="s">
        <v>756</v>
      </c>
      <c r="B744" s="2">
        <f>HYPERLINK("https://www.suredividend.com/sure-analysis-research-database/","Cutera Inc")</f>
        <v>0</v>
      </c>
      <c r="C744" s="1" t="s">
        <v>3176</v>
      </c>
      <c r="D744" s="3">
        <v>1.92</v>
      </c>
      <c r="E744" s="4">
        <v>0</v>
      </c>
      <c r="F744" s="4" t="s">
        <v>3178</v>
      </c>
      <c r="G744" s="4" t="s">
        <v>3178</v>
      </c>
      <c r="H744" s="3">
        <v>0</v>
      </c>
      <c r="I744" s="5">
        <v>38.538424</v>
      </c>
      <c r="J744" s="6" t="s">
        <v>3178</v>
      </c>
      <c r="K744" s="4">
        <v>-0</v>
      </c>
      <c r="L744" s="7">
        <v>2.924155927199988</v>
      </c>
      <c r="M744" s="3">
        <v>21.41</v>
      </c>
      <c r="N744" s="3">
        <v>1.28</v>
      </c>
    </row>
    <row r="745" spans="1:14">
      <c r="A745" s="8" t="s">
        <v>757</v>
      </c>
      <c r="B745" s="2">
        <f>HYPERLINK("https://www.suredividend.com/sure-analysis-CUZ/","Cousins Properties Inc.")</f>
        <v>0</v>
      </c>
      <c r="C745" s="1" t="s">
        <v>3183</v>
      </c>
      <c r="D745" s="3">
        <v>22.8</v>
      </c>
      <c r="E745" s="4">
        <v>0.05614035087719298</v>
      </c>
      <c r="F745" s="4">
        <v>0</v>
      </c>
      <c r="G745" s="4">
        <v>0.01988310171094443</v>
      </c>
      <c r="H745" s="3">
        <v>1.253392609952744</v>
      </c>
      <c r="I745" s="5">
        <v>3467.23517</v>
      </c>
      <c r="J745" s="6">
        <v>46.81973088110188</v>
      </c>
      <c r="K745" s="4">
        <v>2.57528787744554</v>
      </c>
      <c r="L745" s="7">
        <v>1.472393421858932</v>
      </c>
      <c r="M745" s="3">
        <v>24.62</v>
      </c>
      <c r="N745" s="3">
        <v>16.93</v>
      </c>
    </row>
    <row r="746" spans="1:14">
      <c r="A746" s="8" t="s">
        <v>758</v>
      </c>
      <c r="B746" s="2">
        <f>HYPERLINK("https://www.suredividend.com/sure-analysis-research-database/","Covanta Holding Corporation")</f>
        <v>0</v>
      </c>
      <c r="C746" s="1" t="s">
        <v>3179</v>
      </c>
      <c r="D746" s="3">
        <v>20.26</v>
      </c>
      <c r="E746" s="4">
        <v>0.015688775559184</v>
      </c>
      <c r="F746" s="4" t="s">
        <v>3178</v>
      </c>
      <c r="G746" s="4" t="s">
        <v>3178</v>
      </c>
      <c r="H746" s="3">
        <v>0.317854592829069</v>
      </c>
      <c r="I746" s="5">
        <v>2694.766027</v>
      </c>
      <c r="J746" s="6">
        <v>107.7906410928</v>
      </c>
      <c r="K746" s="4">
        <v>1.713501848135143</v>
      </c>
      <c r="L746" s="7">
        <v>0.654400474387084</v>
      </c>
      <c r="M746" s="3">
        <v>20.26</v>
      </c>
      <c r="N746" s="3">
        <v>12.09</v>
      </c>
    </row>
    <row r="747" spans="1:14">
      <c r="A747" s="8" t="s">
        <v>759</v>
      </c>
      <c r="B747" s="2">
        <f>HYPERLINK("https://www.suredividend.com/sure-analysis-research-database/","CVB Financial Corp.")</f>
        <v>0</v>
      </c>
      <c r="C747" s="1" t="s">
        <v>3180</v>
      </c>
      <c r="D747" s="3">
        <v>16.46</v>
      </c>
      <c r="E747" s="4">
        <v>0.04713828589296101</v>
      </c>
      <c r="F747" s="4">
        <v>0</v>
      </c>
      <c r="G747" s="4">
        <v>0.02129568760013512</v>
      </c>
      <c r="H747" s="3">
        <v>0.775896185798152</v>
      </c>
      <c r="I747" s="5">
        <v>2298.469133</v>
      </c>
      <c r="J747" s="6">
        <v>10.98164429601388</v>
      </c>
      <c r="K747" s="4">
        <v>0.5138385336411603</v>
      </c>
      <c r="L747" s="7">
        <v>1.312433164308698</v>
      </c>
      <c r="M747" s="3">
        <v>20.84</v>
      </c>
      <c r="N747" s="3">
        <v>11.78</v>
      </c>
    </row>
    <row r="748" spans="1:14">
      <c r="A748" s="8" t="s">
        <v>760</v>
      </c>
      <c r="B748" s="2">
        <f>HYPERLINK("https://www.suredividend.com/sure-analysis-research-database/","Cavco Industries Inc")</f>
        <v>0</v>
      </c>
      <c r="C748" s="1" t="s">
        <v>3182</v>
      </c>
      <c r="D748" s="3">
        <v>344.01</v>
      </c>
      <c r="E748" s="4">
        <v>0</v>
      </c>
      <c r="F748" s="4" t="s">
        <v>3178</v>
      </c>
      <c r="G748" s="4" t="s">
        <v>3178</v>
      </c>
      <c r="H748" s="3">
        <v>0</v>
      </c>
      <c r="I748" s="5">
        <v>2849.498472</v>
      </c>
      <c r="J748" s="6">
        <v>18.05571308445858</v>
      </c>
      <c r="K748" s="4">
        <v>0</v>
      </c>
      <c r="L748" s="7">
        <v>1.732650050183882</v>
      </c>
      <c r="M748" s="3">
        <v>400.99</v>
      </c>
      <c r="N748" s="3">
        <v>233.84</v>
      </c>
    </row>
    <row r="749" spans="1:14">
      <c r="A749" s="8" t="s">
        <v>761</v>
      </c>
      <c r="B749" s="2">
        <f>HYPERLINK("https://www.suredividend.com/sure-analysis-research-database/","Covetrus Inc")</f>
        <v>0</v>
      </c>
      <c r="C749" s="1" t="s">
        <v>3176</v>
      </c>
      <c r="D749" s="3">
        <v>20.99</v>
      </c>
      <c r="E749" s="4">
        <v>0</v>
      </c>
      <c r="F749" s="4" t="s">
        <v>3178</v>
      </c>
      <c r="G749" s="4" t="s">
        <v>3178</v>
      </c>
      <c r="H749" s="3">
        <v>0</v>
      </c>
      <c r="I749" s="5">
        <v>0</v>
      </c>
      <c r="J749" s="6">
        <v>0</v>
      </c>
      <c r="K749" s="4" t="s">
        <v>3178</v>
      </c>
    </row>
    <row r="750" spans="1:14">
      <c r="A750" s="8" t="s">
        <v>762</v>
      </c>
      <c r="B750" s="2">
        <f>HYPERLINK("https://www.suredividend.com/sure-analysis-research-database/","Commercial Vehicle Group Inc")</f>
        <v>0</v>
      </c>
      <c r="C750" s="1" t="s">
        <v>3182</v>
      </c>
      <c r="D750" s="3">
        <v>5.36</v>
      </c>
      <c r="E750" s="4">
        <v>0</v>
      </c>
      <c r="F750" s="4" t="s">
        <v>3178</v>
      </c>
      <c r="G750" s="4" t="s">
        <v>3178</v>
      </c>
      <c r="H750" s="3">
        <v>0</v>
      </c>
      <c r="I750" s="5">
        <v>184.265131</v>
      </c>
      <c r="J750" s="6">
        <v>4.221423397021764</v>
      </c>
      <c r="K750" s="4">
        <v>0</v>
      </c>
      <c r="L750" s="7">
        <v>0.768490789954242</v>
      </c>
      <c r="M750" s="3">
        <v>11.96</v>
      </c>
      <c r="N750" s="3">
        <v>4.89</v>
      </c>
    </row>
    <row r="751" spans="1:14">
      <c r="A751" s="8" t="s">
        <v>763</v>
      </c>
      <c r="B751" s="2">
        <f>HYPERLINK("https://www.suredividend.com/sure-analysis-research-database/","Calavo Growers, Inc")</f>
        <v>0</v>
      </c>
      <c r="C751" s="1" t="s">
        <v>3184</v>
      </c>
      <c r="D751" s="3">
        <v>25.41</v>
      </c>
      <c r="E751" s="4">
        <v>0.015611956199056</v>
      </c>
      <c r="F751" s="4" t="s">
        <v>3178</v>
      </c>
      <c r="G751" s="4" t="s">
        <v>3178</v>
      </c>
      <c r="H751" s="3">
        <v>0.396699807018035</v>
      </c>
      <c r="I751" s="5">
        <v>452.304734</v>
      </c>
      <c r="J751" s="6" t="s">
        <v>3178</v>
      </c>
      <c r="K751" s="4" t="s">
        <v>3178</v>
      </c>
      <c r="L751" s="7">
        <v>0.7399594932015561</v>
      </c>
      <c r="M751" s="3">
        <v>38.25</v>
      </c>
      <c r="N751" s="3">
        <v>21.34</v>
      </c>
    </row>
    <row r="752" spans="1:14">
      <c r="A752" s="8" t="s">
        <v>764</v>
      </c>
      <c r="B752" s="2">
        <f>HYPERLINK("https://www.suredividend.com/sure-analysis-research-database/","CVR Energy Inc")</f>
        <v>0</v>
      </c>
      <c r="C752" s="1" t="s">
        <v>3185</v>
      </c>
      <c r="D752" s="3">
        <v>26.98</v>
      </c>
      <c r="E752" s="4">
        <v>0.07235911545823701</v>
      </c>
      <c r="F752" s="4">
        <v>-0.5</v>
      </c>
      <c r="G752" s="4">
        <v>0.04563955259127317</v>
      </c>
      <c r="H752" s="3">
        <v>1.952248935063252</v>
      </c>
      <c r="I752" s="5">
        <v>2712.315561</v>
      </c>
      <c r="J752" s="6">
        <v>4.134627379603659</v>
      </c>
      <c r="K752" s="4">
        <v>0.2989661462577721</v>
      </c>
      <c r="L752" s="7">
        <v>0.6360994885187351</v>
      </c>
      <c r="M752" s="3">
        <v>37.43</v>
      </c>
      <c r="N752" s="3">
        <v>24.36</v>
      </c>
    </row>
    <row r="753" spans="1:14">
      <c r="A753" s="8" t="s">
        <v>765</v>
      </c>
      <c r="B753" s="2">
        <f>HYPERLINK("https://www.suredividend.com/sure-analysis-research-database/","Commvault Systems Inc")</f>
        <v>0</v>
      </c>
      <c r="C753" s="1" t="s">
        <v>3181</v>
      </c>
      <c r="D753" s="3">
        <v>114.72</v>
      </c>
      <c r="E753" s="4">
        <v>0</v>
      </c>
      <c r="F753" s="4" t="s">
        <v>3178</v>
      </c>
      <c r="G753" s="4" t="s">
        <v>3178</v>
      </c>
      <c r="H753" s="3">
        <v>0</v>
      </c>
      <c r="I753" s="5">
        <v>4978.987614</v>
      </c>
      <c r="J753" s="6">
        <v>29.47786114312103</v>
      </c>
      <c r="K753" s="4">
        <v>0</v>
      </c>
      <c r="L753" s="7">
        <v>1.006576025370345</v>
      </c>
      <c r="M753" s="3">
        <v>119.52</v>
      </c>
      <c r="N753" s="3">
        <v>63.7</v>
      </c>
    </row>
    <row r="754" spans="1:14">
      <c r="A754" s="8" t="s">
        <v>766</v>
      </c>
      <c r="B754" s="2">
        <f>HYPERLINK("https://www.suredividend.com/sure-analysis-research-database/","Codorus Valley Bancorp, Inc.")</f>
        <v>0</v>
      </c>
      <c r="C754" s="1" t="s">
        <v>3180</v>
      </c>
      <c r="D754" s="3">
        <v>21.71</v>
      </c>
      <c r="E754" s="4">
        <v>0.030724366518597</v>
      </c>
      <c r="F754" s="4">
        <v>0.0625</v>
      </c>
      <c r="G754" s="4">
        <v>0.01219872924994259</v>
      </c>
      <c r="H754" s="3">
        <v>0.6670259971187591</v>
      </c>
      <c r="I754" s="5">
        <v>209.770226</v>
      </c>
      <c r="J754" s="6">
        <v>0</v>
      </c>
      <c r="K754" s="4" t="s">
        <v>3178</v>
      </c>
      <c r="L754" s="7">
        <v>0.758425932412735</v>
      </c>
      <c r="M754" s="3">
        <v>25.46</v>
      </c>
      <c r="N754" s="3">
        <v>16.93</v>
      </c>
    </row>
    <row r="755" spans="1:14">
      <c r="A755" s="8" t="s">
        <v>767</v>
      </c>
      <c r="B755" s="2">
        <f>HYPERLINK("https://www.suredividend.com/sure-analysis-research-database/","Cel-Sci Corp.")</f>
        <v>0</v>
      </c>
      <c r="C755" s="1" t="s">
        <v>3176</v>
      </c>
      <c r="D755" s="3">
        <v>1.3</v>
      </c>
      <c r="E755" s="4">
        <v>0</v>
      </c>
      <c r="F755" s="4" t="s">
        <v>3178</v>
      </c>
      <c r="G755" s="4" t="s">
        <v>3178</v>
      </c>
      <c r="H755" s="3">
        <v>0</v>
      </c>
      <c r="I755" s="5">
        <v>70.407918</v>
      </c>
      <c r="J755" s="6" t="s">
        <v>3178</v>
      </c>
      <c r="K755" s="4">
        <v>-0</v>
      </c>
      <c r="L755" s="7">
        <v>1.542694214075972</v>
      </c>
      <c r="M755" s="3">
        <v>3.23</v>
      </c>
      <c r="N755" s="3">
        <v>1.04</v>
      </c>
    </row>
    <row r="756" spans="1:14">
      <c r="A756" s="8" t="s">
        <v>768</v>
      </c>
      <c r="B756" s="2">
        <f>HYPERLINK("https://www.suredividend.com/sure-analysis-research-database/","Carvana Co.")</f>
        <v>0</v>
      </c>
      <c r="C756" s="1" t="s">
        <v>3182</v>
      </c>
      <c r="D756" s="3">
        <v>106.56</v>
      </c>
      <c r="E756" s="4">
        <v>0</v>
      </c>
      <c r="F756" s="4" t="s">
        <v>3178</v>
      </c>
      <c r="G756" s="4" t="s">
        <v>3178</v>
      </c>
      <c r="H756" s="3">
        <v>0</v>
      </c>
      <c r="I756" s="5">
        <v>20123.645118</v>
      </c>
      <c r="J756" s="6">
        <v>19.53275665655173</v>
      </c>
      <c r="K756" s="4">
        <v>0</v>
      </c>
      <c r="L756" s="7">
        <v>4.034860134650517</v>
      </c>
      <c r="M756" s="3">
        <v>129</v>
      </c>
      <c r="N756" s="3">
        <v>18.46</v>
      </c>
    </row>
    <row r="757" spans="1:14">
      <c r="A757" s="8" t="s">
        <v>769</v>
      </c>
      <c r="B757" s="2">
        <f>HYPERLINK("https://www.suredividend.com/sure-analysis-research-database/","Chicago Rivet &amp; Machine Co.")</f>
        <v>0</v>
      </c>
      <c r="C757" s="1" t="s">
        <v>3179</v>
      </c>
      <c r="D757" s="3">
        <v>14.85</v>
      </c>
      <c r="E757" s="4">
        <v>0.026556198869492</v>
      </c>
      <c r="F757" s="4">
        <v>-0.5454545454545454</v>
      </c>
      <c r="G757" s="4">
        <v>-0.1458867408852547</v>
      </c>
      <c r="H757" s="3">
        <v>0.39435955321197</v>
      </c>
      <c r="I757" s="5">
        <v>14.34706</v>
      </c>
      <c r="J757" s="6">
        <v>0</v>
      </c>
      <c r="K757" s="4" t="s">
        <v>3178</v>
      </c>
      <c r="M757" s="3">
        <v>26.84</v>
      </c>
      <c r="N757" s="3">
        <v>14.48</v>
      </c>
    </row>
    <row r="758" spans="1:14">
      <c r="A758" s="8" t="s">
        <v>770</v>
      </c>
      <c r="B758" s="2">
        <f>HYPERLINK("https://www.suredividend.com/sure-analysis-CVS/","CVS Health Corp")</f>
        <v>0</v>
      </c>
      <c r="C758" s="1" t="s">
        <v>3176</v>
      </c>
      <c r="D758" s="3">
        <v>61.78</v>
      </c>
      <c r="E758" s="4">
        <v>0.04305600517966979</v>
      </c>
      <c r="F758" s="4">
        <v>0.09917355371900838</v>
      </c>
      <c r="G758" s="4">
        <v>0.05869369872055663</v>
      </c>
      <c r="H758" s="3">
        <v>2.506189930601562</v>
      </c>
      <c r="I758" s="5">
        <v>77556.94220999999</v>
      </c>
      <c r="J758" s="6">
        <v>10.59376344900423</v>
      </c>
      <c r="K758" s="4">
        <v>0.4396824439651863</v>
      </c>
      <c r="L758" s="7">
        <v>0.416331397366095</v>
      </c>
      <c r="M758" s="3">
        <v>81.70999999999999</v>
      </c>
      <c r="N758" s="3">
        <v>52.77</v>
      </c>
    </row>
    <row r="759" spans="1:14">
      <c r="A759" s="8" t="s">
        <v>771</v>
      </c>
      <c r="B759" s="2">
        <f>HYPERLINK("https://www.suredividend.com/sure-analysis-research-database/","CPI Aerostructures Inc")</f>
        <v>0</v>
      </c>
      <c r="C759" s="1" t="s">
        <v>3179</v>
      </c>
      <c r="D759" s="3">
        <v>2.315</v>
      </c>
      <c r="E759" s="4">
        <v>0</v>
      </c>
      <c r="F759" s="4" t="s">
        <v>3178</v>
      </c>
      <c r="G759" s="4" t="s">
        <v>3178</v>
      </c>
      <c r="H759" s="3">
        <v>0</v>
      </c>
      <c r="I759" s="5">
        <v>29.762971</v>
      </c>
      <c r="J759" s="6">
        <v>0</v>
      </c>
      <c r="K759" s="4" t="s">
        <v>3178</v>
      </c>
      <c r="L759" s="7">
        <v>0.595265534332982</v>
      </c>
      <c r="M759" s="3">
        <v>4.34</v>
      </c>
      <c r="N759" s="3">
        <v>2.15</v>
      </c>
    </row>
    <row r="760" spans="1:14">
      <c r="A760" s="8" t="s">
        <v>772</v>
      </c>
      <c r="B760" s="2">
        <f>HYPERLINK("https://www.suredividend.com/sure-analysis-research-database/","CVD Equipment Corp.")</f>
        <v>0</v>
      </c>
      <c r="C760" s="1" t="s">
        <v>3179</v>
      </c>
      <c r="D760" s="3">
        <v>4.3537</v>
      </c>
      <c r="E760" s="4">
        <v>0</v>
      </c>
      <c r="F760" s="4" t="s">
        <v>3178</v>
      </c>
      <c r="G760" s="4" t="s">
        <v>3178</v>
      </c>
      <c r="H760" s="3">
        <v>0</v>
      </c>
      <c r="I760" s="5">
        <v>29.711874</v>
      </c>
      <c r="J760" s="6">
        <v>0</v>
      </c>
      <c r="K760" s="4" t="s">
        <v>3178</v>
      </c>
      <c r="L760" s="7">
        <v>0.426236357903769</v>
      </c>
      <c r="M760" s="3">
        <v>8.76</v>
      </c>
      <c r="N760" s="3">
        <v>3.93</v>
      </c>
    </row>
    <row r="761" spans="1:14">
      <c r="A761" s="8" t="s">
        <v>773</v>
      </c>
      <c r="B761" s="2">
        <f>HYPERLINK("https://www.suredividend.com/sure-analysis-CVX/","Chevron Corp.")</f>
        <v>0</v>
      </c>
      <c r="C761" s="1" t="s">
        <v>3185</v>
      </c>
      <c r="D761" s="3">
        <v>156.08</v>
      </c>
      <c r="E761" s="4">
        <v>0.04177344951307022</v>
      </c>
      <c r="F761" s="4">
        <v>0.07947019867549665</v>
      </c>
      <c r="G761" s="4">
        <v>0.06494732893470956</v>
      </c>
      <c r="H761" s="3">
        <v>6.185902896094337</v>
      </c>
      <c r="I761" s="5">
        <v>288281.169871</v>
      </c>
      <c r="J761" s="6">
        <v>14.20384163729996</v>
      </c>
      <c r="K761" s="4">
        <v>0.5690803032285499</v>
      </c>
      <c r="L761" s="7">
        <v>0.4026651467533851</v>
      </c>
      <c r="M761" s="3">
        <v>166.4</v>
      </c>
      <c r="N761" s="3">
        <v>136.73</v>
      </c>
    </row>
    <row r="762" spans="1:14">
      <c r="A762" s="8" t="s">
        <v>774</v>
      </c>
      <c r="B762" s="2">
        <f>HYPERLINK("https://www.suredividend.com/sure-analysis-research-database/","Curtiss-Wright Corp.")</f>
        <v>0</v>
      </c>
      <c r="C762" s="1" t="s">
        <v>3179</v>
      </c>
      <c r="D762" s="3">
        <v>271.55</v>
      </c>
      <c r="E762" s="4">
        <v>0.002942156026074</v>
      </c>
      <c r="F762" s="4" t="s">
        <v>3178</v>
      </c>
      <c r="G762" s="4" t="s">
        <v>3178</v>
      </c>
      <c r="H762" s="3">
        <v>0.798942468880516</v>
      </c>
      <c r="I762" s="5">
        <v>10400.036153</v>
      </c>
      <c r="J762" s="6">
        <v>27.79584066878164</v>
      </c>
      <c r="K762" s="4">
        <v>0.08219572725108189</v>
      </c>
      <c r="L762" s="7">
        <v>0.6087698722532731</v>
      </c>
      <c r="M762" s="3">
        <v>286.65</v>
      </c>
      <c r="N762" s="3">
        <v>170.83</v>
      </c>
    </row>
    <row r="763" spans="1:14">
      <c r="A763" s="8" t="s">
        <v>775</v>
      </c>
      <c r="B763" s="2">
        <f>HYPERLINK("https://www.suredividend.com/sure-analysis-research-database/","Community West Bancshares.")</f>
        <v>0</v>
      </c>
      <c r="C763" s="1" t="s">
        <v>3180</v>
      </c>
      <c r="D763" s="3">
        <v>17.16</v>
      </c>
      <c r="E763" s="4">
        <v>0.027698700847029</v>
      </c>
      <c r="F763" s="4">
        <v>0.5</v>
      </c>
      <c r="G763" s="4">
        <v>0.168863268921301</v>
      </c>
      <c r="H763" s="3">
        <v>0.475309706535019</v>
      </c>
      <c r="I763" s="5">
        <v>323.812357</v>
      </c>
      <c r="J763" s="6">
        <v>0</v>
      </c>
      <c r="K763" s="4" t="s">
        <v>3178</v>
      </c>
      <c r="L763" s="7">
        <v>0.8700045468087351</v>
      </c>
      <c r="M763" s="3">
        <v>24.13</v>
      </c>
      <c r="N763" s="3">
        <v>13.18</v>
      </c>
    </row>
    <row r="764" spans="1:14">
      <c r="A764" s="8" t="s">
        <v>776</v>
      </c>
      <c r="B764" s="2">
        <f>HYPERLINK("https://www.suredividend.com/sure-analysis-research-database/","CohBar Inc")</f>
        <v>0</v>
      </c>
      <c r="C764" s="1" t="s">
        <v>3176</v>
      </c>
      <c r="D764" s="3">
        <v>0.78</v>
      </c>
      <c r="E764" s="4">
        <v>0</v>
      </c>
      <c r="F764" s="4" t="s">
        <v>3178</v>
      </c>
      <c r="G764" s="4" t="s">
        <v>3178</v>
      </c>
      <c r="H764" s="3">
        <v>0</v>
      </c>
      <c r="I764" s="5">
        <v>0</v>
      </c>
      <c r="J764" s="6">
        <v>0</v>
      </c>
      <c r="K764" s="4" t="s">
        <v>3178</v>
      </c>
    </row>
    <row r="765" spans="1:14">
      <c r="A765" s="8" t="s">
        <v>777</v>
      </c>
      <c r="B765" s="2">
        <f>HYPERLINK("https://www.suredividend.com/sure-analysis-CWEN/","Clearway Energy Inc")</f>
        <v>0</v>
      </c>
      <c r="C765" s="1" t="s">
        <v>3186</v>
      </c>
      <c r="D765" s="3">
        <v>26.94</v>
      </c>
      <c r="E765" s="4">
        <v>0.05976243504083148</v>
      </c>
      <c r="F765" s="4">
        <v>0.07438449449973805</v>
      </c>
      <c r="G765" s="4">
        <v>0.1544978595654907</v>
      </c>
      <c r="H765" s="3">
        <v>1.561549347049733</v>
      </c>
      <c r="I765" s="5">
        <v>3071.782396</v>
      </c>
      <c r="J765" s="6">
        <v>39.89327786454546</v>
      </c>
      <c r="K765" s="4">
        <v>2.372814689332523</v>
      </c>
      <c r="L765" s="7">
        <v>1.210482122883105</v>
      </c>
      <c r="M765" s="3">
        <v>28.71</v>
      </c>
      <c r="N765" s="3">
        <v>17.7</v>
      </c>
    </row>
    <row r="766" spans="1:14">
      <c r="A766" s="8" t="s">
        <v>778</v>
      </c>
      <c r="B766" s="2">
        <f>HYPERLINK("https://www.suredividend.com/sure-analysis-CWH/","Camping World Holdings Inc")</f>
        <v>0</v>
      </c>
      <c r="C766" s="1" t="s">
        <v>3182</v>
      </c>
      <c r="D766" s="3">
        <v>19.02</v>
      </c>
      <c r="E766" s="4">
        <v>0.02628811777076761</v>
      </c>
      <c r="F766" s="4">
        <v>-0.8</v>
      </c>
      <c r="G766" s="4">
        <v>0.09336207394327811</v>
      </c>
      <c r="H766" s="3">
        <v>0.988568570191758</v>
      </c>
      <c r="I766" s="5">
        <v>857.270543</v>
      </c>
      <c r="J766" s="6">
        <v>153.9638188146552</v>
      </c>
      <c r="K766" s="4">
        <v>15.09264992659173</v>
      </c>
      <c r="L766" s="7">
        <v>1.968374253397474</v>
      </c>
      <c r="M766" s="3">
        <v>32.38</v>
      </c>
      <c r="N766" s="3">
        <v>16.02</v>
      </c>
    </row>
    <row r="767" spans="1:14">
      <c r="A767" s="8" t="s">
        <v>779</v>
      </c>
      <c r="B767" s="2">
        <f>HYPERLINK("https://www.suredividend.com/sure-analysis-research-database/","Casella Waste Systems, Inc.")</f>
        <v>0</v>
      </c>
      <c r="C767" s="1" t="s">
        <v>3179</v>
      </c>
      <c r="D767" s="3">
        <v>95.36</v>
      </c>
      <c r="E767" s="4">
        <v>0</v>
      </c>
      <c r="F767" s="4" t="s">
        <v>3178</v>
      </c>
      <c r="G767" s="4" t="s">
        <v>3178</v>
      </c>
      <c r="H767" s="3">
        <v>0</v>
      </c>
      <c r="I767" s="5">
        <v>5446.965965</v>
      </c>
      <c r="J767" s="6">
        <v>307.1481879688733</v>
      </c>
      <c r="K767" s="4">
        <v>0</v>
      </c>
      <c r="L767" s="7">
        <v>0.791136021980807</v>
      </c>
      <c r="M767" s="3">
        <v>101.99</v>
      </c>
      <c r="N767" s="3">
        <v>72.97</v>
      </c>
    </row>
    <row r="768" spans="1:14">
      <c r="A768" s="8" t="s">
        <v>780</v>
      </c>
      <c r="B768" s="2">
        <f>HYPERLINK("https://www.suredividend.com/sure-analysis-CWT/","California Water Service Group")</f>
        <v>0</v>
      </c>
      <c r="C768" s="1" t="s">
        <v>3186</v>
      </c>
      <c r="D768" s="3">
        <v>47.59</v>
      </c>
      <c r="E768" s="4">
        <v>0.02353435595713385</v>
      </c>
      <c r="F768" s="4">
        <v>0.07692307692307709</v>
      </c>
      <c r="G768" s="4">
        <v>0.07230464255611713</v>
      </c>
      <c r="H768" s="3">
        <v>1.071140320153012</v>
      </c>
      <c r="I768" s="5">
        <v>2748.517905</v>
      </c>
      <c r="J768" s="6">
        <v>19.08176191545345</v>
      </c>
      <c r="K768" s="4">
        <v>0.4284561280612048</v>
      </c>
      <c r="L768" s="7">
        <v>0.6893225092359261</v>
      </c>
      <c r="M768" s="3">
        <v>55.57</v>
      </c>
      <c r="N768" s="3">
        <v>43.26</v>
      </c>
    </row>
    <row r="769" spans="1:14">
      <c r="A769" s="8" t="s">
        <v>781</v>
      </c>
      <c r="B769" s="2">
        <f>HYPERLINK("https://www.suredividend.com/sure-analysis-research-database/","Concho Resources Inc")</f>
        <v>0</v>
      </c>
      <c r="C769" s="1" t="s">
        <v>3185</v>
      </c>
      <c r="D769" s="3">
        <v>65.59999999999999</v>
      </c>
      <c r="E769" s="4">
        <v>0.01212016019638</v>
      </c>
      <c r="F769" s="4" t="s">
        <v>3178</v>
      </c>
      <c r="G769" s="4" t="s">
        <v>3178</v>
      </c>
      <c r="H769" s="3">
        <v>0.795082508882577</v>
      </c>
      <c r="I769" s="5">
        <v>12877.584384</v>
      </c>
      <c r="J769" s="6" t="s">
        <v>3178</v>
      </c>
      <c r="K769" s="4" t="s">
        <v>3178</v>
      </c>
      <c r="L769" s="7">
        <v>1.354776460504515</v>
      </c>
      <c r="M769" s="3">
        <v>86.81</v>
      </c>
      <c r="N769" s="3">
        <v>35.58</v>
      </c>
    </row>
    <row r="770" spans="1:14">
      <c r="A770" s="8" t="s">
        <v>782</v>
      </c>
      <c r="B770" s="2">
        <f>HYPERLINK("https://www.suredividend.com/sure-analysis-research-database/","Columbia Property Trust Inc")</f>
        <v>0</v>
      </c>
      <c r="C770" s="1" t="s">
        <v>3183</v>
      </c>
      <c r="D770" s="3">
        <v>19.28</v>
      </c>
      <c r="E770" s="4">
        <v>0.032276797496104</v>
      </c>
      <c r="F770" s="4" t="s">
        <v>3178</v>
      </c>
      <c r="G770" s="4" t="s">
        <v>3178</v>
      </c>
      <c r="H770" s="3">
        <v>0.622296655724888</v>
      </c>
      <c r="I770" s="5">
        <v>2215.348812</v>
      </c>
      <c r="J770" s="6">
        <v>26.55815874267218</v>
      </c>
      <c r="K770" s="4">
        <v>0.8878536962831901</v>
      </c>
      <c r="L770" s="7">
        <v>0.424861045759279</v>
      </c>
      <c r="M770" s="3">
        <v>19.29</v>
      </c>
      <c r="N770" s="3">
        <v>12.71</v>
      </c>
    </row>
    <row r="771" spans="1:14">
      <c r="A771" s="8" t="s">
        <v>783</v>
      </c>
      <c r="B771" s="2">
        <f>HYPERLINK("https://www.suredividend.com/sure-analysis-research-database/","CoreCivic Inc")</f>
        <v>0</v>
      </c>
      <c r="C771" s="1" t="s">
        <v>3183</v>
      </c>
      <c r="D771" s="3">
        <v>15.42</v>
      </c>
      <c r="E771" s="4">
        <v>0</v>
      </c>
      <c r="F771" s="4" t="s">
        <v>3178</v>
      </c>
      <c r="G771" s="4" t="s">
        <v>3178</v>
      </c>
      <c r="H771" s="3">
        <v>0</v>
      </c>
      <c r="I771" s="5">
        <v>1715.578746</v>
      </c>
      <c r="J771" s="6">
        <v>26.50238279949948</v>
      </c>
      <c r="K771" s="4">
        <v>0</v>
      </c>
      <c r="L771" s="7">
        <v>0.7077355049020381</v>
      </c>
      <c r="M771" s="3">
        <v>16.54</v>
      </c>
      <c r="N771" s="3">
        <v>9.02</v>
      </c>
    </row>
    <row r="772" spans="1:14">
      <c r="A772" s="8" t="s">
        <v>784</v>
      </c>
      <c r="B772" s="2">
        <f>HYPERLINK("https://www.suredividend.com/sure-analysis-research-database/","Cyanotech Corp.")</f>
        <v>0</v>
      </c>
      <c r="C772" s="1" t="s">
        <v>3184</v>
      </c>
      <c r="D772" s="3">
        <v>0.38</v>
      </c>
      <c r="E772" s="4">
        <v>0</v>
      </c>
      <c r="F772" s="4" t="s">
        <v>3178</v>
      </c>
      <c r="G772" s="4" t="s">
        <v>3178</v>
      </c>
      <c r="H772" s="3">
        <v>0</v>
      </c>
      <c r="I772" s="5">
        <v>2.605642</v>
      </c>
      <c r="J772" s="6">
        <v>0</v>
      </c>
      <c r="K772" s="4" t="s">
        <v>3178</v>
      </c>
      <c r="M772" s="3">
        <v>0.4999</v>
      </c>
      <c r="N772" s="3">
        <v>0.12</v>
      </c>
    </row>
    <row r="773" spans="1:14">
      <c r="A773" s="8" t="s">
        <v>785</v>
      </c>
      <c r="B773" s="2">
        <f>HYPERLINK("https://www.suredividend.com/sure-analysis-research-database/","Cyberoptics Corp.")</f>
        <v>0</v>
      </c>
      <c r="C773" s="1" t="s">
        <v>3181</v>
      </c>
      <c r="D773" s="3">
        <v>54</v>
      </c>
      <c r="E773" s="4">
        <v>0</v>
      </c>
      <c r="F773" s="4" t="s">
        <v>3178</v>
      </c>
      <c r="G773" s="4" t="s">
        <v>3178</v>
      </c>
      <c r="H773" s="3">
        <v>0</v>
      </c>
      <c r="I773" s="5">
        <v>0</v>
      </c>
      <c r="J773" s="6">
        <v>0</v>
      </c>
      <c r="K773" s="4">
        <v>0</v>
      </c>
    </row>
    <row r="774" spans="1:14">
      <c r="A774" s="8" t="s">
        <v>786</v>
      </c>
      <c r="B774" s="2">
        <f>HYPERLINK("https://www.suredividend.com/sure-analysis-research-database/","Cyclacel Pharmaceuticals Inc")</f>
        <v>0</v>
      </c>
      <c r="C774" s="1" t="s">
        <v>3176</v>
      </c>
      <c r="D774" s="3">
        <v>2</v>
      </c>
      <c r="E774" s="4">
        <v>0</v>
      </c>
      <c r="F774" s="4" t="s">
        <v>3178</v>
      </c>
      <c r="G774" s="4" t="s">
        <v>3178</v>
      </c>
      <c r="H774" s="3">
        <v>0</v>
      </c>
      <c r="I774" s="5">
        <v>2.926518</v>
      </c>
      <c r="J774" s="6">
        <v>0</v>
      </c>
      <c r="K774" s="4" t="s">
        <v>3178</v>
      </c>
      <c r="L774" s="7">
        <v>-0.705339321356238</v>
      </c>
      <c r="M774" s="3">
        <v>13.2</v>
      </c>
      <c r="N774" s="3">
        <v>1.3</v>
      </c>
    </row>
    <row r="775" spans="1:14">
      <c r="A775" s="8" t="s">
        <v>787</v>
      </c>
      <c r="B775" s="2">
        <f>HYPERLINK("https://www.suredividend.com/sure-analysis-research-database/","Cyclerion Therapeutics Inc")</f>
        <v>0</v>
      </c>
      <c r="C775" s="1" t="s">
        <v>3176</v>
      </c>
      <c r="D775" s="3">
        <v>2.55</v>
      </c>
      <c r="E775" s="4">
        <v>0</v>
      </c>
      <c r="F775" s="4" t="s">
        <v>3178</v>
      </c>
      <c r="G775" s="4" t="s">
        <v>3178</v>
      </c>
      <c r="H775" s="3">
        <v>0</v>
      </c>
      <c r="I775" s="5">
        <v>6.910745</v>
      </c>
      <c r="J775" s="6" t="s">
        <v>3178</v>
      </c>
      <c r="K775" s="4">
        <v>-0</v>
      </c>
      <c r="M775" s="3">
        <v>5.25</v>
      </c>
      <c r="N775" s="3">
        <v>1.75</v>
      </c>
    </row>
    <row r="776" spans="1:14">
      <c r="A776" s="8" t="s">
        <v>788</v>
      </c>
      <c r="B776" s="2">
        <f>HYPERLINK("https://www.suredividend.com/sure-analysis-research-database/","Community Health Systems, Inc.")</f>
        <v>0</v>
      </c>
      <c r="C776" s="1" t="s">
        <v>3176</v>
      </c>
      <c r="D776" s="3">
        <v>3.77</v>
      </c>
      <c r="E776" s="4">
        <v>0</v>
      </c>
      <c r="F776" s="4" t="s">
        <v>3178</v>
      </c>
      <c r="G776" s="4" t="s">
        <v>3178</v>
      </c>
      <c r="H776" s="3">
        <v>0</v>
      </c>
      <c r="I776" s="5">
        <v>523.903283</v>
      </c>
      <c r="J776" s="6" t="s">
        <v>3178</v>
      </c>
      <c r="K776" s="4">
        <v>-0</v>
      </c>
      <c r="L776" s="7">
        <v>2.164302536050674</v>
      </c>
      <c r="M776" s="3">
        <v>5.2</v>
      </c>
      <c r="N776" s="3">
        <v>2.01</v>
      </c>
    </row>
    <row r="777" spans="1:14">
      <c r="A777" s="8" t="s">
        <v>789</v>
      </c>
      <c r="B777" s="2">
        <f>HYPERLINK("https://www.suredividend.com/sure-analysis-research-database/","CryoPort Inc")</f>
        <v>0</v>
      </c>
      <c r="C777" s="1" t="s">
        <v>3179</v>
      </c>
      <c r="D777" s="3">
        <v>11.1</v>
      </c>
      <c r="E777" s="4">
        <v>0</v>
      </c>
      <c r="F777" s="4" t="s">
        <v>3178</v>
      </c>
      <c r="G777" s="4" t="s">
        <v>3178</v>
      </c>
      <c r="H777" s="3">
        <v>0</v>
      </c>
      <c r="I777" s="5">
        <v>546.757628</v>
      </c>
      <c r="J777" s="6">
        <v>0</v>
      </c>
      <c r="K777" s="4" t="s">
        <v>3178</v>
      </c>
      <c r="L777" s="7">
        <v>2.086381738229958</v>
      </c>
      <c r="M777" s="3">
        <v>23.5</v>
      </c>
      <c r="N777" s="3">
        <v>9</v>
      </c>
    </row>
    <row r="778" spans="1:14">
      <c r="A778" s="8" t="s">
        <v>790</v>
      </c>
      <c r="B778" s="2">
        <f>HYPERLINK("https://www.suredividend.com/sure-analysis-research-database/","Cytokinetics Inc")</f>
        <v>0</v>
      </c>
      <c r="C778" s="1" t="s">
        <v>3176</v>
      </c>
      <c r="D778" s="3">
        <v>52.79</v>
      </c>
      <c r="E778" s="4">
        <v>0</v>
      </c>
      <c r="F778" s="4" t="s">
        <v>3178</v>
      </c>
      <c r="G778" s="4" t="s">
        <v>3178</v>
      </c>
      <c r="H778" s="3">
        <v>0</v>
      </c>
      <c r="I778" s="5">
        <v>5535.238331</v>
      </c>
      <c r="J778" s="6" t="s">
        <v>3178</v>
      </c>
      <c r="K778" s="4">
        <v>-0</v>
      </c>
      <c r="L778" s="7">
        <v>1.510564787278838</v>
      </c>
      <c r="M778" s="3">
        <v>110.25</v>
      </c>
      <c r="N778" s="3">
        <v>25.98</v>
      </c>
    </row>
    <row r="779" spans="1:14">
      <c r="A779" s="8" t="s">
        <v>791</v>
      </c>
      <c r="B779" s="2">
        <f>HYPERLINK("https://www.suredividend.com/sure-analysis-research-database/","LadRx Corp")</f>
        <v>0</v>
      </c>
      <c r="C779" s="1" t="s">
        <v>3176</v>
      </c>
      <c r="D779" s="3">
        <v>0.092</v>
      </c>
      <c r="E779" s="4">
        <v>0</v>
      </c>
      <c r="F779" s="4" t="s">
        <v>3178</v>
      </c>
      <c r="G779" s="4" t="s">
        <v>3178</v>
      </c>
      <c r="H779" s="3">
        <v>0</v>
      </c>
      <c r="I779" s="5">
        <v>4.14344</v>
      </c>
      <c r="J779" s="6">
        <v>0</v>
      </c>
      <c r="K779" s="4" t="s">
        <v>3178</v>
      </c>
      <c r="M779" s="3">
        <v>0.86</v>
      </c>
      <c r="N779" s="3">
        <v>0.0521</v>
      </c>
    </row>
    <row r="780" spans="1:14">
      <c r="A780" s="8" t="s">
        <v>792</v>
      </c>
      <c r="B780" s="2">
        <f>HYPERLINK("https://www.suredividend.com/sure-analysis-research-database/","Citizens &amp; Northern Corp")</f>
        <v>0</v>
      </c>
      <c r="C780" s="1" t="s">
        <v>3180</v>
      </c>
      <c r="D780" s="3">
        <v>16.98</v>
      </c>
      <c r="E780" s="4">
        <v>0.06307088436560701</v>
      </c>
      <c r="F780" s="4">
        <v>0</v>
      </c>
      <c r="G780" s="4">
        <v>0.007300045195211657</v>
      </c>
      <c r="H780" s="3">
        <v>1.070943616528012</v>
      </c>
      <c r="I780" s="5">
        <v>261.086297</v>
      </c>
      <c r="J780" s="6">
        <v>11.3377756149036</v>
      </c>
      <c r="K780" s="4">
        <v>0.7045681687684289</v>
      </c>
      <c r="L780" s="7">
        <v>0.9293891780569411</v>
      </c>
      <c r="M780" s="3">
        <v>22.15</v>
      </c>
      <c r="N780" s="3">
        <v>15.47</v>
      </c>
    </row>
    <row r="781" spans="1:14">
      <c r="A781" s="8" t="s">
        <v>793</v>
      </c>
      <c r="B781" s="2">
        <f>HYPERLINK("https://www.suredividend.com/sure-analysis-research-database/","Caesars Entertainment Inc")</f>
        <v>0</v>
      </c>
      <c r="C781" s="1" t="s">
        <v>3182</v>
      </c>
      <c r="D781" s="3">
        <v>36.06</v>
      </c>
      <c r="E781" s="4">
        <v>0</v>
      </c>
      <c r="F781" s="4" t="s">
        <v>3178</v>
      </c>
      <c r="G781" s="4" t="s">
        <v>3178</v>
      </c>
      <c r="H781" s="3">
        <v>0</v>
      </c>
      <c r="I781" s="5">
        <v>7803.944228</v>
      </c>
      <c r="J781" s="6">
        <v>10.2145866860733</v>
      </c>
      <c r="K781" s="4">
        <v>0</v>
      </c>
      <c r="L781" s="7">
        <v>2.064721801296295</v>
      </c>
      <c r="M781" s="3">
        <v>60.27</v>
      </c>
      <c r="N781" s="3">
        <v>31.74</v>
      </c>
    </row>
    <row r="782" spans="1:14">
      <c r="A782" s="8" t="s">
        <v>794</v>
      </c>
      <c r="B782" s="2">
        <f>HYPERLINK("https://www.suredividend.com/sure-analysis-research-database/","Citizens Community Bancorp Inc MD")</f>
        <v>0</v>
      </c>
      <c r="C782" s="1" t="s">
        <v>3180</v>
      </c>
      <c r="D782" s="3">
        <v>11.26</v>
      </c>
      <c r="E782" s="4">
        <v>0.028419182313271</v>
      </c>
      <c r="F782" s="4" t="s">
        <v>3178</v>
      </c>
      <c r="G782" s="4" t="s">
        <v>3178</v>
      </c>
      <c r="H782" s="3">
        <v>0.319999992847442</v>
      </c>
      <c r="I782" s="5">
        <v>117.1754</v>
      </c>
      <c r="J782" s="6">
        <v>0</v>
      </c>
      <c r="K782" s="4" t="s">
        <v>3178</v>
      </c>
      <c r="M782" s="3">
        <v>12.61</v>
      </c>
      <c r="N782" s="3">
        <v>8.02</v>
      </c>
    </row>
    <row r="783" spans="1:14">
      <c r="A783" s="8" t="s">
        <v>795</v>
      </c>
      <c r="B783" s="2">
        <f>HYPERLINK("https://www.suredividend.com/sure-analysis-D/","Dominion Energy Inc")</f>
        <v>0</v>
      </c>
      <c r="C783" s="1" t="s">
        <v>3186</v>
      </c>
      <c r="D783" s="3">
        <v>51.44</v>
      </c>
      <c r="E783" s="4">
        <v>0.05190513219284604</v>
      </c>
      <c r="F783" s="4">
        <v>0</v>
      </c>
      <c r="G783" s="4">
        <v>-0.06164096616643056</v>
      </c>
      <c r="H783" s="3">
        <v>2.61752955398712</v>
      </c>
      <c r="I783" s="5">
        <v>43085.799609</v>
      </c>
      <c r="J783" s="6">
        <v>26.36829841444308</v>
      </c>
      <c r="K783" s="4">
        <v>1.342322848198523</v>
      </c>
      <c r="L783" s="7">
        <v>0.547329120910239</v>
      </c>
      <c r="M783" s="3">
        <v>54.07</v>
      </c>
      <c r="N783" s="3">
        <v>37.61</v>
      </c>
    </row>
    <row r="784" spans="1:14">
      <c r="A784" s="8" t="s">
        <v>796</v>
      </c>
      <c r="B784" s="2">
        <f>HYPERLINK("https://www.suredividend.com/sure-analysis-research-database/","Data io Corp.")</f>
        <v>0</v>
      </c>
      <c r="C784" s="1" t="s">
        <v>3181</v>
      </c>
      <c r="D784" s="3">
        <v>2.83</v>
      </c>
      <c r="E784" s="4">
        <v>0</v>
      </c>
      <c r="F784" s="4" t="s">
        <v>3178</v>
      </c>
      <c r="G784" s="4" t="s">
        <v>3178</v>
      </c>
      <c r="H784" s="3">
        <v>0</v>
      </c>
      <c r="I784" s="5">
        <v>25.541132</v>
      </c>
      <c r="J784" s="6">
        <v>0</v>
      </c>
      <c r="K784" s="4" t="s">
        <v>3178</v>
      </c>
      <c r="L784" s="7">
        <v>0.317449039155314</v>
      </c>
      <c r="M784" s="3">
        <v>4.8</v>
      </c>
      <c r="N784" s="3">
        <v>2.78</v>
      </c>
    </row>
    <row r="785" spans="1:14">
      <c r="A785" s="8" t="s">
        <v>797</v>
      </c>
      <c r="B785" s="2">
        <f>HYPERLINK("https://www.suredividend.com/sure-analysis-research-database/","Daktronics Inc.")</f>
        <v>0</v>
      </c>
      <c r="C785" s="1" t="s">
        <v>3181</v>
      </c>
      <c r="D785" s="3">
        <v>11.36</v>
      </c>
      <c r="E785" s="4">
        <v>0</v>
      </c>
      <c r="F785" s="4" t="s">
        <v>3178</v>
      </c>
      <c r="G785" s="4" t="s">
        <v>3178</v>
      </c>
      <c r="H785" s="3">
        <v>0</v>
      </c>
      <c r="I785" s="5">
        <v>524.710573</v>
      </c>
      <c r="J785" s="6">
        <v>9.807307632611863</v>
      </c>
      <c r="K785" s="4">
        <v>0</v>
      </c>
      <c r="L785" s="7">
        <v>1.234455376713822</v>
      </c>
      <c r="M785" s="3">
        <v>12.42</v>
      </c>
      <c r="N785" s="3">
        <v>5.94</v>
      </c>
    </row>
    <row r="786" spans="1:14">
      <c r="A786" s="8" t="s">
        <v>798</v>
      </c>
      <c r="B786" s="2">
        <f>HYPERLINK("https://www.suredividend.com/sure-analysis-research-database/","Delta Air Lines, Inc.")</f>
        <v>0</v>
      </c>
      <c r="C786" s="1" t="s">
        <v>3179</v>
      </c>
      <c r="D786" s="3">
        <v>50.44</v>
      </c>
      <c r="E786" s="4">
        <v>0.007904002075749001</v>
      </c>
      <c r="F786" s="4" t="s">
        <v>3178</v>
      </c>
      <c r="G786" s="4" t="s">
        <v>3178</v>
      </c>
      <c r="H786" s="3">
        <v>0.398677864700804</v>
      </c>
      <c r="I786" s="5">
        <v>32549.551555</v>
      </c>
      <c r="J786" s="6">
        <v>6.498213526556198</v>
      </c>
      <c r="K786" s="4">
        <v>0.05130989249688598</v>
      </c>
      <c r="L786" s="7">
        <v>1.266944132482182</v>
      </c>
      <c r="M786" s="3">
        <v>53.86</v>
      </c>
      <c r="N786" s="3">
        <v>30.47</v>
      </c>
    </row>
    <row r="787" spans="1:14">
      <c r="A787" s="8" t="s">
        <v>799</v>
      </c>
      <c r="B787" s="2">
        <f>HYPERLINK("https://www.suredividend.com/sure-analysis-research-database/","Dana Inc")</f>
        <v>0</v>
      </c>
      <c r="C787" s="1" t="s">
        <v>3182</v>
      </c>
      <c r="D787" s="3">
        <v>13.48</v>
      </c>
      <c r="E787" s="4">
        <v>0.029327955652123</v>
      </c>
      <c r="F787" s="4" t="s">
        <v>3178</v>
      </c>
      <c r="G787" s="4" t="s">
        <v>3178</v>
      </c>
      <c r="H787" s="3">
        <v>0.395340842190623</v>
      </c>
      <c r="I787" s="5">
        <v>1953.930057</v>
      </c>
      <c r="J787" s="6">
        <v>150.3023121138461</v>
      </c>
      <c r="K787" s="4">
        <v>4.402459267156158</v>
      </c>
      <c r="L787" s="7">
        <v>1.475861994015728</v>
      </c>
      <c r="M787" s="3">
        <v>19.17</v>
      </c>
      <c r="N787" s="3">
        <v>10.83</v>
      </c>
    </row>
    <row r="788" spans="1:14">
      <c r="A788" s="8" t="s">
        <v>800</v>
      </c>
      <c r="B788" s="2">
        <f>HYPERLINK("https://www.suredividend.com/sure-analysis-research-database/","Darling Ingredients Inc")</f>
        <v>0</v>
      </c>
      <c r="C788" s="1" t="s">
        <v>3184</v>
      </c>
      <c r="D788" s="3">
        <v>37.05</v>
      </c>
      <c r="E788" s="4">
        <v>0</v>
      </c>
      <c r="F788" s="4" t="s">
        <v>3178</v>
      </c>
      <c r="G788" s="4" t="s">
        <v>3178</v>
      </c>
      <c r="H788" s="3">
        <v>0</v>
      </c>
      <c r="I788" s="5">
        <v>5919.832439</v>
      </c>
      <c r="J788" s="6">
        <v>10.90043941550263</v>
      </c>
      <c r="K788" s="4">
        <v>0</v>
      </c>
      <c r="L788" s="7">
        <v>1.321971938458427</v>
      </c>
      <c r="M788" s="3">
        <v>71.59999999999999</v>
      </c>
      <c r="N788" s="3">
        <v>36.95</v>
      </c>
    </row>
    <row r="789" spans="1:14">
      <c r="A789" s="8" t="s">
        <v>801</v>
      </c>
      <c r="B789" s="2">
        <f>HYPERLINK("https://www.suredividend.com/sure-analysis-research-database/","Dare Bioscience Inc")</f>
        <v>0</v>
      </c>
      <c r="C789" s="1" t="s">
        <v>3176</v>
      </c>
      <c r="D789" s="3">
        <v>0.52</v>
      </c>
      <c r="E789" s="4">
        <v>0</v>
      </c>
      <c r="F789" s="4" t="s">
        <v>3178</v>
      </c>
      <c r="G789" s="4" t="s">
        <v>3178</v>
      </c>
      <c r="H789" s="3">
        <v>0</v>
      </c>
      <c r="I789" s="5">
        <v>52.568308</v>
      </c>
      <c r="J789" s="6">
        <v>0</v>
      </c>
      <c r="K789" s="4" t="s">
        <v>3178</v>
      </c>
      <c r="L789" s="7">
        <v>0.456080315416493</v>
      </c>
      <c r="M789" s="3">
        <v>1</v>
      </c>
      <c r="N789" s="3">
        <v>0.27</v>
      </c>
    </row>
    <row r="790" spans="1:14">
      <c r="A790" s="8" t="s">
        <v>802</v>
      </c>
      <c r="B790" s="2">
        <f>HYPERLINK("https://www.suredividend.com/sure-analysis-research-database/","Dave Inc")</f>
        <v>0</v>
      </c>
      <c r="C790" s="1" t="s">
        <v>3178</v>
      </c>
      <c r="D790" s="3">
        <v>37.62</v>
      </c>
      <c r="E790" s="4">
        <v>0</v>
      </c>
      <c r="F790" s="4" t="s">
        <v>3178</v>
      </c>
      <c r="G790" s="4" t="s">
        <v>3178</v>
      </c>
      <c r="H790" s="3">
        <v>0</v>
      </c>
      <c r="I790" s="5">
        <v>409.015399</v>
      </c>
      <c r="J790" s="6" t="s">
        <v>3178</v>
      </c>
      <c r="K790" s="4">
        <v>-0</v>
      </c>
      <c r="L790" s="7">
        <v>1.158954706033757</v>
      </c>
      <c r="M790" s="3">
        <v>63.5</v>
      </c>
      <c r="N790" s="3">
        <v>4.72</v>
      </c>
    </row>
    <row r="791" spans="1:14">
      <c r="A791" s="8" t="s">
        <v>803</v>
      </c>
      <c r="B791" s="2">
        <f>HYPERLINK("https://www.suredividend.com/sure-analysis-research-database/","Diebold Nixdorf Inc")</f>
        <v>0</v>
      </c>
      <c r="C791" s="1" t="s">
        <v>3181</v>
      </c>
      <c r="D791" s="3">
        <v>41.92</v>
      </c>
      <c r="E791" s="4">
        <v>0</v>
      </c>
      <c r="F791" s="4" t="s">
        <v>3178</v>
      </c>
      <c r="G791" s="4" t="s">
        <v>3178</v>
      </c>
      <c r="H791" s="3">
        <v>0</v>
      </c>
      <c r="I791" s="5">
        <v>1574.794723</v>
      </c>
      <c r="J791" s="6" t="s">
        <v>3178</v>
      </c>
      <c r="K791" s="4">
        <v>-0</v>
      </c>
      <c r="L791" s="7">
        <v>0.97325816712902</v>
      </c>
      <c r="M791" s="3">
        <v>45.15</v>
      </c>
      <c r="N791" s="3">
        <v>16.5</v>
      </c>
    </row>
    <row r="792" spans="1:14">
      <c r="A792" s="8" t="s">
        <v>804</v>
      </c>
      <c r="B792" s="2">
        <f>HYPERLINK("https://www.suredividend.com/sure-analysis-research-database/","Designer Brands Inc")</f>
        <v>0</v>
      </c>
      <c r="C792" s="1" t="s">
        <v>3182</v>
      </c>
      <c r="D792" s="3">
        <v>7.67</v>
      </c>
      <c r="E792" s="4">
        <v>0.032269225736684</v>
      </c>
      <c r="F792" s="4" t="s">
        <v>3178</v>
      </c>
      <c r="G792" s="4" t="s">
        <v>3178</v>
      </c>
      <c r="H792" s="3">
        <v>0.247504961400371</v>
      </c>
      <c r="I792" s="5">
        <v>384.039508</v>
      </c>
      <c r="J792" s="6">
        <v>20.79035880251191</v>
      </c>
      <c r="K792" s="4">
        <v>0.8239179806936452</v>
      </c>
      <c r="L792" s="7">
        <v>1.675447333725888</v>
      </c>
      <c r="M792" s="3">
        <v>13.19</v>
      </c>
      <c r="N792" s="3">
        <v>7.39</v>
      </c>
    </row>
    <row r="793" spans="1:14">
      <c r="A793" s="8" t="s">
        <v>805</v>
      </c>
      <c r="B793" s="2">
        <f>HYPERLINK("https://www.suredividend.com/sure-analysis-research-database/","Dropbox Inc")</f>
        <v>0</v>
      </c>
      <c r="C793" s="1" t="s">
        <v>3181</v>
      </c>
      <c r="D793" s="3">
        <v>21.42</v>
      </c>
      <c r="E793" s="4">
        <v>0</v>
      </c>
      <c r="F793" s="4" t="s">
        <v>3178</v>
      </c>
      <c r="G793" s="4" t="s">
        <v>3178</v>
      </c>
      <c r="H793" s="3">
        <v>0</v>
      </c>
      <c r="I793" s="5">
        <v>5362.27209</v>
      </c>
      <c r="J793" s="6">
        <v>11.8215875</v>
      </c>
      <c r="K793" s="4">
        <v>0</v>
      </c>
      <c r="L793" s="7">
        <v>1.029758138263927</v>
      </c>
      <c r="M793" s="3">
        <v>33.43</v>
      </c>
      <c r="N793" s="3">
        <v>21.34</v>
      </c>
    </row>
    <row r="794" spans="1:14">
      <c r="A794" s="8" t="s">
        <v>806</v>
      </c>
      <c r="B794" s="2">
        <f>HYPERLINK("https://www.suredividend.com/sure-analysis-DCI/","Donaldson Co. Inc.")</f>
        <v>0</v>
      </c>
      <c r="C794" s="1" t="s">
        <v>3179</v>
      </c>
      <c r="D794" s="3">
        <v>73.2</v>
      </c>
      <c r="E794" s="4">
        <v>0.01475409836065574</v>
      </c>
      <c r="F794" s="4">
        <v>0.08695652173913038</v>
      </c>
      <c r="G794" s="4">
        <v>0.03548578845590522</v>
      </c>
      <c r="H794" s="3">
        <v>0.7471218846538791</v>
      </c>
      <c r="I794" s="5">
        <v>8813.661665</v>
      </c>
      <c r="J794" s="6">
        <v>22.24548628167592</v>
      </c>
      <c r="K794" s="4">
        <v>0.2313070850321607</v>
      </c>
      <c r="L794" s="7">
        <v>0.833242034658055</v>
      </c>
      <c r="M794" s="3">
        <v>78.03</v>
      </c>
      <c r="N794" s="3">
        <v>56.61</v>
      </c>
    </row>
    <row r="795" spans="1:14">
      <c r="A795" s="8" t="s">
        <v>807</v>
      </c>
      <c r="B795" s="2">
        <f>HYPERLINK("https://www.suredividend.com/sure-analysis-research-database/","Ducommun Inc.")</f>
        <v>0</v>
      </c>
      <c r="C795" s="1" t="s">
        <v>3179</v>
      </c>
      <c r="D795" s="3">
        <v>57.98</v>
      </c>
      <c r="E795" s="4">
        <v>0</v>
      </c>
      <c r="F795" s="4" t="s">
        <v>3178</v>
      </c>
      <c r="G795" s="4" t="s">
        <v>3178</v>
      </c>
      <c r="H795" s="3">
        <v>0</v>
      </c>
      <c r="I795" s="5">
        <v>853.253277</v>
      </c>
      <c r="J795" s="6">
        <v>48.62950400319161</v>
      </c>
      <c r="K795" s="4">
        <v>0</v>
      </c>
      <c r="L795" s="7">
        <v>0.594661361889529</v>
      </c>
      <c r="M795" s="3">
        <v>60</v>
      </c>
      <c r="N795" s="3">
        <v>42.31</v>
      </c>
    </row>
    <row r="796" spans="1:14">
      <c r="A796" s="8" t="s">
        <v>808</v>
      </c>
      <c r="B796" s="2">
        <f>HYPERLINK("https://www.suredividend.com/sure-analysis-research-database/","Dime Community Bancshares Inc")</f>
        <v>0</v>
      </c>
      <c r="C796" s="1" t="s">
        <v>3180</v>
      </c>
      <c r="D796" s="3">
        <v>18.24</v>
      </c>
      <c r="E796" s="4">
        <v>0.053403447515103</v>
      </c>
      <c r="F796" s="4">
        <v>0</v>
      </c>
      <c r="G796" s="4">
        <v>0.1229551070568209</v>
      </c>
      <c r="H796" s="3">
        <v>0.97407888267548</v>
      </c>
      <c r="I796" s="5">
        <v>710.81373</v>
      </c>
      <c r="J796" s="6">
        <v>10.43963297849841</v>
      </c>
      <c r="K796" s="4">
        <v>0.5472353273457753</v>
      </c>
      <c r="L796" s="7">
        <v>1.520507332554556</v>
      </c>
      <c r="M796" s="3">
        <v>26.99</v>
      </c>
      <c r="N796" s="3">
        <v>15.77</v>
      </c>
    </row>
    <row r="797" spans="1:14">
      <c r="A797" s="8" t="s">
        <v>809</v>
      </c>
      <c r="B797" s="2">
        <f>HYPERLINK("https://www.suredividend.com/sure-analysis-research-database/","Deciphera Pharmaceuticals Inc")</f>
        <v>0</v>
      </c>
      <c r="C797" s="1" t="s">
        <v>3176</v>
      </c>
      <c r="D797" s="3">
        <v>25.57</v>
      </c>
      <c r="E797" s="4">
        <v>0</v>
      </c>
      <c r="F797" s="4" t="s">
        <v>3178</v>
      </c>
      <c r="G797" s="4" t="s">
        <v>3178</v>
      </c>
      <c r="H797" s="3">
        <v>0</v>
      </c>
      <c r="I797" s="5">
        <v>2211.190604</v>
      </c>
      <c r="J797" s="6" t="s">
        <v>3178</v>
      </c>
      <c r="K797" s="4">
        <v>-0</v>
      </c>
      <c r="L797" s="7">
        <v>1.294479538258356</v>
      </c>
      <c r="M797" s="3">
        <v>25.59</v>
      </c>
      <c r="N797" s="3">
        <v>9.9</v>
      </c>
    </row>
    <row r="798" spans="1:14">
      <c r="A798" s="8" t="s">
        <v>810</v>
      </c>
      <c r="B798" s="2">
        <f>HYPERLINK("https://www.suredividend.com/sure-analysis-DD/","DuPont de Nemours Inc")</f>
        <v>0</v>
      </c>
      <c r="C798" s="1" t="s">
        <v>3177</v>
      </c>
      <c r="D798" s="3">
        <v>80.01000000000001</v>
      </c>
      <c r="E798" s="4">
        <v>0.0189976252968379</v>
      </c>
      <c r="F798" s="4">
        <v>0.05555555555555558</v>
      </c>
      <c r="G798" s="4">
        <v>0.04841317128472133</v>
      </c>
      <c r="H798" s="3">
        <v>1.469178927262025</v>
      </c>
      <c r="I798" s="5">
        <v>33452.532244</v>
      </c>
      <c r="J798" s="6">
        <v>94.2324851940845</v>
      </c>
      <c r="K798" s="4">
        <v>1.8300684196089</v>
      </c>
      <c r="L798" s="7">
        <v>0.7013231054129401</v>
      </c>
      <c r="M798" s="3">
        <v>82.23999999999999</v>
      </c>
      <c r="N798" s="3">
        <v>60.52</v>
      </c>
    </row>
    <row r="799" spans="1:14">
      <c r="A799" s="8" t="s">
        <v>811</v>
      </c>
      <c r="B799" s="2">
        <f>HYPERLINK("https://www.suredividend.com/sure-analysis-research-database/","3D Systems Corp.")</f>
        <v>0</v>
      </c>
      <c r="C799" s="1" t="s">
        <v>3181</v>
      </c>
      <c r="D799" s="3">
        <v>4.12</v>
      </c>
      <c r="E799" s="4">
        <v>0</v>
      </c>
      <c r="F799" s="4" t="s">
        <v>3178</v>
      </c>
      <c r="G799" s="4" t="s">
        <v>3178</v>
      </c>
      <c r="H799" s="3">
        <v>0</v>
      </c>
      <c r="I799" s="5">
        <v>549.748282</v>
      </c>
      <c r="J799" s="6" t="s">
        <v>3178</v>
      </c>
      <c r="K799" s="4">
        <v>-0</v>
      </c>
      <c r="L799" s="7">
        <v>2.612084360847746</v>
      </c>
      <c r="M799" s="3">
        <v>11.09</v>
      </c>
      <c r="N799" s="3">
        <v>3.32</v>
      </c>
    </row>
    <row r="800" spans="1:14">
      <c r="A800" s="8" t="s">
        <v>812</v>
      </c>
      <c r="B800" s="2">
        <f>HYPERLINK("https://www.suredividend.com/sure-analysis-DDS/","Dillard`s Inc.")</f>
        <v>0</v>
      </c>
      <c r="C800" s="1" t="s">
        <v>3182</v>
      </c>
      <c r="D800" s="3">
        <v>429.44</v>
      </c>
      <c r="E800" s="4">
        <v>0.002328614008941878</v>
      </c>
      <c r="F800" s="4">
        <v>0.25</v>
      </c>
      <c r="G800" s="4">
        <v>0.1075663432482901</v>
      </c>
      <c r="H800" s="3">
        <v>0.925951287470386</v>
      </c>
      <c r="I800" s="5">
        <v>5257.996797</v>
      </c>
      <c r="J800" s="6">
        <v>7.116489336493212</v>
      </c>
      <c r="K800" s="4">
        <v>0.02070090068120693</v>
      </c>
      <c r="L800" s="7">
        <v>1.41654032105221</v>
      </c>
      <c r="M800" s="3">
        <v>476.48</v>
      </c>
      <c r="N800" s="3">
        <v>271.27</v>
      </c>
    </row>
    <row r="801" spans="1:14">
      <c r="A801" s="8" t="s">
        <v>813</v>
      </c>
      <c r="B801" s="2">
        <f>HYPERLINK("https://www.suredividend.com/sure-analysis-DE/","Deere &amp; Co.")</f>
        <v>0</v>
      </c>
      <c r="C801" s="1" t="s">
        <v>3179</v>
      </c>
      <c r="D801" s="3">
        <v>368.58</v>
      </c>
      <c r="E801" s="4">
        <v>0.0159531173693635</v>
      </c>
      <c r="F801" s="4">
        <v>0.1759999999999999</v>
      </c>
      <c r="G801" s="4">
        <v>0.1410396828656066</v>
      </c>
      <c r="H801" s="3">
        <v>5.511148543370187</v>
      </c>
      <c r="I801" s="5">
        <v>101569.707808</v>
      </c>
      <c r="J801" s="6">
        <v>10.72768354546261</v>
      </c>
      <c r="K801" s="4">
        <v>0.1655496708732408</v>
      </c>
      <c r="L801" s="7">
        <v>0.8800160256324721</v>
      </c>
      <c r="M801" s="3">
        <v>445.13</v>
      </c>
      <c r="N801" s="3">
        <v>351.85</v>
      </c>
    </row>
    <row r="802" spans="1:14">
      <c r="A802" s="8" t="s">
        <v>814</v>
      </c>
      <c r="B802" s="2">
        <f>HYPERLINK("https://www.suredividend.com/sure-analysis-DEA/","Easterly Government Properties Inc")</f>
        <v>0</v>
      </c>
      <c r="C802" s="1" t="s">
        <v>3183</v>
      </c>
      <c r="D802" s="3">
        <v>11.92</v>
      </c>
      <c r="E802" s="4">
        <v>0.08892617449664431</v>
      </c>
      <c r="F802" s="4">
        <v>0</v>
      </c>
      <c r="G802" s="4">
        <v>0.003816904892658401</v>
      </c>
      <c r="H802" s="3">
        <v>1.025125771995585</v>
      </c>
      <c r="I802" s="5">
        <v>1227.74783</v>
      </c>
      <c r="J802" s="6">
        <v>64.82301107074973</v>
      </c>
      <c r="K802" s="4">
        <v>5.265155480203313</v>
      </c>
      <c r="L802" s="7">
        <v>1.117699896723601</v>
      </c>
      <c r="M802" s="3">
        <v>13.95</v>
      </c>
      <c r="N802" s="3">
        <v>9.6</v>
      </c>
    </row>
    <row r="803" spans="1:14">
      <c r="A803" s="8" t="s">
        <v>815</v>
      </c>
      <c r="B803" s="2">
        <f>HYPERLINK("https://www.suredividend.com/sure-analysis-research-database/","Deckers Outdoor Corp.")</f>
        <v>0</v>
      </c>
      <c r="C803" s="1" t="s">
        <v>3182</v>
      </c>
      <c r="D803" s="3">
        <v>1044.31</v>
      </c>
      <c r="E803" s="4">
        <v>0</v>
      </c>
      <c r="F803" s="4" t="s">
        <v>3178</v>
      </c>
      <c r="G803" s="4" t="s">
        <v>3178</v>
      </c>
      <c r="H803" s="3">
        <v>0</v>
      </c>
      <c r="I803" s="5">
        <v>26569.851953</v>
      </c>
      <c r="J803" s="6">
        <v>34.98044527372976</v>
      </c>
      <c r="K803" s="4">
        <v>0</v>
      </c>
      <c r="L803" s="7">
        <v>1.251233220075491</v>
      </c>
      <c r="M803" s="3">
        <v>1106.89</v>
      </c>
      <c r="N803" s="3">
        <v>484.02</v>
      </c>
    </row>
    <row r="804" spans="1:14">
      <c r="A804" s="8" t="s">
        <v>816</v>
      </c>
      <c r="B804" s="2">
        <f>HYPERLINK("https://www.suredividend.com/sure-analysis-DEI/","Douglas Emmett Inc")</f>
        <v>0</v>
      </c>
      <c r="C804" s="1" t="s">
        <v>3183</v>
      </c>
      <c r="D804" s="3">
        <v>13.37</v>
      </c>
      <c r="E804" s="4">
        <v>0.0568436798803291</v>
      </c>
      <c r="F804" s="4">
        <v>0</v>
      </c>
      <c r="G804" s="4">
        <v>-0.0608043971951574</v>
      </c>
      <c r="H804" s="3">
        <v>0.7441580253587691</v>
      </c>
      <c r="I804" s="5">
        <v>2237.853714</v>
      </c>
      <c r="J804" s="6" t="s">
        <v>3178</v>
      </c>
      <c r="K804" s="4" t="s">
        <v>3178</v>
      </c>
      <c r="L804" s="7">
        <v>1.768411984832453</v>
      </c>
      <c r="M804" s="3">
        <v>15.69</v>
      </c>
      <c r="N804" s="3">
        <v>10.47</v>
      </c>
    </row>
    <row r="805" spans="1:14">
      <c r="A805" s="8" t="s">
        <v>817</v>
      </c>
      <c r="B805" s="2">
        <f>HYPERLINK("https://www.suredividend.com/sure-analysis-research-database/","Dell Technologies Inc")</f>
        <v>0</v>
      </c>
      <c r="C805" s="1" t="s">
        <v>3181</v>
      </c>
      <c r="D805" s="3">
        <v>129.97</v>
      </c>
      <c r="E805" s="4">
        <v>0.011890141191592</v>
      </c>
      <c r="F805" s="4" t="s">
        <v>3178</v>
      </c>
      <c r="G805" s="4" t="s">
        <v>3178</v>
      </c>
      <c r="H805" s="3">
        <v>1.545361650671327</v>
      </c>
      <c r="I805" s="5">
        <v>92771.28630000001</v>
      </c>
      <c r="J805" s="6">
        <v>12.40321944657428</v>
      </c>
      <c r="K805" s="4">
        <v>0.3544407455668181</v>
      </c>
      <c r="L805" s="7">
        <v>1.353649576351019</v>
      </c>
      <c r="M805" s="3">
        <v>179.7</v>
      </c>
      <c r="N805" s="3">
        <v>46.63</v>
      </c>
    </row>
    <row r="806" spans="1:14">
      <c r="A806" s="8" t="s">
        <v>818</v>
      </c>
      <c r="B806" s="2">
        <f>HYPERLINK("https://www.suredividend.com/sure-analysis-research-database/","Denny`s Corp.")</f>
        <v>0</v>
      </c>
      <c r="C806" s="1" t="s">
        <v>3182</v>
      </c>
      <c r="D806" s="3">
        <v>6.94</v>
      </c>
      <c r="E806" s="4">
        <v>0</v>
      </c>
      <c r="F806" s="4" t="s">
        <v>3178</v>
      </c>
      <c r="G806" s="4" t="s">
        <v>3178</v>
      </c>
      <c r="H806" s="3">
        <v>0</v>
      </c>
      <c r="I806" s="5">
        <v>361.008966</v>
      </c>
      <c r="J806" s="6">
        <v>15.01763659137235</v>
      </c>
      <c r="K806" s="4">
        <v>0</v>
      </c>
      <c r="L806" s="7">
        <v>1.136768988664881</v>
      </c>
      <c r="M806" s="3">
        <v>12.53</v>
      </c>
      <c r="N806" s="3">
        <v>6.77</v>
      </c>
    </row>
    <row r="807" spans="1:14">
      <c r="A807" s="8" t="s">
        <v>819</v>
      </c>
      <c r="B807" s="2">
        <f>HYPERLINK("https://www.suredividend.com/sure-analysis-research-database/","Journey Medical Corp")</f>
        <v>0</v>
      </c>
      <c r="C807" s="1" t="s">
        <v>3178</v>
      </c>
      <c r="D807" s="3">
        <v>4.7</v>
      </c>
      <c r="E807" s="4">
        <v>0</v>
      </c>
      <c r="F807" s="4" t="s">
        <v>3178</v>
      </c>
      <c r="G807" s="4" t="s">
        <v>3178</v>
      </c>
      <c r="H807" s="3">
        <v>0</v>
      </c>
      <c r="I807" s="5">
        <v>65.86061100000001</v>
      </c>
      <c r="J807" s="6" t="s">
        <v>3178</v>
      </c>
      <c r="K807" s="4">
        <v>-0</v>
      </c>
      <c r="L807" s="7">
        <v>-0.3997599206757531</v>
      </c>
      <c r="M807" s="3">
        <v>8.109999999999999</v>
      </c>
      <c r="N807" s="3">
        <v>1.49</v>
      </c>
    </row>
    <row r="808" spans="1:14">
      <c r="A808" s="8" t="s">
        <v>820</v>
      </c>
      <c r="B808" s="2">
        <f>HYPERLINK("https://www.suredividend.com/sure-analysis-research-database/","Donnelley Financial Solutions Inc")</f>
        <v>0</v>
      </c>
      <c r="C808" s="1" t="s">
        <v>3180</v>
      </c>
      <c r="D808" s="3">
        <v>58.35</v>
      </c>
      <c r="E808" s="4">
        <v>0</v>
      </c>
      <c r="F808" s="4" t="s">
        <v>3178</v>
      </c>
      <c r="G808" s="4" t="s">
        <v>3178</v>
      </c>
      <c r="H808" s="3">
        <v>0</v>
      </c>
      <c r="I808" s="5">
        <v>1710.581248</v>
      </c>
      <c r="J808" s="6">
        <v>17.15728433199599</v>
      </c>
      <c r="K808" s="4">
        <v>0</v>
      </c>
      <c r="L808" s="7">
        <v>0.910925553400548</v>
      </c>
      <c r="M808" s="3">
        <v>66.20999999999999</v>
      </c>
      <c r="N808" s="3">
        <v>41.98</v>
      </c>
    </row>
    <row r="809" spans="1:14">
      <c r="A809" s="8" t="s">
        <v>821</v>
      </c>
      <c r="B809" s="2">
        <f>HYPERLINK("https://www.suredividend.com/sure-analysis-DFS/","Discover Financial Services")</f>
        <v>0</v>
      </c>
      <c r="C809" s="1" t="s">
        <v>3180</v>
      </c>
      <c r="D809" s="3">
        <v>124.9</v>
      </c>
      <c r="E809" s="4">
        <v>0.02241793434747798</v>
      </c>
      <c r="F809" s="4" t="s">
        <v>3178</v>
      </c>
      <c r="G809" s="4" t="s">
        <v>3178</v>
      </c>
      <c r="H809" s="3">
        <v>2.77485215901426</v>
      </c>
      <c r="I809" s="5">
        <v>31299.819721</v>
      </c>
      <c r="J809" s="6">
        <v>14.26609832329079</v>
      </c>
      <c r="K809" s="4">
        <v>0.3174888053792059</v>
      </c>
      <c r="L809" s="7">
        <v>0.995209904461511</v>
      </c>
      <c r="M809" s="3">
        <v>130.91</v>
      </c>
      <c r="N809" s="3">
        <v>77.53</v>
      </c>
    </row>
    <row r="810" spans="1:14">
      <c r="A810" s="8" t="s">
        <v>822</v>
      </c>
      <c r="B810" s="2">
        <f>HYPERLINK("https://www.suredividend.com/sure-analysis-DG/","Dollar General Corp.")</f>
        <v>0</v>
      </c>
      <c r="C810" s="1" t="s">
        <v>3184</v>
      </c>
      <c r="D810" s="3">
        <v>126.61</v>
      </c>
      <c r="E810" s="4">
        <v>0.0186399178579891</v>
      </c>
      <c r="F810" s="4">
        <v>0</v>
      </c>
      <c r="G810" s="4">
        <v>0.1301612348134078</v>
      </c>
      <c r="H810" s="3">
        <v>2.34509988348726</v>
      </c>
      <c r="I810" s="5">
        <v>27840.86189</v>
      </c>
      <c r="J810" s="6">
        <v>18.43508085275501</v>
      </c>
      <c r="K810" s="4">
        <v>0.3413536948307511</v>
      </c>
      <c r="L810" s="7">
        <v>0.6605500568036331</v>
      </c>
      <c r="M810" s="3">
        <v>171.12</v>
      </c>
      <c r="N810" s="3">
        <v>100.28</v>
      </c>
    </row>
    <row r="811" spans="1:14">
      <c r="A811" s="8" t="s">
        <v>823</v>
      </c>
      <c r="B811" s="2">
        <f>HYPERLINK("https://www.suredividend.com/sure-analysis-DGICA/","Donegal Group Inc.")</f>
        <v>0</v>
      </c>
      <c r="C811" s="1" t="s">
        <v>3180</v>
      </c>
      <c r="D811" s="3">
        <v>13.11</v>
      </c>
      <c r="E811" s="4">
        <v>0.05263157894736842</v>
      </c>
      <c r="F811" s="4">
        <v>0.01470588235294112</v>
      </c>
      <c r="G811" s="4">
        <v>0.03534292341342726</v>
      </c>
      <c r="H811" s="3">
        <v>0.664661968642138</v>
      </c>
      <c r="I811" s="5">
        <v>433.493737</v>
      </c>
      <c r="J811" s="6">
        <v>83.72712124615569</v>
      </c>
      <c r="K811" s="4">
        <v>4.107923168369209</v>
      </c>
      <c r="L811" s="7">
        <v>0.158885819844335</v>
      </c>
      <c r="M811" s="3">
        <v>14.94</v>
      </c>
      <c r="N811" s="3">
        <v>12.8</v>
      </c>
    </row>
    <row r="812" spans="1:14">
      <c r="A812" s="8" t="s">
        <v>824</v>
      </c>
      <c r="B812" s="2">
        <f>HYPERLINK("https://www.suredividend.com/sure-analysis-research-database/","Digi International, Inc.")</f>
        <v>0</v>
      </c>
      <c r="C812" s="1" t="s">
        <v>3181</v>
      </c>
      <c r="D812" s="3">
        <v>22.68</v>
      </c>
      <c r="E812" s="4">
        <v>0</v>
      </c>
      <c r="F812" s="4" t="s">
        <v>3178</v>
      </c>
      <c r="G812" s="4" t="s">
        <v>3178</v>
      </c>
      <c r="H812" s="3">
        <v>0</v>
      </c>
      <c r="I812" s="5">
        <v>824.975815</v>
      </c>
      <c r="J812" s="6">
        <v>58.79246113169897</v>
      </c>
      <c r="K812" s="4">
        <v>0</v>
      </c>
      <c r="L812" s="7">
        <v>1.504270999081977</v>
      </c>
      <c r="M812" s="3">
        <v>42.95</v>
      </c>
      <c r="N812" s="3">
        <v>21.25</v>
      </c>
    </row>
    <row r="813" spans="1:14">
      <c r="A813" s="8" t="s">
        <v>825</v>
      </c>
      <c r="B813" s="2">
        <f>HYPERLINK("https://www.suredividend.com/sure-analysis-research-database/","Digital Ally Inc.")</f>
        <v>0</v>
      </c>
      <c r="C813" s="1" t="s">
        <v>3179</v>
      </c>
      <c r="D813" s="3">
        <v>3.1327</v>
      </c>
      <c r="E813" s="4">
        <v>0</v>
      </c>
      <c r="F813" s="4" t="s">
        <v>3178</v>
      </c>
      <c r="G813" s="4" t="s">
        <v>3178</v>
      </c>
      <c r="H813" s="3">
        <v>0</v>
      </c>
      <c r="I813" s="5">
        <v>9.021630999999999</v>
      </c>
      <c r="J813" s="6" t="s">
        <v>3178</v>
      </c>
      <c r="K813" s="4">
        <v>-0</v>
      </c>
      <c r="L813" s="7">
        <v>1.037884568439699</v>
      </c>
      <c r="M813" s="3">
        <v>4.66</v>
      </c>
      <c r="N813" s="3">
        <v>1.73</v>
      </c>
    </row>
    <row r="814" spans="1:14">
      <c r="A814" s="8" t="s">
        <v>826</v>
      </c>
      <c r="B814" s="2">
        <f>HYPERLINK("https://www.suredividend.com/sure-analysis-DGX/","Quest Diagnostics, Inc.")</f>
        <v>0</v>
      </c>
      <c r="C814" s="1" t="s">
        <v>3176</v>
      </c>
      <c r="D814" s="3">
        <v>142.34</v>
      </c>
      <c r="E814" s="4">
        <v>0.02072502458901223</v>
      </c>
      <c r="F814" s="4">
        <v>0.05633802816901423</v>
      </c>
      <c r="G814" s="4">
        <v>0.0719069301576436</v>
      </c>
      <c r="H814" s="3">
        <v>2.856374981833131</v>
      </c>
      <c r="I814" s="5">
        <v>15812.774643</v>
      </c>
      <c r="J814" s="6">
        <v>18.78001739092636</v>
      </c>
      <c r="K814" s="4">
        <v>0.3823795156403121</v>
      </c>
      <c r="L814" s="7">
        <v>0.28269366807964</v>
      </c>
      <c r="M814" s="3">
        <v>145.62</v>
      </c>
      <c r="N814" s="3">
        <v>117.6</v>
      </c>
    </row>
    <row r="815" spans="1:14">
      <c r="A815" s="8" t="s">
        <v>827</v>
      </c>
      <c r="B815" s="2">
        <f>HYPERLINK("https://www.suredividend.com/sure-analysis-DHI/","D.R. Horton Inc.")</f>
        <v>0</v>
      </c>
      <c r="C815" s="1" t="s">
        <v>3182</v>
      </c>
      <c r="D815" s="3">
        <v>140.22</v>
      </c>
      <c r="E815" s="4">
        <v>0.008557980316645272</v>
      </c>
      <c r="F815" s="4">
        <v>0.2000000000000002</v>
      </c>
      <c r="G815" s="4">
        <v>0.1486983549970351</v>
      </c>
      <c r="H815" s="3">
        <v>1.146506353309294</v>
      </c>
      <c r="I815" s="5">
        <v>46176.163415</v>
      </c>
      <c r="J815" s="6">
        <v>9.301646438482766</v>
      </c>
      <c r="K815" s="4">
        <v>0.07799362947682273</v>
      </c>
      <c r="L815" s="7">
        <v>1.468995418804069</v>
      </c>
      <c r="M815" s="3">
        <v>165.4</v>
      </c>
      <c r="N815" s="3">
        <v>99.43000000000001</v>
      </c>
    </row>
    <row r="816" spans="1:14">
      <c r="A816" s="8" t="s">
        <v>828</v>
      </c>
      <c r="B816" s="2">
        <f>HYPERLINK("https://www.suredividend.com/sure-analysis-research-database/","Diamond Hill Investment Group, Inc.")</f>
        <v>0</v>
      </c>
      <c r="C816" s="1" t="s">
        <v>3180</v>
      </c>
      <c r="D816" s="3">
        <v>148.96</v>
      </c>
      <c r="E816" s="4">
        <v>0.039301264934785</v>
      </c>
      <c r="F816" s="4" t="s">
        <v>3178</v>
      </c>
      <c r="G816" s="4" t="s">
        <v>3178</v>
      </c>
      <c r="H816" s="3">
        <v>5.854316424685601</v>
      </c>
      <c r="I816" s="5">
        <v>413.049694</v>
      </c>
      <c r="J816" s="6">
        <v>9.710864169278038</v>
      </c>
      <c r="K816" s="4">
        <v>0.3987953967769483</v>
      </c>
      <c r="L816" s="7">
        <v>0.678232480265026</v>
      </c>
      <c r="M816" s="3">
        <v>176.22</v>
      </c>
      <c r="N816" s="3">
        <v>138.92</v>
      </c>
    </row>
    <row r="817" spans="1:14">
      <c r="A817" s="8" t="s">
        <v>829</v>
      </c>
      <c r="B817" s="2">
        <f>HYPERLINK("https://www.suredividend.com/sure-analysis-DHR/","Danaher Corp.")</f>
        <v>0</v>
      </c>
      <c r="C817" s="1" t="s">
        <v>3176</v>
      </c>
      <c r="D817" s="3">
        <v>263.08</v>
      </c>
      <c r="E817" s="4">
        <v>0.004105215143682531</v>
      </c>
      <c r="F817" s="4">
        <v>0</v>
      </c>
      <c r="G817" s="4">
        <v>0.09694024046466465</v>
      </c>
      <c r="H817" s="3">
        <v>1.048263887542864</v>
      </c>
      <c r="I817" s="5">
        <v>194859.815206</v>
      </c>
      <c r="J817" s="6">
        <v>44.26620063750114</v>
      </c>
      <c r="K817" s="4">
        <v>0.1721287171663159</v>
      </c>
      <c r="L817" s="7">
        <v>0.886628897256282</v>
      </c>
      <c r="M817" s="3">
        <v>269.11</v>
      </c>
      <c r="N817" s="3">
        <v>181.7</v>
      </c>
    </row>
    <row r="818" spans="1:14">
      <c r="A818" s="8" t="s">
        <v>830</v>
      </c>
      <c r="B818" s="2">
        <f>HYPERLINK("https://www.suredividend.com/sure-analysis-research-database/","DHI Group Inc")</f>
        <v>0</v>
      </c>
      <c r="C818" s="1" t="s">
        <v>3179</v>
      </c>
      <c r="D818" s="3">
        <v>2.07</v>
      </c>
      <c r="E818" s="4">
        <v>0</v>
      </c>
      <c r="F818" s="4" t="s">
        <v>3178</v>
      </c>
      <c r="G818" s="4" t="s">
        <v>3178</v>
      </c>
      <c r="H818" s="3">
        <v>0</v>
      </c>
      <c r="I818" s="5">
        <v>100.06405</v>
      </c>
      <c r="J818" s="6">
        <v>28.66343468060727</v>
      </c>
      <c r="K818" s="4">
        <v>0</v>
      </c>
      <c r="L818" s="7">
        <v>1.251166030933476</v>
      </c>
      <c r="M818" s="3">
        <v>4.22</v>
      </c>
      <c r="N818" s="3">
        <v>1.95</v>
      </c>
    </row>
    <row r="819" spans="1:14">
      <c r="A819" s="8" t="s">
        <v>831</v>
      </c>
      <c r="B819" s="2">
        <f>HYPERLINK("https://www.suredividend.com/sure-analysis-research-database/","Dine Brands Global Inc")</f>
        <v>0</v>
      </c>
      <c r="C819" s="1" t="s">
        <v>3182</v>
      </c>
      <c r="D819" s="3">
        <v>37.72</v>
      </c>
      <c r="E819" s="4">
        <v>0.053238507419966</v>
      </c>
      <c r="F819" s="4" t="s">
        <v>3178</v>
      </c>
      <c r="G819" s="4" t="s">
        <v>3178</v>
      </c>
      <c r="H819" s="3">
        <v>2.008156499881119</v>
      </c>
      <c r="I819" s="5">
        <v>581.060343</v>
      </c>
      <c r="J819" s="6">
        <v>6.828853819882712</v>
      </c>
      <c r="K819" s="4">
        <v>0.3573232206194162</v>
      </c>
      <c r="L819" s="7">
        <v>0.7988664814948371</v>
      </c>
      <c r="M819" s="3">
        <v>61.85</v>
      </c>
      <c r="N819" s="3">
        <v>37.19</v>
      </c>
    </row>
    <row r="820" spans="1:14">
      <c r="A820" s="8" t="s">
        <v>832</v>
      </c>
      <c r="B820" s="2">
        <f>HYPERLINK("https://www.suredividend.com/sure-analysis-research-database/","Diodes, Inc.")</f>
        <v>0</v>
      </c>
      <c r="C820" s="1" t="s">
        <v>3181</v>
      </c>
      <c r="D820" s="3">
        <v>71.51000000000001</v>
      </c>
      <c r="E820" s="4">
        <v>0</v>
      </c>
      <c r="F820" s="4" t="s">
        <v>3178</v>
      </c>
      <c r="G820" s="4" t="s">
        <v>3178</v>
      </c>
      <c r="H820" s="3">
        <v>0</v>
      </c>
      <c r="I820" s="5">
        <v>3296.611</v>
      </c>
      <c r="J820" s="6">
        <v>19.38384782736521</v>
      </c>
      <c r="K820" s="4">
        <v>0</v>
      </c>
      <c r="L820" s="7">
        <v>1.685848358955558</v>
      </c>
      <c r="M820" s="3">
        <v>96.69</v>
      </c>
      <c r="N820" s="3">
        <v>60</v>
      </c>
    </row>
    <row r="821" spans="1:14">
      <c r="A821" s="8" t="s">
        <v>833</v>
      </c>
      <c r="B821" s="2">
        <f>HYPERLINK("https://www.suredividend.com/sure-analysis-DIS/","Walt Disney Co (The)")</f>
        <v>0</v>
      </c>
      <c r="C821" s="1" t="s">
        <v>3187</v>
      </c>
      <c r="D821" s="3">
        <v>101.54</v>
      </c>
      <c r="E821" s="4">
        <v>0.008863502068150482</v>
      </c>
      <c r="F821" s="4" t="s">
        <v>3178</v>
      </c>
      <c r="G821" s="4" t="s">
        <v>3178</v>
      </c>
      <c r="H821" s="3">
        <v>0</v>
      </c>
      <c r="I821" s="5">
        <v>185111.78886</v>
      </c>
      <c r="J821" s="6">
        <v>109.2104949026785</v>
      </c>
      <c r="K821" s="4">
        <v>0</v>
      </c>
      <c r="L821" s="7">
        <v>0.676182176056578</v>
      </c>
      <c r="M821" s="3">
        <v>123.74</v>
      </c>
      <c r="N821" s="3">
        <v>78.48</v>
      </c>
    </row>
    <row r="822" spans="1:14">
      <c r="A822" s="8" t="s">
        <v>834</v>
      </c>
      <c r="B822" s="2">
        <f>HYPERLINK("https://www.suredividend.com/sure-analysis-research-database/","Warner Bros.Discovery Inc")</f>
        <v>0</v>
      </c>
      <c r="C822" s="1" t="s">
        <v>3187</v>
      </c>
      <c r="D822" s="3">
        <v>24.42</v>
      </c>
      <c r="E822" s="4">
        <v>0</v>
      </c>
      <c r="F822" s="4" t="s">
        <v>3178</v>
      </c>
      <c r="G822" s="4" t="s">
        <v>3178</v>
      </c>
      <c r="H822" s="3">
        <v>0</v>
      </c>
      <c r="I822" s="5">
        <v>59712</v>
      </c>
      <c r="J822" s="6">
        <v>0</v>
      </c>
      <c r="K822" s="4" t="s">
        <v>3178</v>
      </c>
    </row>
    <row r="823" spans="1:14">
      <c r="A823" s="8" t="s">
        <v>835</v>
      </c>
      <c r="B823" s="2">
        <f>HYPERLINK("https://www.suredividend.com/sure-analysis-research-database/","Dish Network Corp")</f>
        <v>0</v>
      </c>
      <c r="C823" s="1" t="s">
        <v>3187</v>
      </c>
      <c r="D823" s="3">
        <v>5.77</v>
      </c>
      <c r="E823" s="4">
        <v>0</v>
      </c>
      <c r="F823" s="4" t="s">
        <v>3178</v>
      </c>
      <c r="G823" s="4" t="s">
        <v>3178</v>
      </c>
      <c r="H823" s="3">
        <v>0</v>
      </c>
      <c r="I823" s="5">
        <v>0</v>
      </c>
      <c r="J823" s="6">
        <v>0</v>
      </c>
      <c r="K823" s="4">
        <v>0</v>
      </c>
    </row>
    <row r="824" spans="1:14">
      <c r="A824" s="8" t="s">
        <v>836</v>
      </c>
      <c r="B824" s="2">
        <f>HYPERLINK("https://www.suredividend.com/sure-analysis-research-database/","Amcon Distributing Company")</f>
        <v>0</v>
      </c>
      <c r="C824" s="1" t="s">
        <v>3184</v>
      </c>
      <c r="D824" s="3">
        <v>137.31</v>
      </c>
      <c r="E824" s="4">
        <v>0.003919813677941001</v>
      </c>
      <c r="F824" s="4">
        <v>0</v>
      </c>
      <c r="G824" s="4">
        <v>0</v>
      </c>
      <c r="H824" s="3">
        <v>0.5382296161182071</v>
      </c>
      <c r="I824" s="5">
        <v>86.55500600000001</v>
      </c>
      <c r="J824" s="6">
        <v>0</v>
      </c>
      <c r="K824" s="4" t="s">
        <v>3178</v>
      </c>
      <c r="M824" s="3">
        <v>248.16</v>
      </c>
      <c r="N824" s="3">
        <v>133.61</v>
      </c>
    </row>
    <row r="825" spans="1:14">
      <c r="A825" s="8" t="s">
        <v>837</v>
      </c>
      <c r="B825" s="2">
        <f>HYPERLINK("https://www.suredividend.com/sure-analysis-research-database/","Daily Journal Corporation")</f>
        <v>0</v>
      </c>
      <c r="C825" s="1" t="s">
        <v>3187</v>
      </c>
      <c r="D825" s="3">
        <v>365.24</v>
      </c>
      <c r="E825" s="4">
        <v>0</v>
      </c>
      <c r="F825" s="4" t="s">
        <v>3178</v>
      </c>
      <c r="G825" s="4" t="s">
        <v>3178</v>
      </c>
      <c r="H825" s="3">
        <v>0</v>
      </c>
      <c r="I825" s="5">
        <v>502.944976</v>
      </c>
      <c r="J825" s="6">
        <v>0</v>
      </c>
      <c r="K825" s="4" t="s">
        <v>3178</v>
      </c>
      <c r="M825" s="3">
        <v>402.95</v>
      </c>
      <c r="N825" s="3">
        <v>280.18</v>
      </c>
    </row>
    <row r="826" spans="1:14">
      <c r="A826" s="8" t="s">
        <v>838</v>
      </c>
      <c r="B826" s="2">
        <f>HYPERLINK("https://www.suredividend.com/sure-analysis-research-database/","Delek US Holdings Inc")</f>
        <v>0</v>
      </c>
      <c r="C826" s="1" t="s">
        <v>3185</v>
      </c>
      <c r="D826" s="3">
        <v>25.28</v>
      </c>
      <c r="E826" s="4">
        <v>0.037842448941919</v>
      </c>
      <c r="F826" s="4" t="s">
        <v>3178</v>
      </c>
      <c r="G826" s="4" t="s">
        <v>3178</v>
      </c>
      <c r="H826" s="3">
        <v>0.95665710925172</v>
      </c>
      <c r="I826" s="5">
        <v>1621.233551</v>
      </c>
      <c r="J826" s="6">
        <v>0</v>
      </c>
      <c r="K826" s="4" t="s">
        <v>3178</v>
      </c>
      <c r="L826" s="7">
        <v>0.6664376807869731</v>
      </c>
      <c r="M826" s="3">
        <v>33.3</v>
      </c>
      <c r="N826" s="3">
        <v>20.89</v>
      </c>
    </row>
    <row r="827" spans="1:14">
      <c r="A827" s="8" t="s">
        <v>839</v>
      </c>
      <c r="B827" s="2">
        <f>HYPERLINK("https://www.suredividend.com/sure-analysis-DKS/","Dicks Sporting Goods, Inc.")</f>
        <v>0</v>
      </c>
      <c r="C827" s="1" t="s">
        <v>3182</v>
      </c>
      <c r="D827" s="3">
        <v>219.05</v>
      </c>
      <c r="E827" s="4">
        <v>0.0200867381876284</v>
      </c>
      <c r="F827" s="4">
        <v>0.1000000000000001</v>
      </c>
      <c r="G827" s="4">
        <v>0.3195079107728942</v>
      </c>
      <c r="H827" s="3">
        <v>4.061911848704106</v>
      </c>
      <c r="I827" s="5">
        <v>12687.271294</v>
      </c>
      <c r="J827" s="6">
        <v>12.47316934233876</v>
      </c>
      <c r="K827" s="4">
        <v>0.3368086110036572</v>
      </c>
      <c r="L827" s="7">
        <v>0.9303319887250541</v>
      </c>
      <c r="M827" s="3">
        <v>229.56</v>
      </c>
      <c r="N827" s="3">
        <v>99.76000000000001</v>
      </c>
    </row>
    <row r="828" spans="1:14">
      <c r="A828" s="8" t="s">
        <v>840</v>
      </c>
      <c r="B828" s="2">
        <f>HYPERLINK("https://www.suredividend.com/sure-analysis-research-database/","Delta Apparel Inc.")</f>
        <v>0</v>
      </c>
      <c r="C828" s="1" t="s">
        <v>3182</v>
      </c>
      <c r="D828" s="3">
        <v>1.17</v>
      </c>
      <c r="E828" s="4">
        <v>0</v>
      </c>
      <c r="F828" s="4" t="s">
        <v>3178</v>
      </c>
      <c r="G828" s="4" t="s">
        <v>3178</v>
      </c>
      <c r="H828" s="3">
        <v>0</v>
      </c>
      <c r="I828" s="5">
        <v>8.249848999999999</v>
      </c>
      <c r="J828" s="6" t="s">
        <v>3178</v>
      </c>
      <c r="K828" s="4">
        <v>-0</v>
      </c>
      <c r="M828" s="3">
        <v>11.49</v>
      </c>
      <c r="N828" s="3">
        <v>1.02</v>
      </c>
    </row>
    <row r="829" spans="1:14">
      <c r="A829" s="8" t="s">
        <v>841</v>
      </c>
      <c r="B829" s="2">
        <f>HYPERLINK("https://www.suredividend.com/sure-analysis-DLB/","Dolby Laboratories Inc")</f>
        <v>0</v>
      </c>
      <c r="C829" s="1" t="s">
        <v>3187</v>
      </c>
      <c r="D829" s="3">
        <v>79.34999999999999</v>
      </c>
      <c r="E829" s="4">
        <v>0.01512287334593573</v>
      </c>
      <c r="F829" s="4">
        <v>0.1111111111111112</v>
      </c>
      <c r="G829" s="4">
        <v>0.09565425774785385</v>
      </c>
      <c r="H829" s="3">
        <v>1.163800219147699</v>
      </c>
      <c r="I829" s="5">
        <v>4741.135124</v>
      </c>
      <c r="J829" s="6">
        <v>24.90144290977751</v>
      </c>
      <c r="K829" s="4">
        <v>0.5968206252039482</v>
      </c>
      <c r="L829" s="7">
        <v>0.8524414674711821</v>
      </c>
      <c r="M829" s="3">
        <v>89.72</v>
      </c>
      <c r="N829" s="3">
        <v>75.05</v>
      </c>
    </row>
    <row r="830" spans="1:14">
      <c r="A830" s="8" t="s">
        <v>842</v>
      </c>
      <c r="B830" s="2">
        <f>HYPERLINK("https://www.suredividend.com/sure-analysis-research-database/","DLH Holdings Corp")</f>
        <v>0</v>
      </c>
      <c r="C830" s="1" t="s">
        <v>3179</v>
      </c>
      <c r="D830" s="3">
        <v>12.12</v>
      </c>
      <c r="E830" s="4">
        <v>0</v>
      </c>
      <c r="F830" s="4" t="s">
        <v>3178</v>
      </c>
      <c r="G830" s="4" t="s">
        <v>3178</v>
      </c>
      <c r="H830" s="3">
        <v>0</v>
      </c>
      <c r="I830" s="5">
        <v>172.502639</v>
      </c>
      <c r="J830" s="6">
        <v>0</v>
      </c>
      <c r="K830" s="4" t="s">
        <v>3178</v>
      </c>
      <c r="L830" s="7">
        <v>0.570559466078538</v>
      </c>
      <c r="M830" s="3">
        <v>17.58</v>
      </c>
      <c r="N830" s="3">
        <v>9.529999999999999</v>
      </c>
    </row>
    <row r="831" spans="1:14">
      <c r="A831" s="8" t="s">
        <v>843</v>
      </c>
      <c r="B831" s="2">
        <f>HYPERLINK("https://www.suredividend.com/sure-analysis-DLR/","Digital Realty Trust Inc")</f>
        <v>0</v>
      </c>
      <c r="C831" s="1" t="s">
        <v>3183</v>
      </c>
      <c r="D831" s="3">
        <v>146.35</v>
      </c>
      <c r="E831" s="4">
        <v>0.03334472155790912</v>
      </c>
      <c r="F831" s="4">
        <v>0</v>
      </c>
      <c r="G831" s="4">
        <v>0.024677535438969</v>
      </c>
      <c r="H831" s="3">
        <v>4.815971816201913</v>
      </c>
      <c r="I831" s="5">
        <v>45723.634959</v>
      </c>
      <c r="J831" s="6">
        <v>40.56764903690546</v>
      </c>
      <c r="K831" s="4">
        <v>1.345243524078747</v>
      </c>
      <c r="L831" s="7">
        <v>1.223210974826281</v>
      </c>
      <c r="M831" s="3">
        <v>152.87</v>
      </c>
      <c r="N831" s="3">
        <v>98.8</v>
      </c>
    </row>
    <row r="832" spans="1:14">
      <c r="A832" s="8" t="s">
        <v>844</v>
      </c>
      <c r="B832" s="2">
        <f>HYPERLINK("https://www.suredividend.com/sure-analysis-research-database/","Duluth Holdings Inc")</f>
        <v>0</v>
      </c>
      <c r="C832" s="1" t="s">
        <v>3182</v>
      </c>
      <c r="D832" s="3">
        <v>3.76</v>
      </c>
      <c r="E832" s="4">
        <v>0</v>
      </c>
      <c r="F832" s="4" t="s">
        <v>3178</v>
      </c>
      <c r="G832" s="4" t="s">
        <v>3178</v>
      </c>
      <c r="H832" s="3">
        <v>0</v>
      </c>
      <c r="I832" s="5">
        <v>119.196858</v>
      </c>
      <c r="J832" s="6" t="s">
        <v>3178</v>
      </c>
      <c r="K832" s="4">
        <v>-0</v>
      </c>
      <c r="L832" s="7">
        <v>0.581516551603616</v>
      </c>
      <c r="M832" s="3">
        <v>7.88</v>
      </c>
      <c r="N832" s="3">
        <v>3.61</v>
      </c>
    </row>
    <row r="833" spans="1:14">
      <c r="A833" s="8" t="s">
        <v>845</v>
      </c>
      <c r="B833" s="2">
        <f>HYPERLINK("https://www.suredividend.com/sure-analysis-research-database/","Dollar Tree Inc")</f>
        <v>0</v>
      </c>
      <c r="C833" s="1" t="s">
        <v>3184</v>
      </c>
      <c r="D833" s="3">
        <v>111.29</v>
      </c>
      <c r="E833" s="4">
        <v>0</v>
      </c>
      <c r="F833" s="4" t="s">
        <v>3178</v>
      </c>
      <c r="G833" s="4" t="s">
        <v>3178</v>
      </c>
      <c r="H833" s="3">
        <v>0</v>
      </c>
      <c r="I833" s="5">
        <v>23921.11776</v>
      </c>
      <c r="J833" s="6" t="s">
        <v>3178</v>
      </c>
      <c r="K833" s="4">
        <v>-0</v>
      </c>
      <c r="L833" s="7">
        <v>0.7914250443671691</v>
      </c>
      <c r="M833" s="3">
        <v>154.96</v>
      </c>
      <c r="N833" s="3">
        <v>102.77</v>
      </c>
    </row>
    <row r="834" spans="1:14">
      <c r="A834" s="8" t="s">
        <v>846</v>
      </c>
      <c r="B834" s="2">
        <f>HYPERLINK("https://www.suredividend.com/sure-analysis-research-database/","Deluxe Corp.")</f>
        <v>0</v>
      </c>
      <c r="C834" s="1" t="s">
        <v>3187</v>
      </c>
      <c r="D834" s="3">
        <v>21.8</v>
      </c>
      <c r="E834" s="4">
        <v>0.05391167411220901</v>
      </c>
      <c r="F834" s="4">
        <v>0</v>
      </c>
      <c r="G834" s="4">
        <v>0</v>
      </c>
      <c r="H834" s="3">
        <v>1.175274495646161</v>
      </c>
      <c r="I834" s="5">
        <v>960.199225</v>
      </c>
      <c r="J834" s="6">
        <v>28.13028724438976</v>
      </c>
      <c r="K834" s="4">
        <v>1.5118015122796</v>
      </c>
      <c r="L834" s="7">
        <v>1.457794748094853</v>
      </c>
      <c r="M834" s="3">
        <v>23.69</v>
      </c>
      <c r="N834" s="3">
        <v>14.9</v>
      </c>
    </row>
    <row r="835" spans="1:14">
      <c r="A835" s="8" t="s">
        <v>847</v>
      </c>
      <c r="B835" s="2">
        <f>HYPERLINK("https://www.suredividend.com/sure-analysis-research-database/","Digimarc Corporation")</f>
        <v>0</v>
      </c>
      <c r="C835" s="1" t="s">
        <v>3181</v>
      </c>
      <c r="D835" s="3">
        <v>28.13</v>
      </c>
      <c r="E835" s="4">
        <v>0</v>
      </c>
      <c r="F835" s="4" t="s">
        <v>3178</v>
      </c>
      <c r="G835" s="4" t="s">
        <v>3178</v>
      </c>
      <c r="H835" s="3">
        <v>0</v>
      </c>
      <c r="I835" s="5">
        <v>601.231576</v>
      </c>
      <c r="J835" s="6" t="s">
        <v>3178</v>
      </c>
      <c r="K835" s="4">
        <v>-0</v>
      </c>
      <c r="L835" s="7">
        <v>1.701687045977184</v>
      </c>
      <c r="M835" s="3">
        <v>43.43</v>
      </c>
      <c r="N835" s="3">
        <v>21</v>
      </c>
    </row>
    <row r="836" spans="1:14">
      <c r="A836" s="8" t="s">
        <v>848</v>
      </c>
      <c r="B836" s="2">
        <f>HYPERLINK("https://www.suredividend.com/sure-analysis-research-database/","Dunkin Brands Group Inc")</f>
        <v>0</v>
      </c>
      <c r="C836" s="1" t="s">
        <v>3182</v>
      </c>
      <c r="D836" s="3">
        <v>106.48</v>
      </c>
      <c r="E836" s="4">
        <v>0</v>
      </c>
      <c r="F836" s="4" t="s">
        <v>3178</v>
      </c>
      <c r="G836" s="4" t="s">
        <v>3178</v>
      </c>
      <c r="H836" s="3">
        <v>0.805000007152557</v>
      </c>
      <c r="I836" s="5">
        <v>0</v>
      </c>
      <c r="J836" s="6">
        <v>0</v>
      </c>
      <c r="K836" s="4">
        <v>0.3072519111269302</v>
      </c>
    </row>
    <row r="837" spans="1:14">
      <c r="A837" s="8" t="s">
        <v>849</v>
      </c>
      <c r="B837" s="2">
        <f>HYPERLINK("https://www.suredividend.com/sure-analysis-research-database/","Denali Therapeutics Inc")</f>
        <v>0</v>
      </c>
      <c r="C837" s="1" t="s">
        <v>3176</v>
      </c>
      <c r="D837" s="3">
        <v>20.77</v>
      </c>
      <c r="E837" s="4">
        <v>0</v>
      </c>
      <c r="F837" s="4" t="s">
        <v>3178</v>
      </c>
      <c r="G837" s="4" t="s">
        <v>3178</v>
      </c>
      <c r="H837" s="3">
        <v>0</v>
      </c>
      <c r="I837" s="5">
        <v>2961.989678</v>
      </c>
      <c r="J837" s="6" t="s">
        <v>3178</v>
      </c>
      <c r="K837" s="4">
        <v>-0</v>
      </c>
      <c r="L837" s="7">
        <v>2.236069702435829</v>
      </c>
      <c r="M837" s="3">
        <v>33.31</v>
      </c>
      <c r="N837" s="3">
        <v>14.56</v>
      </c>
    </row>
    <row r="838" spans="1:14">
      <c r="A838" s="8" t="s">
        <v>850</v>
      </c>
      <c r="B838" s="2">
        <f>HYPERLINK("https://www.suredividend.com/sure-analysis-research-database/","Dnow Inc")</f>
        <v>0</v>
      </c>
      <c r="C838" s="1" t="s">
        <v>3185</v>
      </c>
      <c r="D838" s="3">
        <v>13.5</v>
      </c>
      <c r="E838" s="4">
        <v>0</v>
      </c>
      <c r="F838" s="4" t="s">
        <v>3178</v>
      </c>
      <c r="G838" s="4" t="s">
        <v>3178</v>
      </c>
      <c r="H838" s="3">
        <v>0</v>
      </c>
      <c r="I838" s="5">
        <v>1441.8</v>
      </c>
      <c r="J838" s="6">
        <v>5.837246963562754</v>
      </c>
      <c r="K838" s="4">
        <v>0</v>
      </c>
      <c r="L838" s="7">
        <v>1.063829360053866</v>
      </c>
      <c r="M838" s="3">
        <v>15.58</v>
      </c>
      <c r="N838" s="3">
        <v>9.44</v>
      </c>
    </row>
    <row r="839" spans="1:14">
      <c r="A839" s="8" t="s">
        <v>851</v>
      </c>
      <c r="B839" s="2">
        <f>HYPERLINK("https://www.suredividend.com/sure-analysis-research-database/","Diamond Offshore Drilling, Inc.")</f>
        <v>0</v>
      </c>
      <c r="C839" s="1" t="s">
        <v>3185</v>
      </c>
      <c r="D839" s="3">
        <v>13.93</v>
      </c>
      <c r="E839" s="4">
        <v>0</v>
      </c>
      <c r="F839" s="4" t="s">
        <v>3178</v>
      </c>
      <c r="G839" s="4" t="s">
        <v>3178</v>
      </c>
      <c r="H839" s="3">
        <v>0</v>
      </c>
      <c r="I839" s="5">
        <v>1427.563673</v>
      </c>
      <c r="J839" s="6" t="s">
        <v>3178</v>
      </c>
      <c r="K839" s="4">
        <v>-0</v>
      </c>
      <c r="L839" s="7">
        <v>1.17375238667628</v>
      </c>
      <c r="M839" s="3">
        <v>17.32</v>
      </c>
      <c r="N839" s="3">
        <v>11.02</v>
      </c>
    </row>
    <row r="840" spans="1:14">
      <c r="A840" s="8" t="s">
        <v>852</v>
      </c>
      <c r="B840" s="2">
        <f>HYPERLINK("https://www.suredividend.com/sure-analysis-DOC/","Healthpeak Properties Inc.")</f>
        <v>0</v>
      </c>
      <c r="C840" s="1" t="s">
        <v>3183</v>
      </c>
      <c r="D840" s="3">
        <v>19.29</v>
      </c>
      <c r="E840" s="4">
        <v>0.06220839813374806</v>
      </c>
      <c r="F840" s="4">
        <v>0.3043478260869568</v>
      </c>
      <c r="G840" s="4">
        <v>0.05457794330579446</v>
      </c>
      <c r="H840" s="3">
        <v>1.184597671522178</v>
      </c>
      <c r="I840" s="5">
        <v>13575.945444</v>
      </c>
      <c r="J840" s="6">
        <v>70.31873245334424</v>
      </c>
      <c r="K840" s="4">
        <v>3.440597361377223</v>
      </c>
      <c r="L840" s="7">
        <v>1.121626690584829</v>
      </c>
      <c r="M840" s="3">
        <v>21.31</v>
      </c>
      <c r="N840" s="3">
        <v>14.72</v>
      </c>
    </row>
    <row r="841" spans="1:14">
      <c r="A841" s="8" t="s">
        <v>853</v>
      </c>
      <c r="B841" s="2">
        <f>HYPERLINK("https://www.suredividend.com/sure-analysis-research-database/","DocuSign Inc")</f>
        <v>0</v>
      </c>
      <c r="C841" s="1" t="s">
        <v>3181</v>
      </c>
      <c r="D841" s="3">
        <v>52.05</v>
      </c>
      <c r="E841" s="4">
        <v>0</v>
      </c>
      <c r="F841" s="4" t="s">
        <v>3178</v>
      </c>
      <c r="G841" s="4" t="s">
        <v>3178</v>
      </c>
      <c r="H841" s="3">
        <v>0</v>
      </c>
      <c r="I841" s="5">
        <v>10691.857464</v>
      </c>
      <c r="J841" s="6">
        <v>144.5236207684509</v>
      </c>
      <c r="K841" s="4">
        <v>0</v>
      </c>
      <c r="L841" s="7">
        <v>1.263356795380094</v>
      </c>
      <c r="M841" s="3">
        <v>64.76000000000001</v>
      </c>
      <c r="N841" s="3">
        <v>38.11</v>
      </c>
    </row>
    <row r="842" spans="1:14">
      <c r="A842" s="8" t="s">
        <v>854</v>
      </c>
      <c r="B842" s="2">
        <f>HYPERLINK("https://www.suredividend.com/sure-analysis-research-database/","Domo Inc.")</f>
        <v>0</v>
      </c>
      <c r="C842" s="1" t="s">
        <v>3181</v>
      </c>
      <c r="D842" s="3">
        <v>7.035</v>
      </c>
      <c r="E842" s="4">
        <v>0</v>
      </c>
      <c r="F842" s="4" t="s">
        <v>3178</v>
      </c>
      <c r="G842" s="4" t="s">
        <v>3178</v>
      </c>
      <c r="H842" s="3">
        <v>0</v>
      </c>
      <c r="I842" s="5">
        <v>245.597175</v>
      </c>
      <c r="J842" s="6" t="s">
        <v>3178</v>
      </c>
      <c r="K842" s="4">
        <v>-0</v>
      </c>
      <c r="L842" s="7">
        <v>1.71811998665616</v>
      </c>
      <c r="M842" s="3">
        <v>18.19</v>
      </c>
      <c r="N842" s="3">
        <v>6.11</v>
      </c>
    </row>
    <row r="843" spans="1:14">
      <c r="A843" s="8" t="s">
        <v>855</v>
      </c>
      <c r="B843" s="2">
        <f>HYPERLINK("https://www.suredividend.com/sure-analysis-research-database/","Masonite International Corp")</f>
        <v>0</v>
      </c>
      <c r="C843" s="1" t="s">
        <v>3179</v>
      </c>
      <c r="D843" s="3">
        <v>132.84</v>
      </c>
      <c r="E843" s="4">
        <v>0</v>
      </c>
      <c r="F843" s="4" t="s">
        <v>3178</v>
      </c>
      <c r="G843" s="4" t="s">
        <v>3178</v>
      </c>
      <c r="H843" s="3">
        <v>0</v>
      </c>
      <c r="I843" s="5">
        <v>2920.348981</v>
      </c>
      <c r="J843" s="6">
        <v>20.74244078612979</v>
      </c>
      <c r="K843" s="4">
        <v>0</v>
      </c>
      <c r="L843" s="7">
        <v>1.242128792432184</v>
      </c>
      <c r="M843" s="3">
        <v>132.89</v>
      </c>
      <c r="N843" s="3">
        <v>76.87</v>
      </c>
    </row>
    <row r="844" spans="1:14">
      <c r="A844" s="8" t="s">
        <v>856</v>
      </c>
      <c r="B844" s="2">
        <f>HYPERLINK("https://www.suredividend.com/sure-analysis-research-database/","Dorman Products Inc")</f>
        <v>0</v>
      </c>
      <c r="C844" s="1" t="s">
        <v>3182</v>
      </c>
      <c r="D844" s="3">
        <v>90.22</v>
      </c>
      <c r="E844" s="4">
        <v>0</v>
      </c>
      <c r="F844" s="4" t="s">
        <v>3178</v>
      </c>
      <c r="G844" s="4" t="s">
        <v>3178</v>
      </c>
      <c r="H844" s="3">
        <v>0</v>
      </c>
      <c r="I844" s="5">
        <v>2797.990334</v>
      </c>
      <c r="J844" s="6">
        <v>17.88950623922662</v>
      </c>
      <c r="K844" s="4">
        <v>0</v>
      </c>
      <c r="L844" s="7">
        <v>1.078610728671599</v>
      </c>
      <c r="M844" s="3">
        <v>98.55</v>
      </c>
      <c r="N844" s="3">
        <v>60.01</v>
      </c>
    </row>
    <row r="845" spans="1:14">
      <c r="A845" s="8" t="s">
        <v>857</v>
      </c>
      <c r="B845" s="2">
        <f>HYPERLINK("https://www.suredividend.com/sure-analysis-DOV/","Dover Corp.")</f>
        <v>0</v>
      </c>
      <c r="C845" s="1" t="s">
        <v>3179</v>
      </c>
      <c r="D845" s="3">
        <v>177.22</v>
      </c>
      <c r="E845" s="4">
        <v>0.01151111612684799</v>
      </c>
      <c r="F845" s="4">
        <v>0.00990099009900991</v>
      </c>
      <c r="G845" s="4">
        <v>0.008033160997201749</v>
      </c>
      <c r="H845" s="3">
        <v>2.030696637345748</v>
      </c>
      <c r="I845" s="5">
        <v>24355.372955</v>
      </c>
      <c r="J845" s="6">
        <v>16.67633677755525</v>
      </c>
      <c r="K845" s="4">
        <v>0.1952592920524758</v>
      </c>
      <c r="L845" s="7">
        <v>0.9193562497382881</v>
      </c>
      <c r="M845" s="3">
        <v>188.11</v>
      </c>
      <c r="N845" s="3">
        <v>126.04</v>
      </c>
    </row>
    <row r="846" spans="1:14">
      <c r="A846" s="8" t="s">
        <v>858</v>
      </c>
      <c r="B846" s="2">
        <f>HYPERLINK("https://www.suredividend.com/sure-analysis-DOW/","Dow Inc")</f>
        <v>0</v>
      </c>
      <c r="C846" s="1" t="s">
        <v>3177</v>
      </c>
      <c r="D846" s="3">
        <v>55.73</v>
      </c>
      <c r="E846" s="4">
        <v>0.05024223936838328</v>
      </c>
      <c r="F846" s="4">
        <v>0</v>
      </c>
      <c r="G846" s="4">
        <v>0</v>
      </c>
      <c r="H846" s="3">
        <v>2.747934420387385</v>
      </c>
      <c r="I846" s="5">
        <v>39189.660906</v>
      </c>
      <c r="J846" s="6">
        <v>32.71257170776293</v>
      </c>
      <c r="K846" s="4">
        <v>1.625996698454074</v>
      </c>
      <c r="L846" s="7">
        <v>0.806200656081128</v>
      </c>
      <c r="M846" s="3">
        <v>59.95</v>
      </c>
      <c r="N846" s="3">
        <v>45.48</v>
      </c>
    </row>
    <row r="847" spans="1:14">
      <c r="A847" s="8" t="s">
        <v>859</v>
      </c>
      <c r="B847" s="2">
        <f>HYPERLINK("https://www.suredividend.com/sure-analysis-DPZ/","Dominos Pizza Inc")</f>
        <v>0</v>
      </c>
      <c r="C847" s="1" t="s">
        <v>3182</v>
      </c>
      <c r="D847" s="3">
        <v>513.55</v>
      </c>
      <c r="E847" s="4">
        <v>0.01176126959400253</v>
      </c>
      <c r="F847" s="4">
        <v>0.2479338842975207</v>
      </c>
      <c r="G847" s="4">
        <v>0.1836211532987764</v>
      </c>
      <c r="H847" s="3">
        <v>5.116971094605487</v>
      </c>
      <c r="I847" s="5">
        <v>17912.73544</v>
      </c>
      <c r="J847" s="6">
        <v>33.1611698502514</v>
      </c>
      <c r="K847" s="4">
        <v>0.3309813127170432</v>
      </c>
      <c r="L847" s="7">
        <v>0.884815205229296</v>
      </c>
      <c r="M847" s="3">
        <v>542.75</v>
      </c>
      <c r="N847" s="3">
        <v>293.09</v>
      </c>
    </row>
    <row r="848" spans="1:14">
      <c r="A848" s="8" t="s">
        <v>860</v>
      </c>
      <c r="B848" s="2">
        <f>HYPERLINK("https://www.suredividend.com/sure-analysis-research-database/","Duke Realty Corp")</f>
        <v>0</v>
      </c>
      <c r="C848" s="1" t="s">
        <v>3183</v>
      </c>
      <c r="D848" s="3">
        <v>48.2</v>
      </c>
      <c r="E848" s="4">
        <v>0.023062576092641</v>
      </c>
      <c r="F848" s="4" t="s">
        <v>3178</v>
      </c>
      <c r="G848" s="4" t="s">
        <v>3178</v>
      </c>
      <c r="H848" s="3">
        <v>1.111616167665321</v>
      </c>
      <c r="I848" s="5">
        <v>18556.648911</v>
      </c>
      <c r="J848" s="6">
        <v>19.5796669285498</v>
      </c>
      <c r="K848" s="4">
        <v>0.4555803965841479</v>
      </c>
      <c r="L848" s="7">
        <v>0.7911466839138791</v>
      </c>
      <c r="M848" s="3">
        <v>65.34999999999999</v>
      </c>
      <c r="N848" s="3">
        <v>46.65</v>
      </c>
    </row>
    <row r="849" spans="1:14">
      <c r="A849" s="8" t="s">
        <v>861</v>
      </c>
      <c r="B849" s="2">
        <f>HYPERLINK("https://www.suredividend.com/sure-analysis-research-database/","Diamondrock Hospitality Co.")</f>
        <v>0</v>
      </c>
      <c r="C849" s="1" t="s">
        <v>3183</v>
      </c>
      <c r="D849" s="3">
        <v>8.24</v>
      </c>
      <c r="E849" s="4">
        <v>0.014492020772739</v>
      </c>
      <c r="F849" s="4" t="s">
        <v>3178</v>
      </c>
      <c r="G849" s="4" t="s">
        <v>3178</v>
      </c>
      <c r="H849" s="3">
        <v>0.119414251167374</v>
      </c>
      <c r="I849" s="5">
        <v>1730.930928</v>
      </c>
      <c r="J849" s="6">
        <v>22.86717653636304</v>
      </c>
      <c r="K849" s="4">
        <v>0.332722906568331</v>
      </c>
      <c r="L849" s="7">
        <v>1.179897638723646</v>
      </c>
      <c r="M849" s="3">
        <v>9.960000000000001</v>
      </c>
      <c r="N849" s="3">
        <v>7.28</v>
      </c>
    </row>
    <row r="850" spans="1:14">
      <c r="A850" s="8" t="s">
        <v>862</v>
      </c>
      <c r="B850" s="2">
        <f>HYPERLINK("https://www.suredividend.com/sure-analysis-DRI/","Darden Restaurants, Inc.")</f>
        <v>0</v>
      </c>
      <c r="C850" s="1" t="s">
        <v>3182</v>
      </c>
      <c r="D850" s="3">
        <v>148.54</v>
      </c>
      <c r="E850" s="4">
        <v>0.03527669314662717</v>
      </c>
      <c r="F850" s="4" t="s">
        <v>3178</v>
      </c>
      <c r="G850" s="4" t="s">
        <v>3178</v>
      </c>
      <c r="H850" s="3">
        <v>5.174677816345122</v>
      </c>
      <c r="I850" s="5">
        <v>17729.577987</v>
      </c>
      <c r="J850" s="6">
        <v>17.13664990081191</v>
      </c>
      <c r="K850" s="4">
        <v>0.6066445271213509</v>
      </c>
      <c r="L850" s="7">
        <v>0.562992253906147</v>
      </c>
      <c r="M850" s="3">
        <v>175.37</v>
      </c>
      <c r="N850" s="3">
        <v>131.2</v>
      </c>
    </row>
    <row r="851" spans="1:14">
      <c r="A851" s="8" t="s">
        <v>863</v>
      </c>
      <c r="B851" s="2">
        <f>HYPERLINK("https://www.suredividend.com/sure-analysis-research-database/","Dicerna Pharmaceuticals Inc")</f>
        <v>0</v>
      </c>
      <c r="C851" s="1" t="s">
        <v>3176</v>
      </c>
      <c r="D851" s="3">
        <v>38.22</v>
      </c>
      <c r="E851" s="4">
        <v>0</v>
      </c>
      <c r="F851" s="4" t="s">
        <v>3178</v>
      </c>
      <c r="G851" s="4" t="s">
        <v>3178</v>
      </c>
      <c r="H851" s="3">
        <v>0</v>
      </c>
      <c r="I851" s="5">
        <v>0</v>
      </c>
      <c r="J851" s="6">
        <v>0</v>
      </c>
      <c r="K851" s="4" t="s">
        <v>3178</v>
      </c>
    </row>
    <row r="852" spans="1:14">
      <c r="A852" s="8" t="s">
        <v>864</v>
      </c>
      <c r="B852" s="2">
        <f>HYPERLINK("https://www.suredividend.com/sure-analysis-research-database/","Dril-Quip, Inc.")</f>
        <v>0</v>
      </c>
      <c r="C852" s="1" t="s">
        <v>3185</v>
      </c>
      <c r="D852" s="3">
        <v>17.53</v>
      </c>
      <c r="E852" s="4">
        <v>0</v>
      </c>
      <c r="F852" s="4" t="s">
        <v>3178</v>
      </c>
      <c r="G852" s="4" t="s">
        <v>3178</v>
      </c>
      <c r="H852" s="3">
        <v>0</v>
      </c>
      <c r="I852" s="5">
        <v>603.389945</v>
      </c>
      <c r="J852" s="6" t="s">
        <v>3178</v>
      </c>
      <c r="K852" s="4">
        <v>-0</v>
      </c>
      <c r="L852" s="7">
        <v>0.76519293983738</v>
      </c>
      <c r="M852" s="3">
        <v>30.93</v>
      </c>
      <c r="N852" s="3">
        <v>16.64</v>
      </c>
    </row>
    <row r="853" spans="1:14">
      <c r="A853" s="8" t="s">
        <v>865</v>
      </c>
      <c r="B853" s="2">
        <f>HYPERLINK("https://www.suredividend.com/sure-analysis-research-database/","Durect Corp")</f>
        <v>0</v>
      </c>
      <c r="C853" s="1" t="s">
        <v>3176</v>
      </c>
      <c r="D853" s="3">
        <v>1.52</v>
      </c>
      <c r="E853" s="4">
        <v>0</v>
      </c>
      <c r="F853" s="4" t="s">
        <v>3178</v>
      </c>
      <c r="G853" s="4" t="s">
        <v>3178</v>
      </c>
      <c r="H853" s="3">
        <v>0</v>
      </c>
      <c r="I853" s="5">
        <v>47.179859</v>
      </c>
      <c r="J853" s="6" t="s">
        <v>3178</v>
      </c>
      <c r="K853" s="4">
        <v>-0</v>
      </c>
      <c r="L853" s="7">
        <v>1.856784683690583</v>
      </c>
      <c r="M853" s="3">
        <v>6.1</v>
      </c>
      <c r="N853" s="3">
        <v>0.4703</v>
      </c>
    </row>
    <row r="854" spans="1:14">
      <c r="A854" s="8" t="s">
        <v>866</v>
      </c>
      <c r="B854" s="2">
        <f>HYPERLINK("https://www.suredividend.com/sure-analysis-research-database/","Drive Shack Inc")</f>
        <v>0</v>
      </c>
      <c r="C854" s="1" t="s">
        <v>3182</v>
      </c>
      <c r="D854" s="3">
        <v>0.1676</v>
      </c>
      <c r="E854" s="4">
        <v>0</v>
      </c>
      <c r="F854" s="4" t="s">
        <v>3178</v>
      </c>
      <c r="G854" s="4" t="s">
        <v>3178</v>
      </c>
      <c r="H854" s="3">
        <v>0</v>
      </c>
      <c r="I854" s="5">
        <v>15.483729</v>
      </c>
      <c r="J854" s="6" t="s">
        <v>3178</v>
      </c>
      <c r="K854" s="4">
        <v>-0</v>
      </c>
      <c r="L854" s="7">
        <v>1.713836496101323</v>
      </c>
      <c r="M854" s="3">
        <v>1.97</v>
      </c>
      <c r="N854" s="3">
        <v>0.153</v>
      </c>
    </row>
    <row r="855" spans="1:14">
      <c r="A855" s="8" t="s">
        <v>867</v>
      </c>
      <c r="B855" s="2">
        <f>HYPERLINK("https://www.suredividend.com/sure-analysis-research-database/","Daseke Inc")</f>
        <v>0</v>
      </c>
      <c r="C855" s="1" t="s">
        <v>3179</v>
      </c>
      <c r="D855" s="3">
        <v>8.289999999999999</v>
      </c>
      <c r="E855" s="4">
        <v>0</v>
      </c>
      <c r="F855" s="4" t="s">
        <v>3178</v>
      </c>
      <c r="G855" s="4" t="s">
        <v>3178</v>
      </c>
      <c r="H855" s="3">
        <v>0</v>
      </c>
      <c r="I855" s="5">
        <v>0</v>
      </c>
      <c r="J855" s="6">
        <v>0</v>
      </c>
      <c r="K855" s="4">
        <v>-0</v>
      </c>
    </row>
    <row r="856" spans="1:14">
      <c r="A856" s="8" t="s">
        <v>868</v>
      </c>
      <c r="B856" s="2">
        <f>HYPERLINK("https://www.suredividend.com/sure-analysis-research-database/","DSP Group, Inc.")</f>
        <v>0</v>
      </c>
      <c r="C856" s="1" t="s">
        <v>3181</v>
      </c>
      <c r="D856" s="3">
        <v>21.98</v>
      </c>
      <c r="E856" s="4">
        <v>0</v>
      </c>
      <c r="F856" s="4" t="s">
        <v>3178</v>
      </c>
      <c r="G856" s="4" t="s">
        <v>3178</v>
      </c>
      <c r="H856" s="3">
        <v>0</v>
      </c>
      <c r="I856" s="5">
        <v>0</v>
      </c>
      <c r="J856" s="6">
        <v>0</v>
      </c>
      <c r="K856" s="4">
        <v>-0</v>
      </c>
    </row>
    <row r="857" spans="1:14">
      <c r="A857" s="8" t="s">
        <v>869</v>
      </c>
      <c r="B857" s="2">
        <f>HYPERLINK("https://www.suredividend.com/sure-analysis-research-database/","DSS Inc")</f>
        <v>0</v>
      </c>
      <c r="C857" s="1" t="s">
        <v>3179</v>
      </c>
      <c r="D857" s="3">
        <v>1.86</v>
      </c>
      <c r="E857" s="4">
        <v>0</v>
      </c>
      <c r="F857" s="4" t="s">
        <v>3178</v>
      </c>
      <c r="G857" s="4" t="s">
        <v>3178</v>
      </c>
      <c r="H857" s="3">
        <v>0</v>
      </c>
      <c r="I857" s="5">
        <v>13.144196</v>
      </c>
      <c r="J857" s="6">
        <v>0</v>
      </c>
      <c r="K857" s="4" t="s">
        <v>3178</v>
      </c>
      <c r="L857" s="7">
        <v>0.243108100159407</v>
      </c>
      <c r="M857" s="3">
        <v>9.359999999999999</v>
      </c>
      <c r="N857" s="3">
        <v>1.4</v>
      </c>
    </row>
    <row r="858" spans="1:14">
      <c r="A858" s="8" t="s">
        <v>870</v>
      </c>
      <c r="B858" s="2">
        <f>HYPERLINK("https://www.suredividend.com/sure-analysis-DTE/","DTE Energy Co.")</f>
        <v>0</v>
      </c>
      <c r="C858" s="1" t="s">
        <v>3186</v>
      </c>
      <c r="D858" s="3">
        <v>112.33</v>
      </c>
      <c r="E858" s="4">
        <v>0.03632155256832547</v>
      </c>
      <c r="F858" s="4">
        <v>0.07086614173228356</v>
      </c>
      <c r="G858" s="4">
        <v>0.001477111315349999</v>
      </c>
      <c r="H858" s="3">
        <v>3.8922597001462</v>
      </c>
      <c r="I858" s="5">
        <v>23245.260619</v>
      </c>
      <c r="J858" s="6">
        <v>18.41938242354992</v>
      </c>
      <c r="K858" s="4">
        <v>0.6359901470827124</v>
      </c>
      <c r="L858" s="7">
        <v>0.479751777768278</v>
      </c>
      <c r="M858" s="3">
        <v>117.45</v>
      </c>
      <c r="N858" s="3">
        <v>88.48999999999999</v>
      </c>
    </row>
    <row r="859" spans="1:14">
      <c r="A859" s="8" t="s">
        <v>871</v>
      </c>
      <c r="B859" s="2">
        <f>HYPERLINK("https://www.suredividend.com/sure-analysis-DUK/","Duke Energy Corp.")</f>
        <v>0</v>
      </c>
      <c r="C859" s="1" t="s">
        <v>3186</v>
      </c>
      <c r="D859" s="3">
        <v>102.62</v>
      </c>
      <c r="E859" s="4">
        <v>0.03995322549210679</v>
      </c>
      <c r="F859" s="4">
        <v>0.01990049751243772</v>
      </c>
      <c r="G859" s="4">
        <v>0.01638538463073425</v>
      </c>
      <c r="H859" s="3">
        <v>4.035248936954147</v>
      </c>
      <c r="I859" s="5">
        <v>79198.894963</v>
      </c>
      <c r="J859" s="6">
        <v>25.80609154885631</v>
      </c>
      <c r="K859" s="4">
        <v>1.013881642450791</v>
      </c>
      <c r="L859" s="7">
        <v>0.346083498964904</v>
      </c>
      <c r="M859" s="3">
        <v>104.87</v>
      </c>
      <c r="N859" s="3">
        <v>80.38</v>
      </c>
    </row>
    <row r="860" spans="1:14">
      <c r="A860" s="8" t="s">
        <v>872</v>
      </c>
      <c r="B860" s="2">
        <f>HYPERLINK("https://www.suredividend.com/sure-analysis-research-database/","DaVita Inc")</f>
        <v>0</v>
      </c>
      <c r="C860" s="1" t="s">
        <v>3176</v>
      </c>
      <c r="D860" s="3">
        <v>143.18</v>
      </c>
      <c r="E860" s="4">
        <v>0</v>
      </c>
      <c r="F860" s="4" t="s">
        <v>3178</v>
      </c>
      <c r="G860" s="4" t="s">
        <v>3178</v>
      </c>
      <c r="H860" s="3">
        <v>0</v>
      </c>
      <c r="I860" s="5">
        <v>12556.886</v>
      </c>
      <c r="J860" s="6">
        <v>15.39518928150636</v>
      </c>
      <c r="K860" s="4">
        <v>0</v>
      </c>
      <c r="L860" s="7">
        <v>0.580754579034039</v>
      </c>
      <c r="M860" s="3">
        <v>147.93</v>
      </c>
      <c r="N860" s="3">
        <v>71.51000000000001</v>
      </c>
    </row>
    <row r="861" spans="1:14">
      <c r="A861" s="8" t="s">
        <v>873</v>
      </c>
      <c r="B861" s="2">
        <f>HYPERLINK("https://www.suredividend.com/sure-analysis-research-database/","Dynavax Technologies Corp.")</f>
        <v>0</v>
      </c>
      <c r="C861" s="1" t="s">
        <v>3176</v>
      </c>
      <c r="D861" s="3">
        <v>12.06</v>
      </c>
      <c r="E861" s="4">
        <v>0</v>
      </c>
      <c r="F861" s="4" t="s">
        <v>3178</v>
      </c>
      <c r="G861" s="4" t="s">
        <v>3178</v>
      </c>
      <c r="H861" s="3">
        <v>0</v>
      </c>
      <c r="I861" s="5">
        <v>1578.554023</v>
      </c>
      <c r="J861" s="6">
        <v>171.1726331164607</v>
      </c>
      <c r="K861" s="4">
        <v>0</v>
      </c>
      <c r="L861" s="7">
        <v>0.473970717133852</v>
      </c>
      <c r="M861" s="3">
        <v>15.15</v>
      </c>
      <c r="N861" s="3">
        <v>10.48</v>
      </c>
    </row>
    <row r="862" spans="1:14">
      <c r="A862" s="8" t="s">
        <v>874</v>
      </c>
      <c r="B862" s="2">
        <f>HYPERLINK("https://www.suredividend.com/sure-analysis-research-database/","Dover Motorsports Inc")</f>
        <v>0</v>
      </c>
      <c r="C862" s="1" t="s">
        <v>3182</v>
      </c>
      <c r="D862" s="3">
        <v>3.61</v>
      </c>
      <c r="E862" s="4">
        <v>0.021966504375715</v>
      </c>
      <c r="F862" s="4" t="s">
        <v>3178</v>
      </c>
      <c r="G862" s="4" t="s">
        <v>3178</v>
      </c>
      <c r="H862" s="3">
        <v>0.07929908079633401</v>
      </c>
      <c r="I862" s="5">
        <v>64.668154</v>
      </c>
      <c r="J862" s="6">
        <v>5.216856547273314</v>
      </c>
      <c r="K862" s="4">
        <v>0.2296527100965364</v>
      </c>
      <c r="M862" s="3">
        <v>3.62</v>
      </c>
      <c r="N862" s="3">
        <v>1.9</v>
      </c>
    </row>
    <row r="863" spans="1:14">
      <c r="A863" s="8" t="s">
        <v>875</v>
      </c>
      <c r="B863" s="2">
        <f>HYPERLINK("https://www.suredividend.com/sure-analysis-DVN/","Devon Energy Corp.")</f>
        <v>0</v>
      </c>
      <c r="C863" s="1" t="s">
        <v>3185</v>
      </c>
      <c r="D863" s="3">
        <v>46.79</v>
      </c>
      <c r="E863" s="4">
        <v>0.02350929685830306</v>
      </c>
      <c r="F863" s="4">
        <v>-0.2413793103448275</v>
      </c>
      <c r="G863" s="4">
        <v>0.1486983549970351</v>
      </c>
      <c r="H863" s="3">
        <v>2.401279933403878</v>
      </c>
      <c r="I863" s="5">
        <v>29571.28</v>
      </c>
      <c r="J863" s="6">
        <v>8.811466030989273</v>
      </c>
      <c r="K863" s="4">
        <v>0.4565170976053</v>
      </c>
      <c r="L863" s="7">
        <v>0.6979560883986791</v>
      </c>
      <c r="M863" s="3">
        <v>55.09</v>
      </c>
      <c r="N863" s="3">
        <v>40.28</v>
      </c>
    </row>
    <row r="864" spans="1:14">
      <c r="A864" s="8" t="s">
        <v>876</v>
      </c>
      <c r="B864" s="2">
        <f>HYPERLINK("https://www.suredividend.com/sure-analysis-research-database/","Dawson Geophysical Company")</f>
        <v>0</v>
      </c>
      <c r="C864" s="1" t="s">
        <v>3185</v>
      </c>
      <c r="D864" s="3">
        <v>1.99</v>
      </c>
      <c r="E864" s="4">
        <v>0</v>
      </c>
      <c r="F864" s="4" t="s">
        <v>3178</v>
      </c>
      <c r="G864" s="4" t="s">
        <v>3178</v>
      </c>
      <c r="H864" s="3">
        <v>0</v>
      </c>
      <c r="I864" s="5">
        <v>61.316535</v>
      </c>
      <c r="J864" s="6">
        <v>0</v>
      </c>
      <c r="K864" s="4" t="s">
        <v>3178</v>
      </c>
      <c r="M864" s="3">
        <v>2.05</v>
      </c>
      <c r="N864" s="3">
        <v>0.8298000000000001</v>
      </c>
    </row>
    <row r="865" spans="1:14">
      <c r="A865" s="8" t="s">
        <v>877</v>
      </c>
      <c r="B865" s="2">
        <f>HYPERLINK("https://www.suredividend.com/sure-analysis-DX/","Dynex Capital, Inc.")</f>
        <v>0</v>
      </c>
      <c r="C865" s="1" t="s">
        <v>3183</v>
      </c>
      <c r="D865" s="3">
        <v>11.69</v>
      </c>
      <c r="E865" s="4">
        <v>0.1334473909324209</v>
      </c>
      <c r="F865" s="4">
        <v>0</v>
      </c>
      <c r="G865" s="4">
        <v>0</v>
      </c>
      <c r="H865" s="3">
        <v>1.47129316729205</v>
      </c>
      <c r="I865" s="5">
        <v>750.588901</v>
      </c>
      <c r="J865" s="6">
        <v>11.03547549752999</v>
      </c>
      <c r="K865" s="4">
        <v>1.215944766357066</v>
      </c>
      <c r="L865" s="7">
        <v>1.20952704505213</v>
      </c>
      <c r="M865" s="3">
        <v>12.58</v>
      </c>
      <c r="N865" s="3">
        <v>8.880000000000001</v>
      </c>
    </row>
    <row r="866" spans="1:14">
      <c r="A866" s="8" t="s">
        <v>878</v>
      </c>
      <c r="B866" s="2">
        <f>HYPERLINK("https://www.suredividend.com/sure-analysis-research-database/","DXC Technology Co")</f>
        <v>0</v>
      </c>
      <c r="C866" s="1" t="s">
        <v>3181</v>
      </c>
      <c r="D866" s="3">
        <v>16.55</v>
      </c>
      <c r="E866" s="4">
        <v>0</v>
      </c>
      <c r="F866" s="4" t="s">
        <v>3178</v>
      </c>
      <c r="G866" s="4" t="s">
        <v>3178</v>
      </c>
      <c r="H866" s="3">
        <v>0</v>
      </c>
      <c r="I866" s="5">
        <v>2961.009753</v>
      </c>
      <c r="J866" s="6">
        <v>32.53856871208792</v>
      </c>
      <c r="K866" s="4">
        <v>0</v>
      </c>
      <c r="L866" s="7">
        <v>1.485752668229698</v>
      </c>
      <c r="M866" s="3">
        <v>28.89</v>
      </c>
      <c r="N866" s="3">
        <v>14.79</v>
      </c>
    </row>
    <row r="867" spans="1:14">
      <c r="A867" s="8" t="s">
        <v>879</v>
      </c>
      <c r="B867" s="2">
        <f>HYPERLINK("https://www.suredividend.com/sure-analysis-research-database/","Dexcom Inc")</f>
        <v>0</v>
      </c>
      <c r="C867" s="1" t="s">
        <v>3176</v>
      </c>
      <c r="D867" s="3">
        <v>115.79</v>
      </c>
      <c r="E867" s="4">
        <v>0</v>
      </c>
      <c r="F867" s="4" t="s">
        <v>3178</v>
      </c>
      <c r="G867" s="4" t="s">
        <v>3178</v>
      </c>
      <c r="H867" s="3">
        <v>0</v>
      </c>
      <c r="I867" s="5">
        <v>46047.811486</v>
      </c>
      <c r="J867" s="6">
        <v>72.028486604458</v>
      </c>
      <c r="K867" s="4">
        <v>0</v>
      </c>
      <c r="L867" s="7">
        <v>0.9413172294169371</v>
      </c>
      <c r="M867" s="3">
        <v>142</v>
      </c>
      <c r="N867" s="3">
        <v>74.75</v>
      </c>
    </row>
    <row r="868" spans="1:14">
      <c r="A868" s="8" t="s">
        <v>880</v>
      </c>
      <c r="B868" s="2">
        <f>HYPERLINK("https://www.suredividend.com/sure-analysis-research-database/","Destination XL Group Inc")</f>
        <v>0</v>
      </c>
      <c r="C868" s="1" t="s">
        <v>3182</v>
      </c>
      <c r="D868" s="3">
        <v>3.64</v>
      </c>
      <c r="E868" s="4">
        <v>0</v>
      </c>
      <c r="F868" s="4" t="s">
        <v>3178</v>
      </c>
      <c r="G868" s="4" t="s">
        <v>3178</v>
      </c>
      <c r="H868" s="3">
        <v>0</v>
      </c>
      <c r="I868" s="5">
        <v>211.950113</v>
      </c>
      <c r="J868" s="6">
        <v>8.587930021069692</v>
      </c>
      <c r="K868" s="4">
        <v>0</v>
      </c>
      <c r="L868" s="7">
        <v>1.195162526100446</v>
      </c>
      <c r="M868" s="3">
        <v>5.36</v>
      </c>
      <c r="N868" s="3">
        <v>3.01</v>
      </c>
    </row>
    <row r="869" spans="1:14">
      <c r="A869" s="8" t="s">
        <v>881</v>
      </c>
      <c r="B869" s="2">
        <f>HYPERLINK("https://www.suredividend.com/sure-analysis-research-database/","DXP Enterprises, Inc.")</f>
        <v>0</v>
      </c>
      <c r="C869" s="1" t="s">
        <v>3179</v>
      </c>
      <c r="D869" s="3">
        <v>47.93</v>
      </c>
      <c r="E869" s="4">
        <v>0</v>
      </c>
      <c r="F869" s="4" t="s">
        <v>3178</v>
      </c>
      <c r="G869" s="4" t="s">
        <v>3178</v>
      </c>
      <c r="H869" s="3">
        <v>0</v>
      </c>
      <c r="I869" s="5">
        <v>763.443659</v>
      </c>
      <c r="J869" s="6">
        <v>12.22018213416781</v>
      </c>
      <c r="K869" s="4">
        <v>0</v>
      </c>
      <c r="L869" s="7">
        <v>1.160492478546826</v>
      </c>
      <c r="M869" s="3">
        <v>57.38</v>
      </c>
      <c r="N869" s="3">
        <v>28.7</v>
      </c>
    </row>
    <row r="870" spans="1:14">
      <c r="A870" s="8" t="s">
        <v>882</v>
      </c>
      <c r="B870" s="2">
        <f>HYPERLINK("https://www.suredividend.com/sure-analysis-research-database/","Dixie Group Inc.")</f>
        <v>0</v>
      </c>
      <c r="C870" s="1" t="s">
        <v>3182</v>
      </c>
      <c r="D870" s="3">
        <v>0.915</v>
      </c>
      <c r="E870" s="4">
        <v>0</v>
      </c>
      <c r="F870" s="4" t="s">
        <v>3178</v>
      </c>
      <c r="G870" s="4" t="s">
        <v>3178</v>
      </c>
      <c r="H870" s="3">
        <v>0</v>
      </c>
      <c r="I870" s="5">
        <v>13.396107</v>
      </c>
      <c r="J870" s="6" t="s">
        <v>3178</v>
      </c>
      <c r="K870" s="4">
        <v>-0</v>
      </c>
      <c r="L870" s="7">
        <v>0.6371050299906941</v>
      </c>
      <c r="M870" s="3">
        <v>1.36</v>
      </c>
      <c r="N870" s="3">
        <v>0.46</v>
      </c>
    </row>
    <row r="871" spans="1:14">
      <c r="A871" s="8" t="s">
        <v>883</v>
      </c>
      <c r="B871" s="2">
        <f>HYPERLINK("https://www.suredividend.com/sure-analysis-research-database/","Dycom Industries, Inc.")</f>
        <v>0</v>
      </c>
      <c r="C871" s="1" t="s">
        <v>3179</v>
      </c>
      <c r="D871" s="3">
        <v>179.07</v>
      </c>
      <c r="E871" s="4">
        <v>0</v>
      </c>
      <c r="F871" s="4" t="s">
        <v>3178</v>
      </c>
      <c r="G871" s="4" t="s">
        <v>3178</v>
      </c>
      <c r="H871" s="3">
        <v>0</v>
      </c>
      <c r="I871" s="5">
        <v>5209.716459</v>
      </c>
      <c r="J871" s="6">
        <v>22.65547222000922</v>
      </c>
      <c r="K871" s="4">
        <v>0</v>
      </c>
      <c r="L871" s="7">
        <v>0.9009910940057331</v>
      </c>
      <c r="M871" s="3">
        <v>186.47</v>
      </c>
      <c r="N871" s="3">
        <v>78.42</v>
      </c>
    </row>
    <row r="872" spans="1:14">
      <c r="A872" s="8" t="s">
        <v>884</v>
      </c>
      <c r="B872" s="2">
        <f>HYPERLINK("https://www.suredividend.com/sure-analysis-research-database/","Dyadic International Inc., DE")</f>
        <v>0</v>
      </c>
      <c r="C872" s="1" t="s">
        <v>3176</v>
      </c>
      <c r="D872" s="3">
        <v>2.02</v>
      </c>
      <c r="E872" s="4">
        <v>0</v>
      </c>
      <c r="F872" s="4" t="s">
        <v>3178</v>
      </c>
      <c r="G872" s="4" t="s">
        <v>3178</v>
      </c>
      <c r="H872" s="3">
        <v>0</v>
      </c>
      <c r="I872" s="5">
        <v>59.058364</v>
      </c>
      <c r="J872" s="6" t="s">
        <v>3178</v>
      </c>
      <c r="K872" s="4">
        <v>-0</v>
      </c>
      <c r="L872" s="7">
        <v>0.9518696946508711</v>
      </c>
      <c r="M872" s="3">
        <v>2.67</v>
      </c>
      <c r="N872" s="3">
        <v>1.19</v>
      </c>
    </row>
    <row r="873" spans="1:14">
      <c r="A873" s="8" t="s">
        <v>885</v>
      </c>
      <c r="B873" s="2">
        <f>HYPERLINK("https://www.suredividend.com/sure-analysis-research-database/","DZS Inc")</f>
        <v>0</v>
      </c>
      <c r="C873" s="1" t="s">
        <v>3181</v>
      </c>
      <c r="D873" s="3">
        <v>1.65</v>
      </c>
      <c r="E873" s="4">
        <v>0</v>
      </c>
      <c r="F873" s="4" t="s">
        <v>3178</v>
      </c>
      <c r="G873" s="4" t="s">
        <v>3178</v>
      </c>
      <c r="H873" s="3">
        <v>0</v>
      </c>
      <c r="I873" s="5">
        <v>51.413634</v>
      </c>
      <c r="J873" s="6" t="s">
        <v>3178</v>
      </c>
      <c r="K873" s="4">
        <v>-0</v>
      </c>
      <c r="L873" s="7">
        <v>2.739241667103295</v>
      </c>
      <c r="M873" s="3">
        <v>4.6</v>
      </c>
      <c r="N873" s="3">
        <v>0.9500000000000001</v>
      </c>
    </row>
    <row r="874" spans="1:14">
      <c r="A874" s="8" t="s">
        <v>886</v>
      </c>
      <c r="B874" s="2">
        <f>HYPERLINK("https://www.suredividend.com/sure-analysis-research-database/","Electronic Arts, Inc.")</f>
        <v>0</v>
      </c>
      <c r="C874" s="1" t="s">
        <v>3187</v>
      </c>
      <c r="D874" s="3">
        <v>136.82</v>
      </c>
      <c r="E874" s="4">
        <v>0.005537533678230001</v>
      </c>
      <c r="F874" s="4" t="s">
        <v>3178</v>
      </c>
      <c r="G874" s="4" t="s">
        <v>3178</v>
      </c>
      <c r="H874" s="3">
        <v>0.757645357855511</v>
      </c>
      <c r="I874" s="5">
        <v>36445.936334</v>
      </c>
      <c r="J874" s="6">
        <v>28.62995784256088</v>
      </c>
      <c r="K874" s="4">
        <v>0.1618900337298101</v>
      </c>
      <c r="L874" s="7">
        <v>0.768230259986572</v>
      </c>
      <c r="M874" s="3">
        <v>143.94</v>
      </c>
      <c r="N874" s="3">
        <v>116.64</v>
      </c>
    </row>
    <row r="875" spans="1:14">
      <c r="A875" s="8" t="s">
        <v>887</v>
      </c>
      <c r="B875" s="2">
        <f>HYPERLINK("https://www.suredividend.com/sure-analysis-research-database/","GrafTech International Ltd.")</f>
        <v>0</v>
      </c>
      <c r="C875" s="1" t="s">
        <v>3179</v>
      </c>
      <c r="D875" s="3">
        <v>1.38</v>
      </c>
      <c r="E875" s="4">
        <v>0</v>
      </c>
      <c r="F875" s="4" t="s">
        <v>3178</v>
      </c>
      <c r="G875" s="4" t="s">
        <v>3178</v>
      </c>
      <c r="H875" s="3">
        <v>0</v>
      </c>
      <c r="I875" s="5">
        <v>354.890635</v>
      </c>
      <c r="J875" s="6" t="s">
        <v>3178</v>
      </c>
      <c r="K875" s="4">
        <v>-0</v>
      </c>
      <c r="L875" s="7">
        <v>1.556427375553584</v>
      </c>
      <c r="M875" s="3">
        <v>5.32</v>
      </c>
      <c r="N875" s="3">
        <v>1.18</v>
      </c>
    </row>
    <row r="876" spans="1:14">
      <c r="A876" s="8" t="s">
        <v>888</v>
      </c>
      <c r="B876" s="2">
        <f>HYPERLINK("https://www.suredividend.com/sure-analysis-EARN/","Ellington Credit Co.")</f>
        <v>0</v>
      </c>
      <c r="C876" s="1" t="s">
        <v>3183</v>
      </c>
      <c r="D876" s="3">
        <v>6.95</v>
      </c>
      <c r="E876" s="4">
        <v>0.1381294964028777</v>
      </c>
      <c r="F876" s="4">
        <v>0</v>
      </c>
      <c r="G876" s="4">
        <v>0</v>
      </c>
      <c r="H876" s="3">
        <v>0.8969697539011391</v>
      </c>
      <c r="I876" s="5">
        <v>139.935067</v>
      </c>
      <c r="J876" s="6">
        <v>0</v>
      </c>
      <c r="K876" s="4" t="s">
        <v>3178</v>
      </c>
      <c r="L876" s="7">
        <v>1.011118063288894</v>
      </c>
      <c r="M876" s="3">
        <v>7.18</v>
      </c>
      <c r="N876" s="3">
        <v>4.64</v>
      </c>
    </row>
    <row r="877" spans="1:14">
      <c r="A877" s="8" t="s">
        <v>889</v>
      </c>
      <c r="B877" s="2">
        <f>HYPERLINK("https://www.suredividend.com/sure-analysis-research-database/","Brinker International, Inc.")</f>
        <v>0</v>
      </c>
      <c r="C877" s="1" t="s">
        <v>3182</v>
      </c>
      <c r="D877" s="3">
        <v>68.95999999999999</v>
      </c>
      <c r="E877" s="4">
        <v>0</v>
      </c>
      <c r="F877" s="4" t="s">
        <v>3178</v>
      </c>
      <c r="G877" s="4" t="s">
        <v>3178</v>
      </c>
      <c r="H877" s="3">
        <v>0</v>
      </c>
      <c r="I877" s="5">
        <v>3068.065983</v>
      </c>
      <c r="J877" s="6">
        <v>20.15812078423127</v>
      </c>
      <c r="K877" s="4">
        <v>0</v>
      </c>
      <c r="L877" s="7">
        <v>0.907366936053521</v>
      </c>
      <c r="M877" s="3">
        <v>73.58</v>
      </c>
      <c r="N877" s="3">
        <v>28.23</v>
      </c>
    </row>
    <row r="878" spans="1:14">
      <c r="A878" s="8" t="s">
        <v>890</v>
      </c>
      <c r="B878" s="2">
        <f>HYPERLINK("https://www.suredividend.com/sure-analysis-research-database/","Eventbrite Inc")</f>
        <v>0</v>
      </c>
      <c r="C878" s="1" t="s">
        <v>3181</v>
      </c>
      <c r="D878" s="3">
        <v>5.14</v>
      </c>
      <c r="E878" s="4">
        <v>0</v>
      </c>
      <c r="F878" s="4" t="s">
        <v>3178</v>
      </c>
      <c r="G878" s="4" t="s">
        <v>3178</v>
      </c>
      <c r="H878" s="3">
        <v>0</v>
      </c>
      <c r="I878" s="5">
        <v>418.672743</v>
      </c>
      <c r="J878" s="6" t="s">
        <v>3178</v>
      </c>
      <c r="K878" s="4">
        <v>-0</v>
      </c>
      <c r="L878" s="7">
        <v>1.513171401513866</v>
      </c>
      <c r="M878" s="3">
        <v>11.91</v>
      </c>
      <c r="N878" s="3">
        <v>4.69</v>
      </c>
    </row>
    <row r="879" spans="1:14">
      <c r="A879" s="8" t="s">
        <v>891</v>
      </c>
      <c r="B879" s="2">
        <f>HYPERLINK("https://www.suredividend.com/sure-analysis-EBAY/","EBay Inc.")</f>
        <v>0</v>
      </c>
      <c r="C879" s="1" t="s">
        <v>3182</v>
      </c>
      <c r="D879" s="3">
        <v>53.08</v>
      </c>
      <c r="E879" s="4">
        <v>0.02034664657121326</v>
      </c>
      <c r="F879" s="4">
        <v>0.08000000000000007</v>
      </c>
      <c r="G879" s="4">
        <v>0.1403735763502529</v>
      </c>
      <c r="H879" s="3">
        <v>1.026574169206155</v>
      </c>
      <c r="I879" s="5">
        <v>26646.16</v>
      </c>
      <c r="J879" s="6">
        <v>10.10089461713419</v>
      </c>
      <c r="K879" s="4">
        <v>0.205314833841231</v>
      </c>
      <c r="L879" s="7">
        <v>0.9400562701646281</v>
      </c>
      <c r="M879" s="3">
        <v>54.59</v>
      </c>
      <c r="N879" s="3">
        <v>36.15</v>
      </c>
    </row>
    <row r="880" spans="1:14">
      <c r="A880" s="8" t="s">
        <v>892</v>
      </c>
      <c r="B880" s="2">
        <f>HYPERLINK("https://www.suredividend.com/sure-analysis-EBF/","Ennis Inc.")</f>
        <v>0</v>
      </c>
      <c r="C880" s="1" t="s">
        <v>3179</v>
      </c>
      <c r="D880" s="3">
        <v>20.86</v>
      </c>
      <c r="E880" s="4">
        <v>0.04793863854266539</v>
      </c>
      <c r="F880" s="4">
        <v>0</v>
      </c>
      <c r="G880" s="4">
        <v>0.02129568760013512</v>
      </c>
      <c r="H880" s="3">
        <v>0.9821123238245891</v>
      </c>
      <c r="I880" s="5">
        <v>542.026532</v>
      </c>
      <c r="J880" s="6">
        <v>12.14108350595825</v>
      </c>
      <c r="K880" s="4">
        <v>0.5743346922950814</v>
      </c>
      <c r="L880" s="7">
        <v>0.461815380211294</v>
      </c>
      <c r="M880" s="3">
        <v>22.62</v>
      </c>
      <c r="N880" s="3">
        <v>18.59</v>
      </c>
    </row>
    <row r="881" spans="1:14">
      <c r="A881" s="8" t="s">
        <v>893</v>
      </c>
      <c r="B881" s="2">
        <f>HYPERLINK("https://www.suredividend.com/sure-analysis-research-database/","Ebix Inc.")</f>
        <v>0</v>
      </c>
      <c r="C881" s="1" t="s">
        <v>3181</v>
      </c>
      <c r="D881" s="3">
        <v>1.16</v>
      </c>
      <c r="E881" s="4">
        <v>0</v>
      </c>
      <c r="F881" s="4" t="s">
        <v>3178</v>
      </c>
      <c r="G881" s="4" t="s">
        <v>3178</v>
      </c>
      <c r="H881" s="3">
        <v>0</v>
      </c>
      <c r="I881" s="5">
        <v>0</v>
      </c>
      <c r="J881" s="6">
        <v>0</v>
      </c>
      <c r="K881" s="4">
        <v>0</v>
      </c>
    </row>
    <row r="882" spans="1:14">
      <c r="A882" s="8" t="s">
        <v>894</v>
      </c>
      <c r="B882" s="2">
        <f>HYPERLINK("https://www.suredividend.com/sure-analysis-research-database/","Eagle Bancorp Montana Inc")</f>
        <v>0</v>
      </c>
      <c r="C882" s="1" t="s">
        <v>3180</v>
      </c>
      <c r="D882" s="3">
        <v>13.06</v>
      </c>
      <c r="E882" s="4">
        <v>0.04152294279162101</v>
      </c>
      <c r="F882" s="4">
        <v>0.0181818181818183</v>
      </c>
      <c r="G882" s="4">
        <v>0.08063961960040023</v>
      </c>
      <c r="H882" s="3">
        <v>0.542289632858581</v>
      </c>
      <c r="I882" s="5">
        <v>104.699199</v>
      </c>
      <c r="J882" s="6">
        <v>0</v>
      </c>
      <c r="K882" s="4" t="s">
        <v>3178</v>
      </c>
      <c r="M882" s="3">
        <v>16.93</v>
      </c>
      <c r="N882" s="3">
        <v>10.67</v>
      </c>
    </row>
    <row r="883" spans="1:14">
      <c r="A883" s="8" t="s">
        <v>895</v>
      </c>
      <c r="B883" s="2">
        <f>HYPERLINK("https://www.suredividend.com/sure-analysis-research-database/","Emergent Biosolutions Inc")</f>
        <v>0</v>
      </c>
      <c r="C883" s="1" t="s">
        <v>3176</v>
      </c>
      <c r="D883" s="3">
        <v>6.19</v>
      </c>
      <c r="E883" s="4">
        <v>0</v>
      </c>
      <c r="F883" s="4" t="s">
        <v>3178</v>
      </c>
      <c r="G883" s="4" t="s">
        <v>3178</v>
      </c>
      <c r="H883" s="3">
        <v>0</v>
      </c>
      <c r="I883" s="5">
        <v>324.367452</v>
      </c>
      <c r="J883" s="6" t="s">
        <v>3178</v>
      </c>
      <c r="K883" s="4">
        <v>-0</v>
      </c>
      <c r="M883" s="3">
        <v>9.960000000000001</v>
      </c>
      <c r="N883" s="3">
        <v>1.42</v>
      </c>
    </row>
    <row r="884" spans="1:14">
      <c r="A884" s="8" t="s">
        <v>896</v>
      </c>
      <c r="B884" s="2">
        <f>HYPERLINK("https://www.suredividend.com/sure-analysis-research-database/","Meridian Bancorp Inc")</f>
        <v>0</v>
      </c>
      <c r="C884" s="1" t="s">
        <v>3180</v>
      </c>
      <c r="D884" s="3">
        <v>24.15</v>
      </c>
      <c r="E884" s="4">
        <v>0</v>
      </c>
      <c r="F884" s="4" t="s">
        <v>3178</v>
      </c>
      <c r="G884" s="4" t="s">
        <v>3178</v>
      </c>
      <c r="H884" s="3">
        <v>0.380000002682209</v>
      </c>
      <c r="I884" s="5">
        <v>0</v>
      </c>
      <c r="J884" s="6">
        <v>0</v>
      </c>
      <c r="K884" s="4">
        <v>0.2533333351214727</v>
      </c>
    </row>
    <row r="885" spans="1:14">
      <c r="A885" s="8" t="s">
        <v>897</v>
      </c>
      <c r="B885" s="2">
        <f>HYPERLINK("https://www.suredividend.com/sure-analysis-EBTC/","Enterprise Bancorp, Inc.")</f>
        <v>0</v>
      </c>
      <c r="C885" s="1" t="s">
        <v>3180</v>
      </c>
      <c r="D885" s="3">
        <v>24.01</v>
      </c>
      <c r="E885" s="4">
        <v>0.03998334027488546</v>
      </c>
      <c r="F885" s="4" t="s">
        <v>3178</v>
      </c>
      <c r="G885" s="4" t="s">
        <v>3178</v>
      </c>
      <c r="H885" s="3">
        <v>0.9155393922463311</v>
      </c>
      <c r="I885" s="5">
        <v>297.116019</v>
      </c>
      <c r="J885" s="6">
        <v>0</v>
      </c>
      <c r="K885" s="4" t="s">
        <v>3178</v>
      </c>
      <c r="L885" s="7">
        <v>0.6975762155239771</v>
      </c>
      <c r="M885" s="3">
        <v>32.89</v>
      </c>
      <c r="N885" s="3">
        <v>22.58</v>
      </c>
    </row>
    <row r="886" spans="1:14">
      <c r="A886" s="8" t="s">
        <v>898</v>
      </c>
      <c r="B886" s="2">
        <f>HYPERLINK("https://www.suredividend.com/sure-analysis-research-database/","Echo Global Logistics Inc")</f>
        <v>0</v>
      </c>
      <c r="C886" s="1" t="s">
        <v>3179</v>
      </c>
      <c r="D886" s="3">
        <v>48.24</v>
      </c>
      <c r="E886" s="4">
        <v>0</v>
      </c>
      <c r="F886" s="4" t="s">
        <v>3178</v>
      </c>
      <c r="G886" s="4" t="s">
        <v>3178</v>
      </c>
      <c r="H886" s="3">
        <v>0</v>
      </c>
      <c r="I886" s="5">
        <v>0</v>
      </c>
      <c r="J886" s="6">
        <v>0</v>
      </c>
      <c r="K886" s="4">
        <v>0</v>
      </c>
    </row>
    <row r="887" spans="1:14">
      <c r="A887" s="8" t="s">
        <v>899</v>
      </c>
      <c r="B887" s="2">
        <f>HYPERLINK("https://www.suredividend.com/sure-analysis-ECL/","Ecolab, Inc.")</f>
        <v>0</v>
      </c>
      <c r="C887" s="1" t="s">
        <v>3177</v>
      </c>
      <c r="D887" s="3">
        <v>239.19</v>
      </c>
      <c r="E887" s="4">
        <v>0.009532171077386178</v>
      </c>
      <c r="F887" s="4">
        <v>0.07547169811320753</v>
      </c>
      <c r="G887" s="4">
        <v>0.04381469058832899</v>
      </c>
      <c r="H887" s="3">
        <v>2.191268826021139</v>
      </c>
      <c r="I887" s="5">
        <v>68305.434482</v>
      </c>
      <c r="J887" s="6">
        <v>44.03960959526112</v>
      </c>
      <c r="K887" s="4">
        <v>0.405790523337248</v>
      </c>
      <c r="L887" s="7">
        <v>0.5906980200777431</v>
      </c>
      <c r="M887" s="3">
        <v>240.61</v>
      </c>
      <c r="N887" s="3">
        <v>155.87</v>
      </c>
    </row>
    <row r="888" spans="1:14">
      <c r="A888" s="8" t="s">
        <v>900</v>
      </c>
      <c r="B888" s="2">
        <f>HYPERLINK("https://www.suredividend.com/sure-analysis-research-database/","US Ecology Inc.")</f>
        <v>0</v>
      </c>
      <c r="C888" s="1" t="s">
        <v>3179</v>
      </c>
      <c r="D888" s="3">
        <v>47.99</v>
      </c>
      <c r="E888" s="4">
        <v>0</v>
      </c>
      <c r="F888" s="4" t="s">
        <v>3178</v>
      </c>
      <c r="G888" s="4" t="s">
        <v>3178</v>
      </c>
      <c r="H888" s="3">
        <v>0</v>
      </c>
      <c r="I888" s="5">
        <v>0</v>
      </c>
      <c r="J888" s="6">
        <v>0</v>
      </c>
      <c r="K888" s="4">
        <v>-0</v>
      </c>
    </row>
    <row r="889" spans="1:14">
      <c r="A889" s="8" t="s">
        <v>901</v>
      </c>
      <c r="B889" s="2">
        <f>HYPERLINK("https://www.suredividend.com/sure-analysis-research-database/","ChannelAdvisor Corp")</f>
        <v>0</v>
      </c>
      <c r="C889" s="1" t="s">
        <v>3181</v>
      </c>
      <c r="D889" s="3">
        <v>23.09</v>
      </c>
      <c r="E889" s="4">
        <v>0</v>
      </c>
      <c r="F889" s="4" t="s">
        <v>3178</v>
      </c>
      <c r="G889" s="4" t="s">
        <v>3178</v>
      </c>
      <c r="H889" s="3">
        <v>0</v>
      </c>
      <c r="I889" s="5">
        <v>667.681823</v>
      </c>
      <c r="J889" s="6">
        <v>17.93349153581693</v>
      </c>
      <c r="K889" s="4">
        <v>0</v>
      </c>
      <c r="L889" s="7">
        <v>0.73997927374976</v>
      </c>
      <c r="M889" s="3">
        <v>27.69</v>
      </c>
      <c r="N889" s="3">
        <v>11.89</v>
      </c>
    </row>
    <row r="890" spans="1:14">
      <c r="A890" s="8" t="s">
        <v>902</v>
      </c>
      <c r="B890" s="2">
        <f>HYPERLINK("https://www.suredividend.com/sure-analysis-research-database/","Encore Capital Group, Inc.")</f>
        <v>0</v>
      </c>
      <c r="C890" s="1" t="s">
        <v>3180</v>
      </c>
      <c r="D890" s="3">
        <v>42.85</v>
      </c>
      <c r="E890" s="4">
        <v>0</v>
      </c>
      <c r="F890" s="4" t="s">
        <v>3178</v>
      </c>
      <c r="G890" s="4" t="s">
        <v>3178</v>
      </c>
      <c r="H890" s="3">
        <v>0</v>
      </c>
      <c r="I890" s="5">
        <v>1014.982165</v>
      </c>
      <c r="J890" s="6" t="s">
        <v>3178</v>
      </c>
      <c r="K890" s="4">
        <v>-0</v>
      </c>
      <c r="L890" s="7">
        <v>1.134461264227581</v>
      </c>
      <c r="M890" s="3">
        <v>54.73</v>
      </c>
      <c r="N890" s="3">
        <v>34.74</v>
      </c>
    </row>
    <row r="891" spans="1:14">
      <c r="A891" s="8" t="s">
        <v>903</v>
      </c>
      <c r="B891" s="2">
        <f>HYPERLINK("https://www.suredividend.com/sure-analysis-ED/","Consolidated Edison, Inc.")</f>
        <v>0</v>
      </c>
      <c r="C891" s="1" t="s">
        <v>3186</v>
      </c>
      <c r="D891" s="3">
        <v>91.61</v>
      </c>
      <c r="E891" s="4">
        <v>0.03624058508896408</v>
      </c>
      <c r="F891" s="4">
        <v>0.02469135802469147</v>
      </c>
      <c r="G891" s="4">
        <v>0.02322059889728889</v>
      </c>
      <c r="H891" s="3">
        <v>3.236977298109468</v>
      </c>
      <c r="I891" s="5">
        <v>31681.917875</v>
      </c>
      <c r="J891" s="6">
        <v>17.54259018533223</v>
      </c>
      <c r="K891" s="4">
        <v>0.6224956342518208</v>
      </c>
      <c r="L891" s="7">
        <v>0.354613641155124</v>
      </c>
      <c r="M891" s="3">
        <v>98.11</v>
      </c>
      <c r="N891" s="3">
        <v>78.31</v>
      </c>
    </row>
    <row r="892" spans="1:14">
      <c r="A892" s="8" t="s">
        <v>904</v>
      </c>
      <c r="B892" s="2">
        <f>HYPERLINK("https://www.suredividend.com/sure-analysis-research-database/","Editas Medicine Inc")</f>
        <v>0</v>
      </c>
      <c r="C892" s="1" t="s">
        <v>3176</v>
      </c>
      <c r="D892" s="3">
        <v>5.3</v>
      </c>
      <c r="E892" s="4">
        <v>0</v>
      </c>
      <c r="F892" s="4" t="s">
        <v>3178</v>
      </c>
      <c r="G892" s="4" t="s">
        <v>3178</v>
      </c>
      <c r="H892" s="3">
        <v>0</v>
      </c>
      <c r="I892" s="5">
        <v>435.861262</v>
      </c>
      <c r="J892" s="6" t="s">
        <v>3178</v>
      </c>
      <c r="K892" s="4">
        <v>-0</v>
      </c>
      <c r="L892" s="7">
        <v>1.354182387591034</v>
      </c>
      <c r="M892" s="3">
        <v>11.91</v>
      </c>
      <c r="N892" s="3">
        <v>4.91</v>
      </c>
    </row>
    <row r="893" spans="1:14">
      <c r="A893" s="8" t="s">
        <v>905</v>
      </c>
      <c r="B893" s="2">
        <f>HYPERLINK("https://www.suredividend.com/sure-analysis-research-database/","Educational Development Corp.")</f>
        <v>0</v>
      </c>
      <c r="C893" s="1" t="s">
        <v>3187</v>
      </c>
      <c r="D893" s="3">
        <v>1.67</v>
      </c>
      <c r="E893" s="4">
        <v>0</v>
      </c>
      <c r="F893" s="4" t="s">
        <v>3178</v>
      </c>
      <c r="G893" s="4" t="s">
        <v>3178</v>
      </c>
      <c r="H893" s="3">
        <v>0</v>
      </c>
      <c r="I893" s="5">
        <v>14.320397</v>
      </c>
      <c r="J893" s="6">
        <v>0</v>
      </c>
      <c r="K893" s="4" t="s">
        <v>3178</v>
      </c>
      <c r="L893" s="7">
        <v>0.92243210656257</v>
      </c>
      <c r="M893" s="3">
        <v>2.95</v>
      </c>
      <c r="N893" s="3">
        <v>0.8</v>
      </c>
    </row>
    <row r="894" spans="1:14">
      <c r="A894" s="8" t="s">
        <v>906</v>
      </c>
      <c r="B894" s="2">
        <f>HYPERLINK("https://www.suredividend.com/sure-analysis-research-database/","Excelerate Energy Inc")</f>
        <v>0</v>
      </c>
      <c r="C894" s="1" t="s">
        <v>3186</v>
      </c>
      <c r="D894" s="3">
        <v>17.31</v>
      </c>
      <c r="E894" s="4">
        <v>0.005764523686631</v>
      </c>
      <c r="F894" s="4" t="s">
        <v>3178</v>
      </c>
      <c r="G894" s="4" t="s">
        <v>3178</v>
      </c>
      <c r="H894" s="3">
        <v>0.09978390501558801</v>
      </c>
      <c r="I894" s="5">
        <v>434.552265</v>
      </c>
      <c r="J894" s="6">
        <v>14.5374101856684</v>
      </c>
      <c r="K894" s="4">
        <v>0.3614049439173778</v>
      </c>
      <c r="L894" s="7">
        <v>1.18369538595616</v>
      </c>
      <c r="M894" s="3">
        <v>22.29</v>
      </c>
      <c r="N894" s="3">
        <v>13.34</v>
      </c>
    </row>
    <row r="895" spans="1:14">
      <c r="A895" s="8" t="s">
        <v>907</v>
      </c>
      <c r="B895" s="2">
        <f>HYPERLINK("https://www.suredividend.com/sure-analysis-research-database/","Euronet Worldwide Inc")</f>
        <v>0</v>
      </c>
      <c r="C895" s="1" t="s">
        <v>3181</v>
      </c>
      <c r="D895" s="3">
        <v>112.49</v>
      </c>
      <c r="E895" s="4">
        <v>0</v>
      </c>
      <c r="F895" s="4" t="s">
        <v>3178</v>
      </c>
      <c r="G895" s="4" t="s">
        <v>3178</v>
      </c>
      <c r="H895" s="3">
        <v>0</v>
      </c>
      <c r="I895" s="5">
        <v>5158.706245</v>
      </c>
      <c r="J895" s="6">
        <v>18.05005684069279</v>
      </c>
      <c r="K895" s="4">
        <v>0</v>
      </c>
      <c r="L895" s="7">
        <v>1.064833148970622</v>
      </c>
      <c r="M895" s="3">
        <v>121.06</v>
      </c>
      <c r="N895" s="3">
        <v>73.84</v>
      </c>
    </row>
    <row r="896" spans="1:14">
      <c r="A896" s="8" t="s">
        <v>908</v>
      </c>
      <c r="B896" s="2">
        <f>HYPERLINK("https://www.suredividend.com/sure-analysis-research-database/","Emerald Holding Inc")</f>
        <v>0</v>
      </c>
      <c r="C896" s="1" t="s">
        <v>3187</v>
      </c>
      <c r="D896" s="3">
        <v>5.32</v>
      </c>
      <c r="E896" s="4">
        <v>0</v>
      </c>
      <c r="F896" s="4" t="s">
        <v>3178</v>
      </c>
      <c r="G896" s="4" t="s">
        <v>3178</v>
      </c>
      <c r="H896" s="3">
        <v>0</v>
      </c>
      <c r="I896" s="5">
        <v>1084.41093</v>
      </c>
      <c r="J896" s="6" t="s">
        <v>3178</v>
      </c>
      <c r="K896" s="4">
        <v>-0</v>
      </c>
      <c r="L896" s="7">
        <v>0.9778380548986271</v>
      </c>
      <c r="M896" s="3">
        <v>7.05</v>
      </c>
      <c r="N896" s="3">
        <v>3.65</v>
      </c>
    </row>
    <row r="897" spans="1:14">
      <c r="A897" s="8" t="s">
        <v>909</v>
      </c>
      <c r="B897" s="2">
        <f>HYPERLINK("https://www.suredividend.com/sure-analysis-EFC/","Ellington Financial Inc")</f>
        <v>0</v>
      </c>
      <c r="C897" s="1" t="s">
        <v>3180</v>
      </c>
      <c r="D897" s="3">
        <v>11.93</v>
      </c>
      <c r="E897" s="4">
        <v>0.1307627829002515</v>
      </c>
      <c r="F897" s="4">
        <v>-0.1333333333333333</v>
      </c>
      <c r="G897" s="4">
        <v>-0.0282144910993144</v>
      </c>
      <c r="H897" s="3">
        <v>1.630078839654697</v>
      </c>
      <c r="I897" s="5">
        <v>1014.550022</v>
      </c>
      <c r="J897" s="6">
        <v>16.65873078207612</v>
      </c>
      <c r="K897" s="4">
        <v>1.826828241235792</v>
      </c>
      <c r="L897" s="7">
        <v>1.09079744495985</v>
      </c>
      <c r="M897" s="3">
        <v>12.5</v>
      </c>
      <c r="N897" s="3">
        <v>10.47</v>
      </c>
    </row>
    <row r="898" spans="1:14">
      <c r="A898" s="8" t="s">
        <v>910</v>
      </c>
      <c r="B898" s="2">
        <f>HYPERLINK("https://www.suredividend.com/sure-analysis-research-database/","Energy Focus Inc")</f>
        <v>0</v>
      </c>
      <c r="C898" s="1" t="s">
        <v>3182</v>
      </c>
      <c r="D898" s="3">
        <v>1.685</v>
      </c>
      <c r="E898" s="4">
        <v>0</v>
      </c>
      <c r="F898" s="4" t="s">
        <v>3178</v>
      </c>
      <c r="G898" s="4" t="s">
        <v>3178</v>
      </c>
      <c r="H898" s="3">
        <v>0</v>
      </c>
      <c r="I898" s="5">
        <v>7.963561</v>
      </c>
      <c r="J898" s="6">
        <v>0</v>
      </c>
      <c r="K898" s="4" t="s">
        <v>3178</v>
      </c>
      <c r="M898" s="3">
        <v>2.9</v>
      </c>
      <c r="N898" s="3">
        <v>1.2</v>
      </c>
    </row>
    <row r="899" spans="1:14">
      <c r="A899" s="8" t="s">
        <v>911</v>
      </c>
      <c r="B899" s="2">
        <f>HYPERLINK("https://www.suredividend.com/sure-analysis-research-database/","Enterprise Financial Services Corp.")</f>
        <v>0</v>
      </c>
      <c r="C899" s="1" t="s">
        <v>3180</v>
      </c>
      <c r="D899" s="3">
        <v>38.12</v>
      </c>
      <c r="E899" s="4">
        <v>0.025753189696423</v>
      </c>
      <c r="F899" s="4">
        <v>0</v>
      </c>
      <c r="G899" s="4">
        <v>0.1075663432482901</v>
      </c>
      <c r="H899" s="3">
        <v>0.981711591227676</v>
      </c>
      <c r="I899" s="5">
        <v>1429.1841</v>
      </c>
      <c r="J899" s="6">
        <v>8.168073174907985</v>
      </c>
      <c r="K899" s="4">
        <v>0.2106677234394154</v>
      </c>
      <c r="L899" s="7">
        <v>0.886616563730614</v>
      </c>
      <c r="M899" s="3">
        <v>45.58</v>
      </c>
      <c r="N899" s="3">
        <v>32.18</v>
      </c>
    </row>
    <row r="900" spans="1:14">
      <c r="A900" s="8" t="s">
        <v>912</v>
      </c>
      <c r="B900" s="2">
        <f>HYPERLINK("https://www.suredividend.com/sure-analysis-research-database/","Equifax, Inc.")</f>
        <v>0</v>
      </c>
      <c r="C900" s="1" t="s">
        <v>3179</v>
      </c>
      <c r="D900" s="3">
        <v>233.28</v>
      </c>
      <c r="E900" s="4">
        <v>0.006670996497432</v>
      </c>
      <c r="F900" s="4">
        <v>0</v>
      </c>
      <c r="G900" s="4">
        <v>0</v>
      </c>
      <c r="H900" s="3">
        <v>1.556210062921041</v>
      </c>
      <c r="I900" s="5">
        <v>28836.046397</v>
      </c>
      <c r="J900" s="6">
        <v>51.69603154679096</v>
      </c>
      <c r="K900" s="4">
        <v>0.3465946688020136</v>
      </c>
      <c r="L900" s="7">
        <v>1.506122123556217</v>
      </c>
      <c r="M900" s="3">
        <v>274.66</v>
      </c>
      <c r="N900" s="3">
        <v>159.15</v>
      </c>
    </row>
    <row r="901" spans="1:14">
      <c r="A901" s="8" t="s">
        <v>913</v>
      </c>
      <c r="B901" s="2">
        <f>HYPERLINK("https://www.suredividend.com/sure-analysis-research-database/","eGain Corp")</f>
        <v>0</v>
      </c>
      <c r="C901" s="1" t="s">
        <v>3181</v>
      </c>
      <c r="D901" s="3">
        <v>5.89</v>
      </c>
      <c r="E901" s="4">
        <v>0</v>
      </c>
      <c r="F901" s="4" t="s">
        <v>3178</v>
      </c>
      <c r="G901" s="4" t="s">
        <v>3178</v>
      </c>
      <c r="H901" s="3">
        <v>0</v>
      </c>
      <c r="I901" s="5">
        <v>175.679281</v>
      </c>
      <c r="J901" s="6">
        <v>19.79484852619719</v>
      </c>
      <c r="K901" s="4">
        <v>0</v>
      </c>
      <c r="L901" s="7">
        <v>1.169134790325002</v>
      </c>
      <c r="M901" s="3">
        <v>8.52</v>
      </c>
      <c r="N901" s="3">
        <v>5.5</v>
      </c>
    </row>
    <row r="902" spans="1:14">
      <c r="A902" s="8" t="s">
        <v>914</v>
      </c>
      <c r="B902" s="2">
        <f>HYPERLINK("https://www.suredividend.com/sure-analysis-research-database/","Eagle Bancorp Inc (MD)")</f>
        <v>0</v>
      </c>
      <c r="C902" s="1" t="s">
        <v>3180</v>
      </c>
      <c r="D902" s="3">
        <v>17.34</v>
      </c>
      <c r="E902" s="4">
        <v>0.09944687450896601</v>
      </c>
      <c r="F902" s="4" t="s">
        <v>3178</v>
      </c>
      <c r="G902" s="4" t="s">
        <v>3178</v>
      </c>
      <c r="H902" s="3">
        <v>1.72440880398548</v>
      </c>
      <c r="I902" s="5">
        <v>523.488306</v>
      </c>
      <c r="J902" s="6">
        <v>6.891449745662305</v>
      </c>
      <c r="K902" s="4">
        <v>0.684289207930746</v>
      </c>
      <c r="L902" s="7">
        <v>1.511311201977088</v>
      </c>
      <c r="M902" s="3">
        <v>30.32</v>
      </c>
      <c r="N902" s="3">
        <v>16.56</v>
      </c>
    </row>
    <row r="903" spans="1:14">
      <c r="A903" s="8" t="s">
        <v>915</v>
      </c>
      <c r="B903" s="2">
        <f>HYPERLINK("https://www.suredividend.com/sure-analysis-research-database/","8X8 Inc.")</f>
        <v>0</v>
      </c>
      <c r="C903" s="1" t="s">
        <v>3181</v>
      </c>
      <c r="D903" s="3">
        <v>2.6</v>
      </c>
      <c r="E903" s="4">
        <v>0</v>
      </c>
      <c r="F903" s="4" t="s">
        <v>3178</v>
      </c>
      <c r="G903" s="4" t="s">
        <v>3178</v>
      </c>
      <c r="H903" s="3">
        <v>0</v>
      </c>
      <c r="I903" s="5">
        <v>325.978045</v>
      </c>
      <c r="J903" s="6" t="s">
        <v>3178</v>
      </c>
      <c r="K903" s="4">
        <v>-0</v>
      </c>
      <c r="L903" s="7">
        <v>2.729810954186125</v>
      </c>
      <c r="M903" s="3">
        <v>4.88</v>
      </c>
      <c r="N903" s="3">
        <v>2.12</v>
      </c>
    </row>
    <row r="904" spans="1:14">
      <c r="A904" s="8" t="s">
        <v>916</v>
      </c>
      <c r="B904" s="2">
        <f>HYPERLINK("https://www.suredividend.com/sure-analysis-research-database/","Eagle Bulk Shipping Inc")</f>
        <v>0</v>
      </c>
      <c r="C904" s="1" t="s">
        <v>3179</v>
      </c>
      <c r="D904" s="3">
        <v>62.6</v>
      </c>
      <c r="E904" s="4">
        <v>0.021881049859053</v>
      </c>
      <c r="F904" s="4" t="s">
        <v>3178</v>
      </c>
      <c r="G904" s="4" t="s">
        <v>3178</v>
      </c>
      <c r="H904" s="3">
        <v>1.36975372117673</v>
      </c>
      <c r="I904" s="5">
        <v>693.160473</v>
      </c>
      <c r="J904" s="6">
        <v>30.49808485568462</v>
      </c>
      <c r="K904" s="4">
        <v>0.8724545994756242</v>
      </c>
      <c r="L904" s="7">
        <v>0.80596923503422</v>
      </c>
      <c r="M904" s="3">
        <v>64.83</v>
      </c>
      <c r="N904" s="3">
        <v>38.2</v>
      </c>
    </row>
    <row r="905" spans="1:14">
      <c r="A905" s="8" t="s">
        <v>917</v>
      </c>
      <c r="B905" s="2">
        <f>HYPERLINK("https://www.suredividend.com/sure-analysis-research-database/","NIC Inc")</f>
        <v>0</v>
      </c>
      <c r="C905" s="1" t="s">
        <v>3181</v>
      </c>
      <c r="D905" s="3">
        <v>34</v>
      </c>
      <c r="E905" s="4">
        <v>0</v>
      </c>
      <c r="F905" s="4" t="s">
        <v>3178</v>
      </c>
      <c r="G905" s="4" t="s">
        <v>3178</v>
      </c>
      <c r="H905" s="3">
        <v>0.360000014305114</v>
      </c>
      <c r="I905" s="5">
        <v>0</v>
      </c>
      <c r="J905" s="6">
        <v>0</v>
      </c>
      <c r="K905" s="4">
        <v>0.3564356577278356</v>
      </c>
    </row>
    <row r="906" spans="1:14">
      <c r="A906" s="8" t="s">
        <v>918</v>
      </c>
      <c r="B906" s="2">
        <f>HYPERLINK("https://www.suredividend.com/sure-analysis-EGP/","Eastgroup Properties, Inc.")</f>
        <v>0</v>
      </c>
      <c r="C906" s="1" t="s">
        <v>3183</v>
      </c>
      <c r="D906" s="3">
        <v>166.08</v>
      </c>
      <c r="E906" s="4">
        <v>0.03058766859344894</v>
      </c>
      <c r="F906" s="4">
        <v>0</v>
      </c>
      <c r="G906" s="4">
        <v>0.1110880879347886</v>
      </c>
      <c r="H906" s="3">
        <v>5.006090402558468</v>
      </c>
      <c r="I906" s="5">
        <v>7995.807337</v>
      </c>
      <c r="J906" s="6">
        <v>37.2860516074518</v>
      </c>
      <c r="K906" s="4">
        <v>1.081229028630339</v>
      </c>
      <c r="L906" s="7">
        <v>1.01387655495359</v>
      </c>
      <c r="M906" s="3">
        <v>187.19</v>
      </c>
      <c r="N906" s="3">
        <v>152.58</v>
      </c>
    </row>
    <row r="907" spans="1:14">
      <c r="A907" s="8" t="s">
        <v>919</v>
      </c>
      <c r="B907" s="2">
        <f>HYPERLINK("https://www.suredividend.com/sure-analysis-research-database/","Eagle Pharmaceuticals Inc")</f>
        <v>0</v>
      </c>
      <c r="C907" s="1" t="s">
        <v>3176</v>
      </c>
      <c r="D907" s="3">
        <v>3.71</v>
      </c>
      <c r="E907" s="4">
        <v>0</v>
      </c>
      <c r="F907" s="4" t="s">
        <v>3178</v>
      </c>
      <c r="G907" s="4" t="s">
        <v>3178</v>
      </c>
      <c r="H907" s="3">
        <v>0</v>
      </c>
      <c r="I907" s="5">
        <v>48.181662</v>
      </c>
      <c r="J907" s="6">
        <v>4.032613191329093</v>
      </c>
      <c r="K907" s="4">
        <v>0</v>
      </c>
      <c r="L907" s="7">
        <v>0.831828800901369</v>
      </c>
      <c r="M907" s="3">
        <v>23.52</v>
      </c>
      <c r="N907" s="3">
        <v>3.21</v>
      </c>
    </row>
    <row r="908" spans="1:14">
      <c r="A908" s="8" t="s">
        <v>920</v>
      </c>
      <c r="B908" s="2">
        <f>HYPERLINK("https://www.suredividend.com/sure-analysis-research-database/","VAALCO Energy, Inc.")</f>
        <v>0</v>
      </c>
      <c r="C908" s="1" t="s">
        <v>3185</v>
      </c>
      <c r="D908" s="3">
        <v>5.89</v>
      </c>
      <c r="E908" s="4">
        <v>0.04168146127815001</v>
      </c>
      <c r="F908" s="4" t="s">
        <v>3178</v>
      </c>
      <c r="G908" s="4" t="s">
        <v>3178</v>
      </c>
      <c r="H908" s="3">
        <v>0.245503806928308</v>
      </c>
      <c r="I908" s="5">
        <v>609.353042</v>
      </c>
      <c r="J908" s="6">
        <v>9.530373834808721</v>
      </c>
      <c r="K908" s="4">
        <v>0.4051217936110694</v>
      </c>
      <c r="L908" s="7">
        <v>0.6771510111034801</v>
      </c>
      <c r="M908" s="3">
        <v>7.43</v>
      </c>
      <c r="N908" s="3">
        <v>3.37</v>
      </c>
    </row>
    <row r="909" spans="1:14">
      <c r="A909" s="8" t="s">
        <v>921</v>
      </c>
      <c r="B909" s="2">
        <f>HYPERLINK("https://www.suredividend.com/sure-analysis-research-database/","Encompass Health Corp")</f>
        <v>0</v>
      </c>
      <c r="C909" s="1" t="s">
        <v>3176</v>
      </c>
      <c r="D909" s="3">
        <v>84.84999999999999</v>
      </c>
      <c r="E909" s="4">
        <v>0.007049285104955</v>
      </c>
      <c r="F909" s="4" t="s">
        <v>3178</v>
      </c>
      <c r="G909" s="4" t="s">
        <v>3178</v>
      </c>
      <c r="H909" s="3">
        <v>0.598131841155467</v>
      </c>
      <c r="I909" s="5">
        <v>8543.149147</v>
      </c>
      <c r="J909" s="6">
        <v>22.78173105986667</v>
      </c>
      <c r="K909" s="4">
        <v>0.1620953499066306</v>
      </c>
      <c r="L909" s="7">
        <v>0.6132985109947741</v>
      </c>
      <c r="M909" s="3">
        <v>87.94</v>
      </c>
      <c r="N909" s="3">
        <v>57.31</v>
      </c>
    </row>
    <row r="910" spans="1:14">
      <c r="A910" s="8" t="s">
        <v>922</v>
      </c>
      <c r="B910" s="2">
        <f>HYPERLINK("https://www.suredividend.com/sure-analysis-research-database/","eHealth Inc")</f>
        <v>0</v>
      </c>
      <c r="C910" s="1" t="s">
        <v>3180</v>
      </c>
      <c r="D910" s="3">
        <v>5.19</v>
      </c>
      <c r="E910" s="4">
        <v>0</v>
      </c>
      <c r="F910" s="4" t="s">
        <v>3178</v>
      </c>
      <c r="G910" s="4" t="s">
        <v>3178</v>
      </c>
      <c r="H910" s="3">
        <v>0</v>
      </c>
      <c r="I910" s="5">
        <v>151.150737</v>
      </c>
      <c r="J910" s="6" t="s">
        <v>3178</v>
      </c>
      <c r="K910" s="4">
        <v>-0</v>
      </c>
      <c r="L910" s="7">
        <v>1.290488253501635</v>
      </c>
      <c r="M910" s="3">
        <v>10.2</v>
      </c>
      <c r="N910" s="3">
        <v>4.28</v>
      </c>
    </row>
    <row r="911" spans="1:14">
      <c r="A911" s="8" t="s">
        <v>923</v>
      </c>
      <c r="B911" s="2">
        <f>HYPERLINK("https://www.suredividend.com/sure-analysis-research-database/","Eidos Therapeutics Inc")</f>
        <v>0</v>
      </c>
      <c r="C911" s="1" t="s">
        <v>3176</v>
      </c>
      <c r="D911" s="3">
        <v>122.21</v>
      </c>
      <c r="E911" s="4">
        <v>0</v>
      </c>
      <c r="F911" s="4" t="s">
        <v>3178</v>
      </c>
      <c r="G911" s="4" t="s">
        <v>3178</v>
      </c>
      <c r="H911" s="3">
        <v>0</v>
      </c>
      <c r="I911" s="5">
        <v>0</v>
      </c>
      <c r="J911" s="6">
        <v>0</v>
      </c>
      <c r="K911" s="4" t="s">
        <v>3178</v>
      </c>
    </row>
    <row r="912" spans="1:14">
      <c r="A912" s="8" t="s">
        <v>924</v>
      </c>
      <c r="B912" s="2">
        <f>HYPERLINK("https://www.suredividend.com/sure-analysis-research-database/","Employers Holdings Inc")</f>
        <v>0</v>
      </c>
      <c r="C912" s="1" t="s">
        <v>3180</v>
      </c>
      <c r="D912" s="3">
        <v>41.5</v>
      </c>
      <c r="E912" s="4">
        <v>0.02719984996736</v>
      </c>
      <c r="F912" s="4">
        <v>0.0714285714285714</v>
      </c>
      <c r="G912" s="4">
        <v>0.03713728933664817</v>
      </c>
      <c r="H912" s="3">
        <v>1.128793773645464</v>
      </c>
      <c r="I912" s="5">
        <v>1051.755416</v>
      </c>
      <c r="J912" s="6">
        <v>8.564783517915309</v>
      </c>
      <c r="K912" s="4">
        <v>0.2396589752962769</v>
      </c>
      <c r="L912" s="7">
        <v>0.246545638482027</v>
      </c>
      <c r="M912" s="3">
        <v>46.18</v>
      </c>
      <c r="N912" s="3">
        <v>34.47</v>
      </c>
    </row>
    <row r="913" spans="1:14">
      <c r="A913" s="8" t="s">
        <v>925</v>
      </c>
      <c r="B913" s="2">
        <f>HYPERLINK("https://www.suredividend.com/sure-analysis-research-database/","Endurance International Group Holdings Inc")</f>
        <v>0</v>
      </c>
      <c r="C913" s="1" t="s">
        <v>3181</v>
      </c>
      <c r="D913" s="3">
        <v>9.49</v>
      </c>
      <c r="E913" s="4">
        <v>0</v>
      </c>
      <c r="F913" s="4" t="s">
        <v>3178</v>
      </c>
      <c r="G913" s="4" t="s">
        <v>3178</v>
      </c>
      <c r="H913" s="3">
        <v>0</v>
      </c>
      <c r="I913" s="5">
        <v>0</v>
      </c>
      <c r="J913" s="6">
        <v>0</v>
      </c>
      <c r="K913" s="4" t="s">
        <v>3178</v>
      </c>
    </row>
    <row r="914" spans="1:14">
      <c r="A914" s="8" t="s">
        <v>926</v>
      </c>
      <c r="B914" s="2">
        <f>HYPERLINK("https://www.suredividend.com/sure-analysis-research-database/","Eiger BioPharmaceuticals Inc")</f>
        <v>0</v>
      </c>
      <c r="C914" s="1" t="s">
        <v>3176</v>
      </c>
      <c r="D914" s="3">
        <v>1.725</v>
      </c>
      <c r="E914" s="4">
        <v>0</v>
      </c>
      <c r="F914" s="4" t="s">
        <v>3178</v>
      </c>
      <c r="G914" s="4" t="s">
        <v>3178</v>
      </c>
      <c r="H914" s="3">
        <v>0</v>
      </c>
      <c r="I914" s="5">
        <v>0</v>
      </c>
      <c r="J914" s="6">
        <v>0</v>
      </c>
      <c r="K914" s="4">
        <v>-0</v>
      </c>
    </row>
    <row r="915" spans="1:14">
      <c r="A915" s="8" t="s">
        <v>927</v>
      </c>
      <c r="B915" s="2">
        <f>HYPERLINK("https://www.suredividend.com/sure-analysis-EIX/","Edison International")</f>
        <v>0</v>
      </c>
      <c r="C915" s="1" t="s">
        <v>3186</v>
      </c>
      <c r="D915" s="3">
        <v>73.98</v>
      </c>
      <c r="E915" s="4">
        <v>0.0421735604217356</v>
      </c>
      <c r="F915" s="4">
        <v>0.05762711864406778</v>
      </c>
      <c r="G915" s="4">
        <v>0.04953687501333448</v>
      </c>
      <c r="H915" s="3">
        <v>2.985260395768789</v>
      </c>
      <c r="I915" s="5">
        <v>28464.031379</v>
      </c>
      <c r="J915" s="6">
        <v>32.49318650547945</v>
      </c>
      <c r="K915" s="4">
        <v>1.3150926853607</v>
      </c>
      <c r="L915" s="7">
        <v>0.6689911764651261</v>
      </c>
      <c r="M915" s="3">
        <v>77.04000000000001</v>
      </c>
      <c r="N915" s="3">
        <v>57.52</v>
      </c>
    </row>
    <row r="916" spans="1:14">
      <c r="A916" s="8" t="s">
        <v>928</v>
      </c>
      <c r="B916" s="2">
        <f>HYPERLINK("https://www.suredividend.com/sure-analysis-research-database/","Ekso Bionics Holdings Inc")</f>
        <v>0</v>
      </c>
      <c r="C916" s="1" t="s">
        <v>3176</v>
      </c>
      <c r="D916" s="3">
        <v>1.1</v>
      </c>
      <c r="E916" s="4">
        <v>0</v>
      </c>
      <c r="F916" s="4" t="s">
        <v>3178</v>
      </c>
      <c r="G916" s="4" t="s">
        <v>3178</v>
      </c>
      <c r="H916" s="3">
        <v>0</v>
      </c>
      <c r="I916" s="5">
        <v>19.991869</v>
      </c>
      <c r="J916" s="6">
        <v>0</v>
      </c>
      <c r="K916" s="4" t="s">
        <v>3178</v>
      </c>
      <c r="L916" s="7">
        <v>0.231862271792926</v>
      </c>
      <c r="M916" s="3">
        <v>3.13</v>
      </c>
      <c r="N916" s="3">
        <v>0.62</v>
      </c>
    </row>
    <row r="917" spans="1:14">
      <c r="A917" s="8" t="s">
        <v>929</v>
      </c>
      <c r="B917" s="2">
        <f>HYPERLINK("https://www.suredividend.com/sure-analysis-EL/","Estee Lauder Cos., Inc.")</f>
        <v>0</v>
      </c>
      <c r="C917" s="1" t="s">
        <v>3184</v>
      </c>
      <c r="D917" s="3">
        <v>120.47</v>
      </c>
      <c r="E917" s="4">
        <v>0.02191416950278078</v>
      </c>
      <c r="F917" s="4" t="s">
        <v>3178</v>
      </c>
      <c r="G917" s="4" t="s">
        <v>3178</v>
      </c>
      <c r="H917" s="3">
        <v>2.619978249715952</v>
      </c>
      <c r="I917" s="5">
        <v>42995.743</v>
      </c>
      <c r="J917" s="6">
        <v>43.65862870514821</v>
      </c>
      <c r="K917" s="4">
        <v>1.47189789309885</v>
      </c>
      <c r="L917" s="7">
        <v>1.309220055193914</v>
      </c>
      <c r="M917" s="3">
        <v>200.5</v>
      </c>
      <c r="N917" s="3">
        <v>100.68</v>
      </c>
    </row>
    <row r="918" spans="1:14">
      <c r="A918" s="8" t="s">
        <v>930</v>
      </c>
      <c r="B918" s="2">
        <f>HYPERLINK("https://www.suredividend.com/sure-analysis-research-database/","Elanco Animal Health Inc")</f>
        <v>0</v>
      </c>
      <c r="C918" s="1" t="s">
        <v>3176</v>
      </c>
      <c r="D918" s="3">
        <v>18.21</v>
      </c>
      <c r="E918" s="4">
        <v>0</v>
      </c>
      <c r="F918" s="4" t="s">
        <v>3178</v>
      </c>
      <c r="G918" s="4" t="s">
        <v>3178</v>
      </c>
      <c r="H918" s="3">
        <v>0</v>
      </c>
      <c r="I918" s="5">
        <v>8999.0473</v>
      </c>
      <c r="J918" s="6" t="s">
        <v>3178</v>
      </c>
      <c r="K918" s="4">
        <v>-0</v>
      </c>
      <c r="L918" s="7">
        <v>1.522087648956521</v>
      </c>
      <c r="M918" s="3">
        <v>18.65</v>
      </c>
      <c r="N918" s="3">
        <v>8.52</v>
      </c>
    </row>
    <row r="919" spans="1:14">
      <c r="A919" s="8" t="s">
        <v>931</v>
      </c>
      <c r="B919" s="2">
        <f>HYPERLINK("https://www.suredividend.com/sure-analysis-research-database/","e.l.f. Beauty Inc")</f>
        <v>0</v>
      </c>
      <c r="C919" s="1" t="s">
        <v>3184</v>
      </c>
      <c r="D919" s="3">
        <v>177.63</v>
      </c>
      <c r="E919" s="4">
        <v>0</v>
      </c>
      <c r="F919" s="4" t="s">
        <v>3178</v>
      </c>
      <c r="G919" s="4" t="s">
        <v>3178</v>
      </c>
      <c r="H919" s="3">
        <v>0</v>
      </c>
      <c r="I919" s="5">
        <v>9936.458780000001</v>
      </c>
      <c r="J919" s="6">
        <v>77.83350524740919</v>
      </c>
      <c r="K919" s="4">
        <v>0</v>
      </c>
      <c r="L919" s="7">
        <v>1.806978050239536</v>
      </c>
      <c r="M919" s="3">
        <v>221.83</v>
      </c>
      <c r="N919" s="3">
        <v>88.47</v>
      </c>
    </row>
    <row r="920" spans="1:14">
      <c r="A920" s="8" t="s">
        <v>932</v>
      </c>
      <c r="B920" s="2">
        <f>HYPERLINK("https://www.suredividend.com/sure-analysis-research-database/","Electromed Inc.")</f>
        <v>0</v>
      </c>
      <c r="C920" s="1" t="s">
        <v>3176</v>
      </c>
      <c r="D920" s="3">
        <v>14.79</v>
      </c>
      <c r="E920" s="4">
        <v>0</v>
      </c>
      <c r="F920" s="4" t="s">
        <v>3178</v>
      </c>
      <c r="G920" s="4" t="s">
        <v>3178</v>
      </c>
      <c r="H920" s="3">
        <v>0</v>
      </c>
      <c r="I920" s="5">
        <v>128.018202</v>
      </c>
      <c r="J920" s="6">
        <v>0</v>
      </c>
      <c r="K920" s="4" t="s">
        <v>3178</v>
      </c>
      <c r="L920" s="7">
        <v>0.197139632449606</v>
      </c>
      <c r="M920" s="3">
        <v>18.6</v>
      </c>
      <c r="N920" s="3">
        <v>8.800000000000001</v>
      </c>
    </row>
    <row r="921" spans="1:14">
      <c r="A921" s="8" t="s">
        <v>933</v>
      </c>
      <c r="B921" s="2">
        <f>HYPERLINK("https://www.suredividend.com/sure-analysis-research-database/","Eloxx Pharmaceuticals Inc")</f>
        <v>0</v>
      </c>
      <c r="C921" s="1" t="s">
        <v>3176</v>
      </c>
      <c r="D921" s="3">
        <v>0.6856</v>
      </c>
      <c r="E921" s="4">
        <v>0</v>
      </c>
      <c r="F921" s="4" t="s">
        <v>3178</v>
      </c>
      <c r="G921" s="4" t="s">
        <v>3178</v>
      </c>
      <c r="H921" s="3">
        <v>0</v>
      </c>
      <c r="I921" s="5">
        <v>0</v>
      </c>
      <c r="J921" s="6">
        <v>0</v>
      </c>
      <c r="K921" s="4" t="s">
        <v>3178</v>
      </c>
    </row>
    <row r="922" spans="1:14">
      <c r="A922" s="8" t="s">
        <v>934</v>
      </c>
      <c r="B922" s="2">
        <f>HYPERLINK("https://www.suredividend.com/sure-analysis-ELS/","Equity Lifestyle Properties Inc.")</f>
        <v>0</v>
      </c>
      <c r="C922" s="1" t="s">
        <v>3183</v>
      </c>
      <c r="D922" s="3">
        <v>62.27</v>
      </c>
      <c r="E922" s="4">
        <v>0.03067287618435844</v>
      </c>
      <c r="F922" s="4">
        <v>0.06703910614525155</v>
      </c>
      <c r="G922" s="4">
        <v>-0.04857741493793577</v>
      </c>
      <c r="H922" s="3">
        <v>1.80123144842305</v>
      </c>
      <c r="I922" s="5">
        <v>11613.097264</v>
      </c>
      <c r="J922" s="6">
        <v>33.9837508653742</v>
      </c>
      <c r="K922" s="4">
        <v>1.0292751133846</v>
      </c>
      <c r="L922" s="7">
        <v>0.5694648775113941</v>
      </c>
      <c r="M922" s="3">
        <v>73.02</v>
      </c>
      <c r="N922" s="3">
        <v>59.64</v>
      </c>
    </row>
    <row r="923" spans="1:14">
      <c r="A923" s="8" t="s">
        <v>935</v>
      </c>
      <c r="B923" s="2">
        <f>HYPERLINK("https://www.suredividend.com/sure-analysis-research-database/","Electro-Sensors, Inc.")</f>
        <v>0</v>
      </c>
      <c r="C923" s="1" t="s">
        <v>3181</v>
      </c>
      <c r="D923" s="3">
        <v>4.06</v>
      </c>
      <c r="E923" s="4">
        <v>0</v>
      </c>
      <c r="F923" s="4" t="s">
        <v>3178</v>
      </c>
      <c r="G923" s="4" t="s">
        <v>3178</v>
      </c>
      <c r="H923" s="3">
        <v>0</v>
      </c>
      <c r="I923" s="5">
        <v>13.917765</v>
      </c>
      <c r="J923" s="6">
        <v>0</v>
      </c>
      <c r="K923" s="4" t="s">
        <v>3178</v>
      </c>
      <c r="M923" s="3">
        <v>4.65</v>
      </c>
      <c r="N923" s="3">
        <v>3.65</v>
      </c>
    </row>
    <row r="924" spans="1:14">
      <c r="A924" s="8" t="s">
        <v>936</v>
      </c>
      <c r="B924" s="2">
        <f>HYPERLINK("https://www.suredividend.com/sure-analysis-research-database/","Elevate Credit Inc")</f>
        <v>0</v>
      </c>
      <c r="C924" s="1" t="s">
        <v>3180</v>
      </c>
      <c r="D924" s="3">
        <v>1.87</v>
      </c>
      <c r="E924" s="4">
        <v>0</v>
      </c>
      <c r="F924" s="4" t="s">
        <v>3178</v>
      </c>
      <c r="G924" s="4" t="s">
        <v>3178</v>
      </c>
      <c r="H924" s="3">
        <v>0</v>
      </c>
      <c r="I924" s="5">
        <v>58.518005</v>
      </c>
      <c r="J924" s="6">
        <v>0</v>
      </c>
      <c r="K924" s="4" t="s">
        <v>3178</v>
      </c>
      <c r="L924" s="7">
        <v>0.5095020286778831</v>
      </c>
      <c r="M924" s="3">
        <v>3.42</v>
      </c>
      <c r="N924" s="3">
        <v>0.6681</v>
      </c>
    </row>
    <row r="925" spans="1:14">
      <c r="A925" s="8" t="s">
        <v>937</v>
      </c>
      <c r="B925" s="2">
        <f>HYPERLINK("https://www.suredividend.com/sure-analysis-research-database/","Topgolf Callaway Brands Corp")</f>
        <v>0</v>
      </c>
      <c r="C925" s="1" t="s">
        <v>3182</v>
      </c>
      <c r="D925" s="3">
        <v>21.33</v>
      </c>
      <c r="E925" s="4">
        <v>0</v>
      </c>
      <c r="F925" s="4" t="s">
        <v>3178</v>
      </c>
      <c r="G925" s="4" t="s">
        <v>3178</v>
      </c>
      <c r="H925" s="3">
        <v>0</v>
      </c>
      <c r="I925" s="5">
        <v>3941.152952</v>
      </c>
      <c r="J925" s="6">
        <v>26.29486300614479</v>
      </c>
      <c r="K925" s="4">
        <v>0</v>
      </c>
      <c r="L925" s="7">
        <v>1.509442864551341</v>
      </c>
      <c r="M925" s="3">
        <v>31.68</v>
      </c>
      <c r="N925" s="3">
        <v>17.78</v>
      </c>
    </row>
    <row r="926" spans="1:14">
      <c r="A926" s="8" t="s">
        <v>938</v>
      </c>
      <c r="B926" s="2">
        <f>HYPERLINK("https://www.suredividend.com/sure-analysis-research-database/","EMagin Corp")</f>
        <v>0</v>
      </c>
      <c r="C926" s="1" t="s">
        <v>3181</v>
      </c>
      <c r="D926" s="3">
        <v>2.07</v>
      </c>
      <c r="E926" s="4">
        <v>0</v>
      </c>
      <c r="F926" s="4" t="s">
        <v>3178</v>
      </c>
      <c r="G926" s="4" t="s">
        <v>3178</v>
      </c>
      <c r="H926" s="3">
        <v>0</v>
      </c>
      <c r="I926" s="5">
        <v>172.198986</v>
      </c>
      <c r="J926" s="6" t="s">
        <v>3178</v>
      </c>
      <c r="K926" s="4">
        <v>-0</v>
      </c>
      <c r="L926" s="7">
        <v>0.616367855678405</v>
      </c>
      <c r="M926" s="3">
        <v>2.49</v>
      </c>
      <c r="N926" s="3">
        <v>0.6914</v>
      </c>
    </row>
    <row r="927" spans="1:14">
      <c r="A927" s="8" t="s">
        <v>939</v>
      </c>
      <c r="B927" s="2">
        <f>HYPERLINK("https://www.suredividend.com/sure-analysis-research-database/","Emclaire Financial Corp.")</f>
        <v>0</v>
      </c>
      <c r="C927" s="1" t="s">
        <v>3180</v>
      </c>
      <c r="D927" s="3">
        <v>31.6</v>
      </c>
      <c r="E927" s="4">
        <v>0</v>
      </c>
      <c r="F927" s="4" t="s">
        <v>3178</v>
      </c>
      <c r="G927" s="4" t="s">
        <v>3178</v>
      </c>
      <c r="H927" s="3">
        <v>1.240000009536743</v>
      </c>
      <c r="I927" s="5">
        <v>0</v>
      </c>
      <c r="J927" s="6">
        <v>0</v>
      </c>
      <c r="K927" s="4" t="s">
        <v>3178</v>
      </c>
    </row>
    <row r="928" spans="1:14">
      <c r="A928" s="8" t="s">
        <v>940</v>
      </c>
      <c r="B928" s="2">
        <f>HYPERLINK("https://www.suredividend.com/sure-analysis-research-database/","Emcor Group, Inc.")</f>
        <v>0</v>
      </c>
      <c r="C928" s="1" t="s">
        <v>3179</v>
      </c>
      <c r="D928" s="3">
        <v>376</v>
      </c>
      <c r="E928" s="4">
        <v>0.00209884853121</v>
      </c>
      <c r="F928" s="4">
        <v>0.3888888888888888</v>
      </c>
      <c r="G928" s="4">
        <v>0.2559432157547901</v>
      </c>
      <c r="H928" s="3">
        <v>0.789167047734987</v>
      </c>
      <c r="I928" s="5">
        <v>17670.586616</v>
      </c>
      <c r="J928" s="6">
        <v>24.57644469231786</v>
      </c>
      <c r="K928" s="4">
        <v>0.05202155884871371</v>
      </c>
      <c r="L928" s="7">
        <v>0.7638857754707731</v>
      </c>
      <c r="M928" s="3">
        <v>401.98</v>
      </c>
      <c r="N928" s="3">
        <v>172.22</v>
      </c>
    </row>
    <row r="929" spans="1:14">
      <c r="A929" s="8" t="s">
        <v>941</v>
      </c>
      <c r="B929" s="2">
        <f>HYPERLINK("https://www.suredividend.com/sure-analysis-research-database/","Emcore Corp.")</f>
        <v>0</v>
      </c>
      <c r="C929" s="1" t="s">
        <v>3181</v>
      </c>
      <c r="D929" s="3">
        <v>0.8925000000000001</v>
      </c>
      <c r="E929" s="4">
        <v>0</v>
      </c>
      <c r="F929" s="4" t="s">
        <v>3178</v>
      </c>
      <c r="G929" s="4" t="s">
        <v>3178</v>
      </c>
      <c r="H929" s="3">
        <v>0</v>
      </c>
      <c r="I929" s="5">
        <v>7.378448</v>
      </c>
      <c r="J929" s="6" t="s">
        <v>3178</v>
      </c>
      <c r="K929" s="4">
        <v>-0</v>
      </c>
      <c r="M929" s="3">
        <v>9.5</v>
      </c>
      <c r="N929" s="3">
        <v>0.7899</v>
      </c>
    </row>
    <row r="930" spans="1:14">
      <c r="A930" s="8" t="s">
        <v>942</v>
      </c>
      <c r="B930" s="2">
        <f>HYPERLINK("https://www.suredividend.com/sure-analysis-research-database/","Eastern Co.")</f>
        <v>0</v>
      </c>
      <c r="C930" s="1" t="s">
        <v>3179</v>
      </c>
      <c r="D930" s="3">
        <v>27.74</v>
      </c>
      <c r="E930" s="4">
        <v>0.015654708331313</v>
      </c>
      <c r="F930" s="4">
        <v>0</v>
      </c>
      <c r="G930" s="4">
        <v>0</v>
      </c>
      <c r="H930" s="3">
        <v>0.4342616091106321</v>
      </c>
      <c r="I930" s="5">
        <v>172.917567</v>
      </c>
      <c r="J930" s="6">
        <v>0</v>
      </c>
      <c r="K930" s="4" t="s">
        <v>3178</v>
      </c>
      <c r="M930" s="3">
        <v>35.52</v>
      </c>
      <c r="N930" s="3">
        <v>15.64</v>
      </c>
    </row>
    <row r="931" spans="1:14">
      <c r="A931" s="8" t="s">
        <v>943</v>
      </c>
      <c r="B931" s="2">
        <f>HYPERLINK("https://www.suredividend.com/sure-analysis-research-database/","Emmis Corp")</f>
        <v>0</v>
      </c>
      <c r="C931" s="1" t="s">
        <v>3187</v>
      </c>
      <c r="D931" s="3">
        <v>4.75</v>
      </c>
      <c r="E931" s="4">
        <v>0</v>
      </c>
      <c r="F931" s="4" t="s">
        <v>3178</v>
      </c>
      <c r="G931" s="4" t="s">
        <v>3178</v>
      </c>
      <c r="H931" s="3">
        <v>0</v>
      </c>
      <c r="I931" s="5">
        <v>57.744639</v>
      </c>
      <c r="J931" s="6">
        <v>0</v>
      </c>
      <c r="K931" s="4" t="s">
        <v>3178</v>
      </c>
      <c r="M931" s="3">
        <v>5.7</v>
      </c>
      <c r="N931" s="3">
        <v>2</v>
      </c>
    </row>
    <row r="932" spans="1:14">
      <c r="A932" s="8" t="s">
        <v>944</v>
      </c>
      <c r="B932" s="2">
        <f>HYPERLINK("https://www.suredividend.com/sure-analysis-EMN/","Eastman Chemical Co")</f>
        <v>0</v>
      </c>
      <c r="C932" s="1" t="s">
        <v>3177</v>
      </c>
      <c r="D932" s="3">
        <v>103.3</v>
      </c>
      <c r="E932" s="4">
        <v>0.03136495643756051</v>
      </c>
      <c r="F932" s="4">
        <v>0.02531645569620244</v>
      </c>
      <c r="G932" s="4">
        <v>0.05491791047615635</v>
      </c>
      <c r="H932" s="3">
        <v>3.157177970582877</v>
      </c>
      <c r="I932" s="5">
        <v>12153.193247</v>
      </c>
      <c r="J932" s="6">
        <v>13.13858729372973</v>
      </c>
      <c r="K932" s="4">
        <v>0.4063292111432275</v>
      </c>
      <c r="L932" s="7">
        <v>0.8401467110377541</v>
      </c>
      <c r="M932" s="3">
        <v>103.67</v>
      </c>
      <c r="N932" s="3">
        <v>67.67</v>
      </c>
    </row>
    <row r="933" spans="1:14">
      <c r="A933" s="8" t="s">
        <v>945</v>
      </c>
      <c r="B933" s="2">
        <f>HYPERLINK("https://www.suredividend.com/sure-analysis-EMR/","Emerson Electric Co.")</f>
        <v>0</v>
      </c>
      <c r="C933" s="1" t="s">
        <v>3179</v>
      </c>
      <c r="D933" s="3">
        <v>107.98</v>
      </c>
      <c r="E933" s="4">
        <v>0.0194480459344323</v>
      </c>
      <c r="F933" s="4">
        <v>0.009615384615384581</v>
      </c>
      <c r="G933" s="4">
        <v>0.009805797673485328</v>
      </c>
      <c r="H933" s="3">
        <v>2.079620912227993</v>
      </c>
      <c r="I933" s="5">
        <v>61775.358</v>
      </c>
      <c r="J933" s="6">
        <v>5.755646883443585</v>
      </c>
      <c r="K933" s="4">
        <v>0.1112096744506948</v>
      </c>
      <c r="L933" s="7">
        <v>0.8443504399331471</v>
      </c>
      <c r="M933" s="3">
        <v>116.23</v>
      </c>
      <c r="N933" s="3">
        <v>81.81999999999999</v>
      </c>
    </row>
    <row r="934" spans="1:14">
      <c r="A934" s="8" t="s">
        <v>946</v>
      </c>
      <c r="B934" s="2">
        <f>HYPERLINK("https://www.suredividend.com/sure-analysis-research-database/","Endo International plc")</f>
        <v>0</v>
      </c>
      <c r="C934" s="1" t="s">
        <v>3176</v>
      </c>
      <c r="D934" s="3">
        <v>0.2926</v>
      </c>
      <c r="E934" s="4">
        <v>0</v>
      </c>
      <c r="F934" s="4" t="s">
        <v>3178</v>
      </c>
      <c r="G934" s="4" t="s">
        <v>3178</v>
      </c>
      <c r="H934" s="3">
        <v>0</v>
      </c>
      <c r="I934" s="5">
        <v>0</v>
      </c>
      <c r="J934" s="6">
        <v>0</v>
      </c>
      <c r="K934" s="4" t="s">
        <v>3178</v>
      </c>
    </row>
    <row r="935" spans="1:14">
      <c r="A935" s="8" t="s">
        <v>947</v>
      </c>
      <c r="B935" s="2">
        <f>HYPERLINK("https://www.suredividend.com/sure-analysis-research-database/","Englobal Corporation")</f>
        <v>0</v>
      </c>
      <c r="C935" s="1" t="s">
        <v>3179</v>
      </c>
      <c r="D935" s="3">
        <v>1.35</v>
      </c>
      <c r="E935" s="4">
        <v>0</v>
      </c>
      <c r="F935" s="4" t="s">
        <v>3178</v>
      </c>
      <c r="G935" s="4" t="s">
        <v>3178</v>
      </c>
      <c r="H935" s="3">
        <v>0</v>
      </c>
      <c r="I935" s="5">
        <v>6.961387</v>
      </c>
      <c r="J935" s="6" t="s">
        <v>3178</v>
      </c>
      <c r="K935" s="4">
        <v>-0</v>
      </c>
      <c r="M935" s="3">
        <v>4.22</v>
      </c>
      <c r="N935" s="3">
        <v>1.01</v>
      </c>
    </row>
    <row r="936" spans="1:14">
      <c r="A936" s="8" t="s">
        <v>948</v>
      </c>
      <c r="B936" s="2">
        <f>HYPERLINK("https://www.suredividend.com/sure-analysis-research-database/","Enochian Biosciences Inc")</f>
        <v>0</v>
      </c>
      <c r="C936" s="1" t="s">
        <v>3176</v>
      </c>
      <c r="D936" s="3">
        <v>0.7000000000000001</v>
      </c>
      <c r="E936" s="4">
        <v>0</v>
      </c>
      <c r="F936" s="4" t="s">
        <v>3178</v>
      </c>
      <c r="G936" s="4" t="s">
        <v>3178</v>
      </c>
      <c r="H936" s="3">
        <v>0</v>
      </c>
      <c r="I936" s="5">
        <v>40.798514</v>
      </c>
      <c r="J936" s="6">
        <v>0</v>
      </c>
      <c r="K936" s="4" t="s">
        <v>3178</v>
      </c>
      <c r="L936" s="7">
        <v>1.377727815675019</v>
      </c>
      <c r="M936" s="3">
        <v>2.99</v>
      </c>
      <c r="N936" s="3">
        <v>0.3928</v>
      </c>
    </row>
    <row r="937" spans="1:14">
      <c r="A937" s="8" t="s">
        <v>949</v>
      </c>
      <c r="B937" s="2">
        <f>HYPERLINK("https://www.suredividend.com/sure-analysis-research-database/","Enphase Energy Inc")</f>
        <v>0</v>
      </c>
      <c r="C937" s="1" t="s">
        <v>3181</v>
      </c>
      <c r="D937" s="3">
        <v>122.75</v>
      </c>
      <c r="E937" s="4">
        <v>0</v>
      </c>
      <c r="F937" s="4" t="s">
        <v>3178</v>
      </c>
      <c r="G937" s="4" t="s">
        <v>3178</v>
      </c>
      <c r="H937" s="3">
        <v>0</v>
      </c>
      <c r="I937" s="5">
        <v>16701.700967</v>
      </c>
      <c r="J937" s="6">
        <v>60.52086476866716</v>
      </c>
      <c r="K937" s="4">
        <v>0</v>
      </c>
      <c r="L937" s="7">
        <v>2.318406115193727</v>
      </c>
      <c r="M937" s="3">
        <v>192.22</v>
      </c>
      <c r="N937" s="3">
        <v>73.48999999999999</v>
      </c>
    </row>
    <row r="938" spans="1:14">
      <c r="A938" s="8" t="s">
        <v>950</v>
      </c>
      <c r="B938" s="2">
        <f>HYPERLINK("https://www.suredividend.com/sure-analysis-research-database/","Energizer Holdings Inc")</f>
        <v>0</v>
      </c>
      <c r="C938" s="1" t="s">
        <v>3179</v>
      </c>
      <c r="D938" s="3">
        <v>28.42</v>
      </c>
      <c r="E938" s="4">
        <v>0.04160709063870401</v>
      </c>
      <c r="F938" s="4">
        <v>0</v>
      </c>
      <c r="G938" s="4">
        <v>0</v>
      </c>
      <c r="H938" s="3">
        <v>1.182473515951992</v>
      </c>
      <c r="I938" s="5">
        <v>2040.284134</v>
      </c>
      <c r="J938" s="6">
        <v>23.77953536456877</v>
      </c>
      <c r="K938" s="4">
        <v>1.002096199959315</v>
      </c>
      <c r="L938" s="7">
        <v>0.8886948710043511</v>
      </c>
      <c r="M938" s="3">
        <v>35.92</v>
      </c>
      <c r="N938" s="3">
        <v>26.65</v>
      </c>
    </row>
    <row r="939" spans="1:14">
      <c r="A939" s="8" t="s">
        <v>951</v>
      </c>
      <c r="B939" s="2">
        <f>HYPERLINK("https://www.suredividend.com/sure-analysis-research-database/","Enersys")</f>
        <v>0</v>
      </c>
      <c r="C939" s="1" t="s">
        <v>3179</v>
      </c>
      <c r="D939" s="3">
        <v>104.29</v>
      </c>
      <c r="E939" s="4">
        <v>0.008122903870838001</v>
      </c>
      <c r="F939" s="4">
        <v>0.2857142857142856</v>
      </c>
      <c r="G939" s="4">
        <v>0.05154749679728043</v>
      </c>
      <c r="H939" s="3">
        <v>0.8471376446896951</v>
      </c>
      <c r="I939" s="5">
        <v>4186.993517</v>
      </c>
      <c r="J939" s="6">
        <v>15.55947883606594</v>
      </c>
      <c r="K939" s="4">
        <v>0.1303288684137993</v>
      </c>
      <c r="L939" s="7">
        <v>1.034402313816621</v>
      </c>
      <c r="M939" s="3">
        <v>112.53</v>
      </c>
      <c r="N939" s="3">
        <v>82.87</v>
      </c>
    </row>
    <row r="940" spans="1:14">
      <c r="A940" s="8" t="s">
        <v>952</v>
      </c>
      <c r="B940" s="2">
        <f>HYPERLINK("https://www.suredividend.com/sure-analysis-ENSG/","Ensign Group Inc")</f>
        <v>0</v>
      </c>
      <c r="C940" s="1" t="s">
        <v>3176</v>
      </c>
      <c r="D940" s="3">
        <v>119.03</v>
      </c>
      <c r="E940" s="4">
        <v>0.002016298412165</v>
      </c>
      <c r="F940" s="4">
        <v>0.04347826086956519</v>
      </c>
      <c r="G940" s="4">
        <v>0.04783168830275741</v>
      </c>
      <c r="H940" s="3">
        <v>0.234637491531414</v>
      </c>
      <c r="I940" s="5">
        <v>6775.546594</v>
      </c>
      <c r="J940" s="6">
        <v>31.02612209101483</v>
      </c>
      <c r="K940" s="4">
        <v>0.06174670829774054</v>
      </c>
      <c r="L940" s="7">
        <v>0.7376889558913321</v>
      </c>
      <c r="M940" s="3">
        <v>127.45</v>
      </c>
      <c r="N940" s="3">
        <v>88.5</v>
      </c>
    </row>
    <row r="941" spans="1:14">
      <c r="A941" s="8" t="s">
        <v>953</v>
      </c>
      <c r="B941" s="2">
        <f>HYPERLINK("https://www.suredividend.com/sure-analysis-research-database/","Enservco Corp")</f>
        <v>0</v>
      </c>
      <c r="C941" s="1" t="s">
        <v>3185</v>
      </c>
      <c r="D941" s="3">
        <v>0.2419</v>
      </c>
      <c r="E941" s="4">
        <v>0</v>
      </c>
      <c r="F941" s="4" t="s">
        <v>3178</v>
      </c>
      <c r="G941" s="4" t="s">
        <v>3178</v>
      </c>
      <c r="H941" s="3">
        <v>0</v>
      </c>
      <c r="I941" s="5">
        <v>6.685269</v>
      </c>
      <c r="J941" s="6">
        <v>0</v>
      </c>
      <c r="K941" s="4" t="s">
        <v>3178</v>
      </c>
      <c r="L941" s="7">
        <v>0.165064705564807</v>
      </c>
      <c r="M941" s="3">
        <v>0.4957</v>
      </c>
      <c r="N941" s="3">
        <v>0.1707</v>
      </c>
    </row>
    <row r="942" spans="1:14">
      <c r="A942" s="8" t="s">
        <v>954</v>
      </c>
      <c r="B942" s="2">
        <f>HYPERLINK("https://www.suredividend.com/sure-analysis-research-database/","Enanta Pharmaceuticals Inc")</f>
        <v>0</v>
      </c>
      <c r="C942" s="1" t="s">
        <v>3176</v>
      </c>
      <c r="D942" s="3">
        <v>12.91</v>
      </c>
      <c r="E942" s="4">
        <v>0</v>
      </c>
      <c r="F942" s="4" t="s">
        <v>3178</v>
      </c>
      <c r="G942" s="4" t="s">
        <v>3178</v>
      </c>
      <c r="H942" s="3">
        <v>0</v>
      </c>
      <c r="I942" s="5">
        <v>273.426054</v>
      </c>
      <c r="J942" s="6" t="s">
        <v>3178</v>
      </c>
      <c r="K942" s="4">
        <v>-0</v>
      </c>
      <c r="L942" s="7">
        <v>0.9884502796265651</v>
      </c>
      <c r="M942" s="3">
        <v>26.58</v>
      </c>
      <c r="N942" s="3">
        <v>8.08</v>
      </c>
    </row>
    <row r="943" spans="1:14">
      <c r="A943" s="8" t="s">
        <v>955</v>
      </c>
      <c r="B943" s="2">
        <f>HYPERLINK("https://www.suredividend.com/sure-analysis-research-database/","Entegris Inc")</f>
        <v>0</v>
      </c>
      <c r="C943" s="1" t="s">
        <v>3181</v>
      </c>
      <c r="D943" s="3">
        <v>130.08</v>
      </c>
      <c r="E943" s="4">
        <v>0.003069963743673</v>
      </c>
      <c r="F943" s="4">
        <v>0</v>
      </c>
      <c r="G943" s="4">
        <v>0.04563955259127317</v>
      </c>
      <c r="H943" s="3">
        <v>0.3993408837770051</v>
      </c>
      <c r="I943" s="5">
        <v>19614.955328</v>
      </c>
      <c r="J943" s="6">
        <v>62.44792384666079</v>
      </c>
      <c r="K943" s="4">
        <v>0.1929183013415484</v>
      </c>
      <c r="L943" s="7">
        <v>2.03704249996895</v>
      </c>
      <c r="M943" s="3">
        <v>146.8</v>
      </c>
      <c r="N943" s="3">
        <v>83.93000000000001</v>
      </c>
    </row>
    <row r="944" spans="1:14">
      <c r="A944" s="8" t="s">
        <v>956</v>
      </c>
      <c r="B944" s="2">
        <f>HYPERLINK("https://www.suredividend.com/sure-analysis-research-database/","Envestnet Inc.")</f>
        <v>0</v>
      </c>
      <c r="C944" s="1" t="s">
        <v>3181</v>
      </c>
      <c r="D944" s="3">
        <v>64.27</v>
      </c>
      <c r="E944" s="4">
        <v>0</v>
      </c>
      <c r="F944" s="4" t="s">
        <v>3178</v>
      </c>
      <c r="G944" s="4" t="s">
        <v>3178</v>
      </c>
      <c r="H944" s="3">
        <v>0</v>
      </c>
      <c r="I944" s="5">
        <v>3541.861664</v>
      </c>
      <c r="J944" s="6" t="s">
        <v>3178</v>
      </c>
      <c r="K944" s="4">
        <v>-0</v>
      </c>
      <c r="L944" s="7">
        <v>1.516177349387766</v>
      </c>
      <c r="M944" s="3">
        <v>73.04000000000001</v>
      </c>
      <c r="N944" s="3">
        <v>33.12</v>
      </c>
    </row>
    <row r="945" spans="1:14">
      <c r="A945" s="8" t="s">
        <v>957</v>
      </c>
      <c r="B945" s="2">
        <f>HYPERLINK("https://www.suredividend.com/sure-analysis-research-database/","Enova International Inc.")</f>
        <v>0</v>
      </c>
      <c r="C945" s="1" t="s">
        <v>3180</v>
      </c>
      <c r="D945" s="3">
        <v>59.18</v>
      </c>
      <c r="E945" s="4">
        <v>0</v>
      </c>
      <c r="F945" s="4" t="s">
        <v>3178</v>
      </c>
      <c r="G945" s="4" t="s">
        <v>3178</v>
      </c>
      <c r="H945" s="3">
        <v>0</v>
      </c>
      <c r="I945" s="5">
        <v>1668.876</v>
      </c>
      <c r="J945" s="6">
        <v>9.667581940148066</v>
      </c>
      <c r="K945" s="4">
        <v>0</v>
      </c>
      <c r="L945" s="7">
        <v>1.28587698362908</v>
      </c>
      <c r="M945" s="3">
        <v>65</v>
      </c>
      <c r="N945" s="3">
        <v>35.3</v>
      </c>
    </row>
    <row r="946" spans="1:14">
      <c r="A946" s="8" t="s">
        <v>958</v>
      </c>
      <c r="B946" s="2">
        <f>HYPERLINK("https://www.suredividend.com/sure-analysis-research-database/","Enzo Biochem, Inc.")</f>
        <v>0</v>
      </c>
      <c r="C946" s="1" t="s">
        <v>3176</v>
      </c>
      <c r="D946" s="3">
        <v>1.13</v>
      </c>
      <c r="E946" s="4">
        <v>0</v>
      </c>
      <c r="F946" s="4" t="s">
        <v>3178</v>
      </c>
      <c r="G946" s="4" t="s">
        <v>3178</v>
      </c>
      <c r="H946" s="3">
        <v>0</v>
      </c>
      <c r="I946" s="5">
        <v>57.885079</v>
      </c>
      <c r="J946" s="6">
        <v>1.777469735920899</v>
      </c>
      <c r="K946" s="4">
        <v>0</v>
      </c>
      <c r="L946" s="7">
        <v>0.257522649797716</v>
      </c>
      <c r="M946" s="3">
        <v>2.17</v>
      </c>
      <c r="N946" s="3">
        <v>0.9901000000000001</v>
      </c>
    </row>
    <row r="947" spans="1:14">
      <c r="A947" s="8" t="s">
        <v>959</v>
      </c>
      <c r="B947" s="2">
        <f>HYPERLINK("https://www.suredividend.com/sure-analysis-EOG/","EOG Resources, Inc.")</f>
        <v>0</v>
      </c>
      <c r="C947" s="1" t="s">
        <v>3185</v>
      </c>
      <c r="D947" s="3">
        <v>120.19</v>
      </c>
      <c r="E947" s="4">
        <v>0.0302853814793244</v>
      </c>
      <c r="F947" s="4">
        <v>0.103030303030303</v>
      </c>
      <c r="G947" s="4">
        <v>0.1714492748922611</v>
      </c>
      <c r="H947" s="3">
        <v>3.414394773910841</v>
      </c>
      <c r="I947" s="5">
        <v>69074.468697</v>
      </c>
      <c r="J947" s="6">
        <v>9.3851180294375</v>
      </c>
      <c r="K947" s="4">
        <v>0.2696994292188658</v>
      </c>
      <c r="L947" s="7">
        <v>0.4789570822736071</v>
      </c>
      <c r="M947" s="3">
        <v>138.73</v>
      </c>
      <c r="N947" s="3">
        <v>102.14</v>
      </c>
    </row>
    <row r="948" spans="1:14">
      <c r="A948" s="8" t="s">
        <v>960</v>
      </c>
      <c r="B948" s="2">
        <f>HYPERLINK("https://www.suredividend.com/sure-analysis-research-database/","Evolus Inc")</f>
        <v>0</v>
      </c>
      <c r="C948" s="1" t="s">
        <v>3176</v>
      </c>
      <c r="D948" s="3">
        <v>11.69</v>
      </c>
      <c r="E948" s="4">
        <v>0</v>
      </c>
      <c r="F948" s="4" t="s">
        <v>3178</v>
      </c>
      <c r="G948" s="4" t="s">
        <v>3178</v>
      </c>
      <c r="H948" s="3">
        <v>0</v>
      </c>
      <c r="I948" s="5">
        <v>731.794</v>
      </c>
      <c r="J948" s="6" t="s">
        <v>3178</v>
      </c>
      <c r="K948" s="4">
        <v>-0</v>
      </c>
      <c r="L948" s="7">
        <v>0.799066851447603</v>
      </c>
      <c r="M948" s="3">
        <v>15.43</v>
      </c>
      <c r="N948" s="3">
        <v>7.07</v>
      </c>
    </row>
    <row r="949" spans="1:14">
      <c r="A949" s="8" t="s">
        <v>961</v>
      </c>
      <c r="B949" s="2">
        <f>HYPERLINK("https://www.suredividend.com/sure-analysis-research-database/","EPAM Systems Inc")</f>
        <v>0</v>
      </c>
      <c r="C949" s="1" t="s">
        <v>3181</v>
      </c>
      <c r="D949" s="3">
        <v>176.98</v>
      </c>
      <c r="E949" s="4">
        <v>0</v>
      </c>
      <c r="F949" s="4" t="s">
        <v>3178</v>
      </c>
      <c r="G949" s="4" t="s">
        <v>3178</v>
      </c>
      <c r="H949" s="3">
        <v>0</v>
      </c>
      <c r="I949" s="5">
        <v>10260.30418</v>
      </c>
      <c r="J949" s="6">
        <v>23.80393235702984</v>
      </c>
      <c r="K949" s="4">
        <v>0</v>
      </c>
      <c r="L949" s="7">
        <v>1.471407235241541</v>
      </c>
      <c r="M949" s="3">
        <v>317.5</v>
      </c>
      <c r="N949" s="3">
        <v>172.95</v>
      </c>
    </row>
    <row r="950" spans="1:14">
      <c r="A950" s="8" t="s">
        <v>962</v>
      </c>
      <c r="B950" s="2">
        <f>HYPERLINK("https://www.suredividend.com/sure-analysis-research-database/","Bottomline Technologies (Delaware) Inc")</f>
        <v>0</v>
      </c>
      <c r="C950" s="1" t="s">
        <v>3181</v>
      </c>
      <c r="D950" s="3">
        <v>56.99</v>
      </c>
      <c r="E950" s="4">
        <v>0</v>
      </c>
      <c r="F950" s="4" t="s">
        <v>3178</v>
      </c>
      <c r="G950" s="4" t="s">
        <v>3178</v>
      </c>
      <c r="H950" s="3">
        <v>0</v>
      </c>
      <c r="I950" s="5">
        <v>0</v>
      </c>
      <c r="J950" s="6">
        <v>0</v>
      </c>
      <c r="K950" s="4">
        <v>-0</v>
      </c>
    </row>
    <row r="951" spans="1:14">
      <c r="A951" s="8" t="s">
        <v>963</v>
      </c>
      <c r="B951" s="2">
        <f>HYPERLINK("https://www.suredividend.com/sure-analysis-research-database/","Edgewell Personal Care Co")</f>
        <v>0</v>
      </c>
      <c r="C951" s="1" t="s">
        <v>3184</v>
      </c>
      <c r="D951" s="3">
        <v>38.88</v>
      </c>
      <c r="E951" s="4">
        <v>0.015340792935452</v>
      </c>
      <c r="F951" s="4" t="s">
        <v>3178</v>
      </c>
      <c r="G951" s="4" t="s">
        <v>3178</v>
      </c>
      <c r="H951" s="3">
        <v>0.59645002933041</v>
      </c>
      <c r="I951" s="5">
        <v>1926.67029</v>
      </c>
      <c r="J951" s="6">
        <v>15.46284341701445</v>
      </c>
      <c r="K951" s="4">
        <v>0.2444467333321353</v>
      </c>
      <c r="L951" s="7">
        <v>0.77503721325695</v>
      </c>
      <c r="M951" s="3">
        <v>43.2</v>
      </c>
      <c r="N951" s="3">
        <v>33.3</v>
      </c>
    </row>
    <row r="952" spans="1:14">
      <c r="A952" s="8" t="s">
        <v>964</v>
      </c>
      <c r="B952" s="2">
        <f>HYPERLINK("https://www.suredividend.com/sure-analysis-research-database/","Evolution Petroleum Corporation")</f>
        <v>0</v>
      </c>
      <c r="C952" s="1" t="s">
        <v>3185</v>
      </c>
      <c r="D952" s="3">
        <v>5.34</v>
      </c>
      <c r="E952" s="4">
        <v>0.08479783011935001</v>
      </c>
      <c r="F952" s="4">
        <v>0</v>
      </c>
      <c r="G952" s="4">
        <v>0.03713728933664817</v>
      </c>
      <c r="H952" s="3">
        <v>0.452820412837329</v>
      </c>
      <c r="I952" s="5">
        <v>178.129755</v>
      </c>
      <c r="J952" s="6">
        <v>59.15966618399202</v>
      </c>
      <c r="K952" s="4">
        <v>4.948856970899771</v>
      </c>
      <c r="L952" s="7">
        <v>0.759302213247613</v>
      </c>
      <c r="M952" s="3">
        <v>9.01</v>
      </c>
      <c r="N952" s="3">
        <v>4.8</v>
      </c>
    </row>
    <row r="953" spans="1:14">
      <c r="A953" s="8" t="s">
        <v>965</v>
      </c>
      <c r="B953" s="2">
        <f>HYPERLINK("https://www.suredividend.com/sure-analysis-EPR/","EPR Properties")</f>
        <v>0</v>
      </c>
      <c r="C953" s="1" t="s">
        <v>3183</v>
      </c>
      <c r="D953" s="3">
        <v>40.46</v>
      </c>
      <c r="E953" s="4">
        <v>0.08452792881858626</v>
      </c>
      <c r="F953" s="4">
        <v>0.03636363636363638</v>
      </c>
      <c r="G953" s="4">
        <v>0.007169193015529318</v>
      </c>
      <c r="H953" s="3">
        <v>3.213147444297926</v>
      </c>
      <c r="I953" s="5">
        <v>3061.714893</v>
      </c>
      <c r="J953" s="6">
        <v>19.88720587331281</v>
      </c>
      <c r="K953" s="4">
        <v>1.582831253348732</v>
      </c>
      <c r="L953" s="7">
        <v>0.799981615412184</v>
      </c>
      <c r="M953" s="3">
        <v>47.44</v>
      </c>
      <c r="N953" s="3">
        <v>37.66</v>
      </c>
    </row>
    <row r="954" spans="1:14">
      <c r="A954" s="8" t="s">
        <v>966</v>
      </c>
      <c r="B954" s="2">
        <f>HYPERLINK("https://www.suredividend.com/sure-analysis-EPRT/","Essential Properties Realty Trust Inc")</f>
        <v>0</v>
      </c>
      <c r="C954" s="1" t="s">
        <v>3183</v>
      </c>
      <c r="D954" s="3">
        <v>27.45</v>
      </c>
      <c r="E954" s="4">
        <v>0.04225865209471766</v>
      </c>
      <c r="F954" s="4">
        <v>0.03636363636363638</v>
      </c>
      <c r="G954" s="4">
        <v>0.0531359443684718</v>
      </c>
      <c r="H954" s="3">
        <v>1.111178705664363</v>
      </c>
      <c r="I954" s="5">
        <v>4812.160296</v>
      </c>
      <c r="J954" s="6">
        <v>24.75658530859815</v>
      </c>
      <c r="K954" s="4">
        <v>0.9108022177576746</v>
      </c>
      <c r="L954" s="7">
        <v>0.9234825873175591</v>
      </c>
      <c r="M954" s="3">
        <v>27.96</v>
      </c>
      <c r="N954" s="3">
        <v>20.05</v>
      </c>
    </row>
    <row r="955" spans="1:14">
      <c r="A955" s="8" t="s">
        <v>967</v>
      </c>
      <c r="B955" s="2">
        <f>HYPERLINK("https://www.suredividend.com/sure-analysis-research-database/","Epizyme Inc")</f>
        <v>0</v>
      </c>
      <c r="C955" s="1" t="s">
        <v>3176</v>
      </c>
      <c r="D955" s="3">
        <v>1.47</v>
      </c>
      <c r="E955" s="4">
        <v>0</v>
      </c>
      <c r="F955" s="4" t="s">
        <v>3178</v>
      </c>
      <c r="G955" s="4" t="s">
        <v>3178</v>
      </c>
      <c r="H955" s="3">
        <v>0</v>
      </c>
      <c r="I955" s="5">
        <v>0</v>
      </c>
      <c r="J955" s="6">
        <v>0</v>
      </c>
      <c r="K955" s="4" t="s">
        <v>3178</v>
      </c>
    </row>
    <row r="956" spans="1:14">
      <c r="A956" s="8" t="s">
        <v>968</v>
      </c>
      <c r="B956" s="2">
        <f>HYPERLINK("https://www.suredividend.com/sure-analysis-research-database/","Equity Bancshares Inc")</f>
        <v>0</v>
      </c>
      <c r="C956" s="1" t="s">
        <v>3180</v>
      </c>
      <c r="D956" s="3">
        <v>33.47</v>
      </c>
      <c r="E956" s="4">
        <v>0.013669265860928</v>
      </c>
      <c r="F956" s="4" t="s">
        <v>3178</v>
      </c>
      <c r="G956" s="4" t="s">
        <v>3178</v>
      </c>
      <c r="H956" s="3">
        <v>0.4575103283652641</v>
      </c>
      <c r="I956" s="5">
        <v>510.512956</v>
      </c>
      <c r="J956" s="6">
        <v>53.36744265523729</v>
      </c>
      <c r="K956" s="4">
        <v>0.7373252673090476</v>
      </c>
      <c r="L956" s="7">
        <v>0.9699577071734801</v>
      </c>
      <c r="M956" s="3">
        <v>34.99</v>
      </c>
      <c r="N956" s="3">
        <v>21.53</v>
      </c>
    </row>
    <row r="957" spans="1:14">
      <c r="A957" s="8" t="s">
        <v>969</v>
      </c>
      <c r="B957" s="2">
        <f>HYPERLINK("https://www.suredividend.com/sure-analysis-research-database/","Equity Commonwealth")</f>
        <v>0</v>
      </c>
      <c r="C957" s="1" t="s">
        <v>3183</v>
      </c>
      <c r="D957" s="3">
        <v>18.97</v>
      </c>
      <c r="E957" s="4">
        <v>0</v>
      </c>
      <c r="F957" s="4" t="s">
        <v>3178</v>
      </c>
      <c r="G957" s="4" t="s">
        <v>3178</v>
      </c>
      <c r="H957" s="3">
        <v>0</v>
      </c>
      <c r="I957" s="5">
        <v>2035.416521</v>
      </c>
      <c r="J957" s="6">
        <v>23.69628994330353</v>
      </c>
      <c r="K957" s="4">
        <v>0</v>
      </c>
      <c r="L957" s="7">
        <v>0.371210129888503</v>
      </c>
      <c r="M957" s="3">
        <v>21.49</v>
      </c>
      <c r="N957" s="3">
        <v>17.93</v>
      </c>
    </row>
    <row r="958" spans="1:14">
      <c r="A958" s="8" t="s">
        <v>970</v>
      </c>
      <c r="B958" s="2">
        <f>HYPERLINK("https://www.suredividend.com/sure-analysis-EQH/","Equitable Holdings Inc")</f>
        <v>0</v>
      </c>
      <c r="C958" s="1" t="s">
        <v>3180</v>
      </c>
      <c r="D958" s="3">
        <v>40.16</v>
      </c>
      <c r="E958" s="4">
        <v>0.02191235059760956</v>
      </c>
      <c r="F958" s="4">
        <v>0.09090909090909083</v>
      </c>
      <c r="G958" s="4">
        <v>0.09856054330611785</v>
      </c>
      <c r="H958" s="3">
        <v>0.8917522420170311</v>
      </c>
      <c r="I958" s="5">
        <v>13061.820807</v>
      </c>
      <c r="J958" s="6">
        <v>11.26990578664366</v>
      </c>
      <c r="K958" s="4">
        <v>0.264614908610395</v>
      </c>
      <c r="L958" s="7">
        <v>0.984613125392762</v>
      </c>
      <c r="M958" s="3">
        <v>41.45</v>
      </c>
      <c r="N958" s="3">
        <v>24.17</v>
      </c>
    </row>
    <row r="959" spans="1:14">
      <c r="A959" s="8" t="s">
        <v>971</v>
      </c>
      <c r="B959" s="2">
        <f>HYPERLINK("https://www.suredividend.com/sure-analysis-EQIX/","Equinix Inc")</f>
        <v>0</v>
      </c>
      <c r="C959" s="1" t="s">
        <v>3183</v>
      </c>
      <c r="D959" s="3">
        <v>753.39</v>
      </c>
      <c r="E959" s="4">
        <v>0.02261776769004101</v>
      </c>
      <c r="F959" s="4">
        <v>0.2492668621700878</v>
      </c>
      <c r="G959" s="4">
        <v>0.1160789018779169</v>
      </c>
      <c r="H959" s="3">
        <v>15.95198085502048</v>
      </c>
      <c r="I959" s="5">
        <v>71501.030938</v>
      </c>
      <c r="J959" s="6">
        <v>75.95245226033363</v>
      </c>
      <c r="K959" s="4">
        <v>1.599998079741272</v>
      </c>
      <c r="L959" s="7">
        <v>1.038354688280323</v>
      </c>
      <c r="M959" s="3">
        <v>905.16</v>
      </c>
      <c r="N959" s="3">
        <v>656.6799999999999</v>
      </c>
    </row>
    <row r="960" spans="1:14">
      <c r="A960" s="8" t="s">
        <v>972</v>
      </c>
      <c r="B960" s="2">
        <f>HYPERLINK("https://www.suredividend.com/sure-analysis-EQR/","Equity Residential Properties Trust")</f>
        <v>0</v>
      </c>
      <c r="C960" s="1" t="s">
        <v>3183</v>
      </c>
      <c r="D960" s="3">
        <v>65.06999999999999</v>
      </c>
      <c r="E960" s="4">
        <v>0.04149377593360996</v>
      </c>
      <c r="F960" s="4">
        <v>0.01886792452830188</v>
      </c>
      <c r="G960" s="4">
        <v>0.03530325966112091</v>
      </c>
      <c r="H960" s="3">
        <v>2.620317157330825</v>
      </c>
      <c r="I960" s="5">
        <v>24697.552166</v>
      </c>
      <c r="J960" s="6">
        <v>26.99537116452304</v>
      </c>
      <c r="K960" s="4">
        <v>1.110303880224926</v>
      </c>
      <c r="L960" s="7">
        <v>0.7415351844879601</v>
      </c>
      <c r="M960" s="3">
        <v>68.55</v>
      </c>
      <c r="N960" s="3">
        <v>51.46</v>
      </c>
    </row>
    <row r="961" spans="1:14">
      <c r="A961" s="8" t="s">
        <v>973</v>
      </c>
      <c r="B961" s="2">
        <f>HYPERLINK("https://www.suredividend.com/sure-analysis-research-database/","EQT Corp")</f>
        <v>0</v>
      </c>
      <c r="C961" s="1" t="s">
        <v>3185</v>
      </c>
      <c r="D961" s="3">
        <v>40.54</v>
      </c>
      <c r="E961" s="4">
        <v>0.015263089737092</v>
      </c>
      <c r="F961" s="4" t="s">
        <v>3178</v>
      </c>
      <c r="G961" s="4" t="s">
        <v>3178</v>
      </c>
      <c r="H961" s="3">
        <v>0.618765657941732</v>
      </c>
      <c r="I961" s="5">
        <v>17902.13968</v>
      </c>
      <c r="J961" s="6">
        <v>28.86641073766632</v>
      </c>
      <c r="K961" s="4">
        <v>0.4238120944806384</v>
      </c>
      <c r="L961" s="7">
        <v>0.6772871055770601</v>
      </c>
      <c r="M961" s="3">
        <v>44.68</v>
      </c>
      <c r="N961" s="3">
        <v>31.8</v>
      </c>
    </row>
    <row r="962" spans="1:14">
      <c r="A962" s="8" t="s">
        <v>974</v>
      </c>
      <c r="B962" s="2">
        <f>HYPERLINK("https://www.suredividend.com/sure-analysis-ERIE/","Erie Indemnity Co.")</f>
        <v>0</v>
      </c>
      <c r="C962" s="1" t="s">
        <v>3180</v>
      </c>
      <c r="D962" s="3">
        <v>357.48</v>
      </c>
      <c r="E962" s="4">
        <v>0.01426653239342061</v>
      </c>
      <c r="F962" s="4">
        <v>0.0714285714285714</v>
      </c>
      <c r="G962" s="4">
        <v>0.07214502590085092</v>
      </c>
      <c r="H962" s="3">
        <v>4.879140318137831</v>
      </c>
      <c r="I962" s="5">
        <v>16511.668029</v>
      </c>
      <c r="J962" s="6">
        <v>34.08881609308548</v>
      </c>
      <c r="K962" s="4">
        <v>0.53091842417169</v>
      </c>
      <c r="L962" s="7">
        <v>0.145644610153163</v>
      </c>
      <c r="M962" s="3">
        <v>417.66</v>
      </c>
      <c r="N962" s="3">
        <v>195.11</v>
      </c>
    </row>
    <row r="963" spans="1:14">
      <c r="A963" s="8" t="s">
        <v>975</v>
      </c>
      <c r="B963" s="2">
        <f>HYPERLINK("https://www.suredividend.com/sure-analysis-research-database/","Energy Recovery Inc")</f>
        <v>0</v>
      </c>
      <c r="C963" s="1" t="s">
        <v>3179</v>
      </c>
      <c r="D963" s="3">
        <v>13.33</v>
      </c>
      <c r="E963" s="4">
        <v>0</v>
      </c>
      <c r="F963" s="4" t="s">
        <v>3178</v>
      </c>
      <c r="G963" s="4" t="s">
        <v>3178</v>
      </c>
      <c r="H963" s="3">
        <v>0</v>
      </c>
      <c r="I963" s="5">
        <v>764.2109390000001</v>
      </c>
      <c r="J963" s="6">
        <v>39.11007878659161</v>
      </c>
      <c r="K963" s="4">
        <v>0</v>
      </c>
      <c r="L963" s="7">
        <v>1.609897558686803</v>
      </c>
      <c r="M963" s="3">
        <v>30.76</v>
      </c>
      <c r="N963" s="3">
        <v>12.45</v>
      </c>
    </row>
    <row r="964" spans="1:14">
      <c r="A964" s="8" t="s">
        <v>976</v>
      </c>
      <c r="B964" s="2">
        <f>HYPERLINK("https://www.suredividend.com/sure-analysis-ES/","Eversource Energy")</f>
        <v>0</v>
      </c>
      <c r="C964" s="1" t="s">
        <v>3186</v>
      </c>
      <c r="D964" s="3">
        <v>58.58</v>
      </c>
      <c r="E964" s="4">
        <v>0.04882212359166951</v>
      </c>
      <c r="F964" s="4">
        <v>0.05925925925925912</v>
      </c>
      <c r="G964" s="4">
        <v>0.05971834352437777</v>
      </c>
      <c r="H964" s="3">
        <v>2.732423798447918</v>
      </c>
      <c r="I964" s="5">
        <v>20635.111842</v>
      </c>
      <c r="J964" s="6" t="s">
        <v>3178</v>
      </c>
      <c r="K964" s="4" t="s">
        <v>3178</v>
      </c>
      <c r="L964" s="7">
        <v>0.7382368665459931</v>
      </c>
      <c r="M964" s="3">
        <v>71.48999999999999</v>
      </c>
      <c r="N964" s="3">
        <v>50.25</v>
      </c>
    </row>
    <row r="965" spans="1:14">
      <c r="A965" s="8" t="s">
        <v>977</v>
      </c>
      <c r="B965" s="2">
        <f>HYPERLINK("https://www.suredividend.com/sure-analysis-research-database/","Elmira Savings Bank Elmira NY")</f>
        <v>0</v>
      </c>
      <c r="C965" s="1" t="s">
        <v>3180</v>
      </c>
      <c r="D965" s="3">
        <v>23.08</v>
      </c>
      <c r="E965" s="4">
        <v>0</v>
      </c>
      <c r="F965" s="4" t="s">
        <v>3178</v>
      </c>
      <c r="G965" s="4" t="s">
        <v>3178</v>
      </c>
      <c r="H965" s="3">
        <v>0.600000023841857</v>
      </c>
      <c r="I965" s="5">
        <v>0</v>
      </c>
      <c r="J965" s="6">
        <v>0</v>
      </c>
      <c r="K965" s="4" t="s">
        <v>3178</v>
      </c>
    </row>
    <row r="966" spans="1:14">
      <c r="A966" s="8" t="s">
        <v>978</v>
      </c>
      <c r="B966" s="2">
        <f>HYPERLINK("https://www.suredividend.com/sure-analysis-research-database/","Escalade, Inc.")</f>
        <v>0</v>
      </c>
      <c r="C966" s="1" t="s">
        <v>3182</v>
      </c>
      <c r="D966" s="3">
        <v>13.66</v>
      </c>
      <c r="E966" s="4">
        <v>0.04267208445259101</v>
      </c>
      <c r="F966" s="4" t="s">
        <v>3178</v>
      </c>
      <c r="G966" s="4" t="s">
        <v>3178</v>
      </c>
      <c r="H966" s="3">
        <v>0.5829006736223951</v>
      </c>
      <c r="I966" s="5">
        <v>189.3488</v>
      </c>
      <c r="J966" s="6">
        <v>15.08034408410322</v>
      </c>
      <c r="K966" s="4">
        <v>0.6483157308668613</v>
      </c>
      <c r="L966" s="7">
        <v>0.8310528714959881</v>
      </c>
      <c r="M966" s="3">
        <v>21.2</v>
      </c>
      <c r="N966" s="3">
        <v>11.56</v>
      </c>
    </row>
    <row r="967" spans="1:14">
      <c r="A967" s="8" t="s">
        <v>979</v>
      </c>
      <c r="B967" s="2">
        <f>HYPERLINK("https://www.suredividend.com/sure-analysis-research-database/","Esco Technologies, Inc.")</f>
        <v>0</v>
      </c>
      <c r="C967" s="1" t="s">
        <v>3181</v>
      </c>
      <c r="D967" s="3">
        <v>106.02</v>
      </c>
      <c r="E967" s="4">
        <v>0.003014964651876</v>
      </c>
      <c r="F967" s="4">
        <v>0</v>
      </c>
      <c r="G967" s="4">
        <v>0</v>
      </c>
      <c r="H967" s="3">
        <v>0.319646552391988</v>
      </c>
      <c r="I967" s="5">
        <v>2730.126851</v>
      </c>
      <c r="J967" s="6">
        <v>29.36030682891156</v>
      </c>
      <c r="K967" s="4">
        <v>0.08879070899777446</v>
      </c>
      <c r="L967" s="7">
        <v>0.8839112251053931</v>
      </c>
      <c r="M967" s="3">
        <v>118.43</v>
      </c>
      <c r="N967" s="3">
        <v>94.45</v>
      </c>
    </row>
    <row r="968" spans="1:14">
      <c r="A968" s="8" t="s">
        <v>980</v>
      </c>
      <c r="B968" s="2">
        <f>HYPERLINK("https://www.suredividend.com/sure-analysis-research-database/","Enstar Group Limited")</f>
        <v>0</v>
      </c>
      <c r="C968" s="1" t="s">
        <v>3180</v>
      </c>
      <c r="D968" s="3">
        <v>299.71</v>
      </c>
      <c r="E968" s="4">
        <v>0</v>
      </c>
      <c r="F968" s="4" t="s">
        <v>3178</v>
      </c>
      <c r="G968" s="4" t="s">
        <v>3178</v>
      </c>
      <c r="H968" s="3">
        <v>0</v>
      </c>
      <c r="I968" s="5">
        <v>4564.390886</v>
      </c>
      <c r="J968" s="6">
        <v>5.874376944890605</v>
      </c>
      <c r="K968" s="4">
        <v>0</v>
      </c>
      <c r="L968" s="7">
        <v>0.753606162771538</v>
      </c>
      <c r="M968" s="3">
        <v>318.63</v>
      </c>
      <c r="N968" s="3">
        <v>229.57</v>
      </c>
    </row>
    <row r="969" spans="1:14">
      <c r="A969" s="8" t="s">
        <v>981</v>
      </c>
      <c r="B969" s="2">
        <f>HYPERLINK("https://www.suredividend.com/sure-analysis-research-database/","Element Solutions Inc")</f>
        <v>0</v>
      </c>
      <c r="C969" s="1" t="s">
        <v>3177</v>
      </c>
      <c r="D969" s="3">
        <v>23.52</v>
      </c>
      <c r="E969" s="4">
        <v>0.013535159942382</v>
      </c>
      <c r="F969" s="4" t="s">
        <v>3178</v>
      </c>
      <c r="G969" s="4" t="s">
        <v>3178</v>
      </c>
      <c r="H969" s="3">
        <v>0.31834696184483</v>
      </c>
      <c r="I969" s="5">
        <v>5693.34107</v>
      </c>
      <c r="J969" s="6">
        <v>43.39436791097561</v>
      </c>
      <c r="K969" s="4">
        <v>0.5871393615729067</v>
      </c>
      <c r="L969" s="7">
        <v>1.18153489550533</v>
      </c>
      <c r="M969" s="3">
        <v>25.72</v>
      </c>
      <c r="N969" s="3">
        <v>17.38</v>
      </c>
    </row>
    <row r="970" spans="1:14">
      <c r="A970" s="8" t="s">
        <v>982</v>
      </c>
      <c r="B970" s="2">
        <f>HYPERLINK("https://www.suredividend.com/sure-analysis-research-database/","Essent Group Ltd")</f>
        <v>0</v>
      </c>
      <c r="C970" s="1" t="s">
        <v>3180</v>
      </c>
      <c r="D970" s="3">
        <v>56.47</v>
      </c>
      <c r="E970" s="4">
        <v>0.018635265148557</v>
      </c>
      <c r="F970" s="4">
        <v>0.1200000000000001</v>
      </c>
      <c r="G970" s="4">
        <v>0.1329568106011707</v>
      </c>
      <c r="H970" s="3">
        <v>1.052333422939055</v>
      </c>
      <c r="I970" s="5">
        <v>6023.829901</v>
      </c>
      <c r="J970" s="6">
        <v>8.516919656104106</v>
      </c>
      <c r="K970" s="4">
        <v>0.159203240989267</v>
      </c>
      <c r="L970" s="7">
        <v>0.7828541348986121</v>
      </c>
      <c r="M970" s="3">
        <v>59.6</v>
      </c>
      <c r="N970" s="3">
        <v>43.33</v>
      </c>
    </row>
    <row r="971" spans="1:14">
      <c r="A971" s="8" t="s">
        <v>983</v>
      </c>
      <c r="B971" s="2">
        <f>HYPERLINK("https://www.suredividend.com/sure-analysis-research-database/","Espey Manufacturing &amp; Electronics Corp.")</f>
        <v>0</v>
      </c>
      <c r="C971" s="1" t="s">
        <v>3179</v>
      </c>
      <c r="D971" s="3">
        <v>21.24</v>
      </c>
      <c r="E971" s="4">
        <v>0.026537594673625</v>
      </c>
      <c r="F971" s="4" t="s">
        <v>3178</v>
      </c>
      <c r="G971" s="4" t="s">
        <v>3178</v>
      </c>
      <c r="H971" s="3">
        <v>0.563658510867814</v>
      </c>
      <c r="I971" s="5">
        <v>58.043865</v>
      </c>
      <c r="J971" s="6">
        <v>0</v>
      </c>
      <c r="K971" s="4" t="s">
        <v>3178</v>
      </c>
      <c r="M971" s="3">
        <v>26.95</v>
      </c>
      <c r="N971" s="3">
        <v>14.03</v>
      </c>
    </row>
    <row r="972" spans="1:14">
      <c r="A972" s="8" t="s">
        <v>984</v>
      </c>
      <c r="B972" s="2">
        <f>HYPERLINK("https://www.suredividend.com/sure-analysis-research-database/","Esperion Therapeutics Inc.")</f>
        <v>0</v>
      </c>
      <c r="C972" s="1" t="s">
        <v>3176</v>
      </c>
      <c r="D972" s="3">
        <v>2.8</v>
      </c>
      <c r="E972" s="4">
        <v>0</v>
      </c>
      <c r="F972" s="4" t="s">
        <v>3178</v>
      </c>
      <c r="G972" s="4" t="s">
        <v>3178</v>
      </c>
      <c r="H972" s="3">
        <v>0</v>
      </c>
      <c r="I972" s="5">
        <v>530.48882</v>
      </c>
      <c r="J972" s="6" t="s">
        <v>3178</v>
      </c>
      <c r="K972" s="4">
        <v>-0</v>
      </c>
      <c r="L972" s="7">
        <v>1.846012230708759</v>
      </c>
      <c r="M972" s="3">
        <v>3.4</v>
      </c>
      <c r="N972" s="3">
        <v>0.7000000000000001</v>
      </c>
    </row>
    <row r="973" spans="1:14">
      <c r="A973" s="8" t="s">
        <v>985</v>
      </c>
      <c r="B973" s="2">
        <f>HYPERLINK("https://www.suredividend.com/sure-analysis-research-database/","Esquire Financial Holdings Inc")</f>
        <v>0</v>
      </c>
      <c r="C973" s="1" t="s">
        <v>3180</v>
      </c>
      <c r="D973" s="3">
        <v>46.79</v>
      </c>
      <c r="E973" s="4">
        <v>0.011655020778185</v>
      </c>
      <c r="F973" s="4" t="s">
        <v>3178</v>
      </c>
      <c r="G973" s="4" t="s">
        <v>3178</v>
      </c>
      <c r="H973" s="3">
        <v>0.54533842221129</v>
      </c>
      <c r="I973" s="5">
        <v>388.020346</v>
      </c>
      <c r="J973" s="6">
        <v>9.461372459827851</v>
      </c>
      <c r="K973" s="4">
        <v>0.1110668884340713</v>
      </c>
      <c r="L973" s="7">
        <v>0.9684522281822781</v>
      </c>
      <c r="M973" s="3">
        <v>54.12</v>
      </c>
      <c r="N973" s="3">
        <v>41.56</v>
      </c>
    </row>
    <row r="974" spans="1:14">
      <c r="A974" s="8" t="s">
        <v>986</v>
      </c>
      <c r="B974" s="2">
        <f>HYPERLINK("https://www.suredividend.com/sure-analysis-research-database/","Empire State Realty Trust Inc")</f>
        <v>0</v>
      </c>
      <c r="C974" s="1" t="s">
        <v>3183</v>
      </c>
      <c r="D974" s="3">
        <v>9.17</v>
      </c>
      <c r="E974" s="4">
        <v>0.015184041404033</v>
      </c>
      <c r="F974" s="4" t="s">
        <v>3178</v>
      </c>
      <c r="G974" s="4" t="s">
        <v>3178</v>
      </c>
      <c r="H974" s="3">
        <v>0.139237659674988</v>
      </c>
      <c r="I974" s="5">
        <v>1504.220766</v>
      </c>
      <c r="J974" s="6">
        <v>31.21696688602499</v>
      </c>
      <c r="K974" s="4">
        <v>0.7692688379833593</v>
      </c>
      <c r="L974" s="7">
        <v>1.345050683672747</v>
      </c>
      <c r="M974" s="3">
        <v>10.28</v>
      </c>
      <c r="N974" s="3">
        <v>6.5</v>
      </c>
    </row>
    <row r="975" spans="1:14">
      <c r="A975" s="8" t="s">
        <v>987</v>
      </c>
      <c r="B975" s="2">
        <f>HYPERLINK("https://www.suredividend.com/sure-analysis-ESS/","Essex Property Trust, Inc.")</f>
        <v>0</v>
      </c>
      <c r="C975" s="1" t="s">
        <v>3183</v>
      </c>
      <c r="D975" s="3">
        <v>268.07</v>
      </c>
      <c r="E975" s="4">
        <v>0.03655761554817772</v>
      </c>
      <c r="F975" s="4">
        <v>0.06060606060606055</v>
      </c>
      <c r="G975" s="4">
        <v>0.0467098102600354</v>
      </c>
      <c r="H975" s="3">
        <v>9.241961191361147</v>
      </c>
      <c r="I975" s="5">
        <v>17212.522446</v>
      </c>
      <c r="J975" s="6">
        <v>32.78425833129533</v>
      </c>
      <c r="K975" s="4">
        <v>1.129824106523368</v>
      </c>
      <c r="L975" s="7">
        <v>0.879679722845204</v>
      </c>
      <c r="M975" s="3">
        <v>269.36</v>
      </c>
      <c r="N975" s="3">
        <v>199.91</v>
      </c>
    </row>
    <row r="976" spans="1:14">
      <c r="A976" s="8" t="s">
        <v>988</v>
      </c>
      <c r="B976" s="2">
        <f>HYPERLINK("https://www.suredividend.com/sure-analysis-research-database/","ESSA Bancorp Inc")</f>
        <v>0</v>
      </c>
      <c r="C976" s="1" t="s">
        <v>3180</v>
      </c>
      <c r="D976" s="3">
        <v>16.64</v>
      </c>
      <c r="E976" s="4">
        <v>0.035150356836441</v>
      </c>
      <c r="F976" s="4">
        <v>0</v>
      </c>
      <c r="G976" s="4">
        <v>0.08447177119769855</v>
      </c>
      <c r="H976" s="3">
        <v>0.5849019377583941</v>
      </c>
      <c r="I976" s="5">
        <v>168.588509</v>
      </c>
      <c r="J976" s="6">
        <v>9.405741432715912</v>
      </c>
      <c r="K976" s="4">
        <v>0.3144634073969861</v>
      </c>
      <c r="L976" s="7">
        <v>0.5241466479965671</v>
      </c>
      <c r="M976" s="3">
        <v>20.52</v>
      </c>
      <c r="N976" s="3">
        <v>13.19</v>
      </c>
    </row>
    <row r="977" spans="1:14">
      <c r="A977" s="8" t="s">
        <v>989</v>
      </c>
      <c r="B977" s="2">
        <f>HYPERLINK("https://www.suredividend.com/sure-analysis-research-database/","Elastic N.V")</f>
        <v>0</v>
      </c>
      <c r="C977" s="1" t="s">
        <v>3181</v>
      </c>
      <c r="D977" s="3">
        <v>111.95</v>
      </c>
      <c r="E977" s="4">
        <v>0</v>
      </c>
      <c r="F977" s="4" t="s">
        <v>3178</v>
      </c>
      <c r="G977" s="4" t="s">
        <v>3178</v>
      </c>
      <c r="H977" s="3">
        <v>0</v>
      </c>
      <c r="I977" s="5">
        <v>11284.56</v>
      </c>
      <c r="J977" s="6">
        <v>201.1902512079017</v>
      </c>
      <c r="K977" s="4">
        <v>0</v>
      </c>
      <c r="L977" s="7">
        <v>1.529878137046631</v>
      </c>
      <c r="M977" s="3">
        <v>136.06</v>
      </c>
      <c r="N977" s="3">
        <v>57.38</v>
      </c>
    </row>
    <row r="978" spans="1:14">
      <c r="A978" s="8" t="s">
        <v>990</v>
      </c>
      <c r="B978" s="2">
        <f>HYPERLINK("https://www.suredividend.com/sure-analysis-research-database/","Earthstone Energy Inc")</f>
        <v>0</v>
      </c>
      <c r="C978" s="1" t="s">
        <v>3185</v>
      </c>
      <c r="D978" s="3">
        <v>21.17</v>
      </c>
      <c r="E978" s="4">
        <v>0</v>
      </c>
      <c r="F978" s="4" t="s">
        <v>3178</v>
      </c>
      <c r="G978" s="4" t="s">
        <v>3178</v>
      </c>
      <c r="H978" s="3">
        <v>0</v>
      </c>
      <c r="I978" s="5">
        <v>2251.0061</v>
      </c>
      <c r="J978" s="6">
        <v>0</v>
      </c>
      <c r="K978" s="4" t="s">
        <v>3178</v>
      </c>
      <c r="L978" s="7">
        <v>1.358767250518549</v>
      </c>
      <c r="M978" s="3">
        <v>22.45</v>
      </c>
      <c r="N978" s="3">
        <v>11.32</v>
      </c>
    </row>
    <row r="979" spans="1:14">
      <c r="A979" s="8" t="s">
        <v>991</v>
      </c>
      <c r="B979" s="2">
        <f>HYPERLINK("https://www.suredividend.com/sure-analysis-research-database/","Community Bankers Trust Corp")</f>
        <v>0</v>
      </c>
      <c r="C979" s="1" t="s">
        <v>3180</v>
      </c>
      <c r="D979" s="3">
        <v>11.3</v>
      </c>
      <c r="E979" s="4">
        <v>0</v>
      </c>
      <c r="F979" s="4" t="s">
        <v>3178</v>
      </c>
      <c r="G979" s="4" t="s">
        <v>3178</v>
      </c>
      <c r="H979" s="3">
        <v>0.259999997913837</v>
      </c>
      <c r="I979" s="5">
        <v>0</v>
      </c>
      <c r="J979" s="6">
        <v>0</v>
      </c>
      <c r="K979" s="4" t="s">
        <v>3178</v>
      </c>
    </row>
    <row r="980" spans="1:14">
      <c r="A980" s="8" t="s">
        <v>992</v>
      </c>
      <c r="B980" s="2">
        <f>HYPERLINK("https://www.suredividend.com/sure-analysis-ETN/","Eaton Corporation plc")</f>
        <v>0</v>
      </c>
      <c r="C980" s="1" t="s">
        <v>3179</v>
      </c>
      <c r="D980" s="3">
        <v>314.83</v>
      </c>
      <c r="E980" s="4">
        <v>0.01194295333989772</v>
      </c>
      <c r="F980" s="4">
        <v>0.09302325581395365</v>
      </c>
      <c r="G980" s="4">
        <v>0.05772775620378701</v>
      </c>
      <c r="H980" s="3">
        <v>3.583315162132328</v>
      </c>
      <c r="I980" s="5">
        <v>125869.034</v>
      </c>
      <c r="J980" s="6">
        <v>37.00941899441341</v>
      </c>
      <c r="K980" s="4">
        <v>0.4230596413379371</v>
      </c>
      <c r="L980" s="7">
        <v>1.23144811197258</v>
      </c>
      <c r="M980" s="3">
        <v>345.19</v>
      </c>
      <c r="N980" s="3">
        <v>182.96</v>
      </c>
    </row>
    <row r="981" spans="1:14">
      <c r="A981" s="8" t="s">
        <v>993</v>
      </c>
      <c r="B981" s="2">
        <f>HYPERLINK("https://www.suredividend.com/sure-analysis-ETR/","Entergy Corp.")</f>
        <v>0</v>
      </c>
      <c r="C981" s="1" t="s">
        <v>3186</v>
      </c>
      <c r="D981" s="3">
        <v>108.47</v>
      </c>
      <c r="E981" s="4">
        <v>0.04167050797455518</v>
      </c>
      <c r="F981" s="4">
        <v>0.05607476635513997</v>
      </c>
      <c r="G981" s="4">
        <v>0.03972646601474383</v>
      </c>
      <c r="H981" s="3">
        <v>4.387577890656842</v>
      </c>
      <c r="I981" s="5">
        <v>23162.351448</v>
      </c>
      <c r="J981" s="6">
        <v>10.9210938882597</v>
      </c>
      <c r="K981" s="4">
        <v>0.4400780231350894</v>
      </c>
      <c r="L981" s="7">
        <v>0.540175067162401</v>
      </c>
      <c r="M981" s="3">
        <v>114.28</v>
      </c>
      <c r="N981" s="3">
        <v>84.19</v>
      </c>
    </row>
    <row r="982" spans="1:14">
      <c r="A982" s="8" t="s">
        <v>994</v>
      </c>
      <c r="B982" s="2">
        <f>HYPERLINK("https://www.suredividend.com/sure-analysis-research-database/","Equitrans Midstream Corporation")</f>
        <v>0</v>
      </c>
      <c r="C982" s="1" t="s">
        <v>3185</v>
      </c>
      <c r="D982" s="3">
        <v>14.04</v>
      </c>
      <c r="E982" s="4">
        <v>0.041900681574292</v>
      </c>
      <c r="F982" s="4">
        <v>0</v>
      </c>
      <c r="G982" s="4">
        <v>-0.1972584382397693</v>
      </c>
      <c r="H982" s="3">
        <v>0.5882855693030621</v>
      </c>
      <c r="I982" s="5">
        <v>6088.60044</v>
      </c>
      <c r="J982" s="6">
        <v>15.45196719064852</v>
      </c>
      <c r="K982" s="4">
        <v>0.6535054091347057</v>
      </c>
      <c r="L982" s="7">
        <v>0.766506461197332</v>
      </c>
      <c r="M982" s="3">
        <v>14.6</v>
      </c>
      <c r="N982" s="3">
        <v>7.97</v>
      </c>
    </row>
    <row r="983" spans="1:14">
      <c r="A983" s="8" t="s">
        <v>995</v>
      </c>
      <c r="B983" s="2">
        <f>HYPERLINK("https://www.suredividend.com/sure-analysis-research-database/","Etsy Inc")</f>
        <v>0</v>
      </c>
      <c r="C983" s="1" t="s">
        <v>3182</v>
      </c>
      <c r="D983" s="3">
        <v>65.28</v>
      </c>
      <c r="E983" s="4">
        <v>0</v>
      </c>
      <c r="F983" s="4" t="s">
        <v>3178</v>
      </c>
      <c r="G983" s="4" t="s">
        <v>3178</v>
      </c>
      <c r="H983" s="3">
        <v>0</v>
      </c>
      <c r="I983" s="5">
        <v>7633.358039</v>
      </c>
      <c r="J983" s="6">
        <v>25.785322813316</v>
      </c>
      <c r="K983" s="4">
        <v>0</v>
      </c>
      <c r="L983" s="7">
        <v>1.479102426128472</v>
      </c>
      <c r="M983" s="3">
        <v>102.81</v>
      </c>
      <c r="N983" s="3">
        <v>56.6</v>
      </c>
    </row>
    <row r="984" spans="1:14">
      <c r="A984" s="8" t="s">
        <v>996</v>
      </c>
      <c r="B984" s="2">
        <f>HYPERLINK("https://www.suredividend.com/sure-analysis-research-database/","NEOS ETF Trust")</f>
        <v>0</v>
      </c>
      <c r="C984" s="1" t="s">
        <v>3180</v>
      </c>
      <c r="D984" s="3">
        <v>23.8405</v>
      </c>
      <c r="E984" s="4">
        <v>0</v>
      </c>
      <c r="F984" s="4" t="s">
        <v>3178</v>
      </c>
      <c r="G984" s="4" t="s">
        <v>3178</v>
      </c>
      <c r="H984" s="3">
        <v>0</v>
      </c>
      <c r="I984" s="5">
        <v>6.67534</v>
      </c>
      <c r="J984" s="6">
        <v>0</v>
      </c>
      <c r="K984" s="4" t="s">
        <v>3178</v>
      </c>
      <c r="L984" s="7">
        <v>0.636390822705855</v>
      </c>
      <c r="M984" s="3">
        <v>26.08</v>
      </c>
      <c r="N984" s="3">
        <v>21.95</v>
      </c>
    </row>
    <row r="985" spans="1:14">
      <c r="A985" s="8" t="s">
        <v>997</v>
      </c>
      <c r="B985" s="2">
        <f>HYPERLINK("https://www.suredividend.com/sure-analysis-research-database/","Everbridge Inc")</f>
        <v>0</v>
      </c>
      <c r="C985" s="1" t="s">
        <v>3181</v>
      </c>
      <c r="D985" s="3">
        <v>34.74</v>
      </c>
      <c r="E985" s="4">
        <v>0</v>
      </c>
      <c r="F985" s="4" t="s">
        <v>3178</v>
      </c>
      <c r="G985" s="4" t="s">
        <v>3178</v>
      </c>
      <c r="H985" s="3">
        <v>0</v>
      </c>
      <c r="I985" s="5">
        <v>1445.740778</v>
      </c>
      <c r="J985" s="6" t="s">
        <v>3178</v>
      </c>
      <c r="K985" s="4">
        <v>-0</v>
      </c>
      <c r="L985" s="7">
        <v>1.367682184823544</v>
      </c>
      <c r="M985" s="3">
        <v>36.31</v>
      </c>
      <c r="N985" s="3">
        <v>18.5</v>
      </c>
    </row>
    <row r="986" spans="1:14">
      <c r="A986" s="8" t="s">
        <v>998</v>
      </c>
      <c r="B986" s="2">
        <f>HYPERLINK("https://www.suredividend.com/sure-analysis-research-database/","Evans Bancorp Inc")</f>
        <v>0</v>
      </c>
      <c r="C986" s="1" t="s">
        <v>3180</v>
      </c>
      <c r="D986" s="3">
        <v>25.95</v>
      </c>
      <c r="E986" s="4">
        <v>0.049746809077676</v>
      </c>
      <c r="F986" s="4" t="s">
        <v>3178</v>
      </c>
      <c r="G986" s="4" t="s">
        <v>3178</v>
      </c>
      <c r="H986" s="3">
        <v>1.29092969556571</v>
      </c>
      <c r="I986" s="5">
        <v>143.270184</v>
      </c>
      <c r="J986" s="6">
        <v>0</v>
      </c>
      <c r="K986" s="4" t="s">
        <v>3178</v>
      </c>
      <c r="L986" s="7">
        <v>0.7607331038749481</v>
      </c>
      <c r="M986" s="3">
        <v>31.01</v>
      </c>
      <c r="N986" s="3">
        <v>22.07</v>
      </c>
    </row>
    <row r="987" spans="1:14">
      <c r="A987" s="8" t="s">
        <v>999</v>
      </c>
      <c r="B987" s="2">
        <f>HYPERLINK("https://www.suredividend.com/sure-analysis-research-database/","Entravision Communications Corp.")</f>
        <v>0</v>
      </c>
      <c r="C987" s="1" t="s">
        <v>3187</v>
      </c>
      <c r="D987" s="3">
        <v>2.09</v>
      </c>
      <c r="E987" s="4">
        <v>0.09252130615218701</v>
      </c>
      <c r="F987" s="4">
        <v>0</v>
      </c>
      <c r="G987" s="4">
        <v>0</v>
      </c>
      <c r="H987" s="3">
        <v>0.193369529858071</v>
      </c>
      <c r="I987" s="5">
        <v>167.983489</v>
      </c>
      <c r="J987" s="6" t="s">
        <v>3178</v>
      </c>
      <c r="K987" s="4" t="s">
        <v>3178</v>
      </c>
      <c r="L987" s="7">
        <v>1.222193388887456</v>
      </c>
      <c r="M987" s="3">
        <v>4.63</v>
      </c>
      <c r="N987" s="3">
        <v>1.33</v>
      </c>
    </row>
    <row r="988" spans="1:14">
      <c r="A988" s="8" t="s">
        <v>1000</v>
      </c>
      <c r="B988" s="2">
        <f>HYPERLINK("https://www.suredividend.com/sure-analysis-research-database/","EverQuote Inc")</f>
        <v>0</v>
      </c>
      <c r="C988" s="1" t="s">
        <v>3187</v>
      </c>
      <c r="D988" s="3">
        <v>22.45</v>
      </c>
      <c r="E988" s="4">
        <v>0</v>
      </c>
      <c r="F988" s="4" t="s">
        <v>3178</v>
      </c>
      <c r="G988" s="4" t="s">
        <v>3178</v>
      </c>
      <c r="H988" s="3">
        <v>0</v>
      </c>
      <c r="I988" s="5">
        <v>653.295</v>
      </c>
      <c r="J988" s="6" t="s">
        <v>3178</v>
      </c>
      <c r="K988" s="4">
        <v>-0</v>
      </c>
      <c r="L988" s="7">
        <v>1.446240635464071</v>
      </c>
      <c r="M988" s="3">
        <v>25.69</v>
      </c>
      <c r="N988" s="3">
        <v>5.36</v>
      </c>
    </row>
    <row r="989" spans="1:14">
      <c r="A989" s="8" t="s">
        <v>1001</v>
      </c>
      <c r="B989" s="2">
        <f>HYPERLINK("https://www.suredividend.com/sure-analysis-research-database/","Evofem Biosciences Inc")</f>
        <v>0</v>
      </c>
      <c r="C989" s="1" t="s">
        <v>3176</v>
      </c>
      <c r="D989" s="3">
        <v>0.0124</v>
      </c>
      <c r="E989" s="4">
        <v>0</v>
      </c>
      <c r="F989" s="4" t="s">
        <v>3178</v>
      </c>
      <c r="G989" s="4" t="s">
        <v>3178</v>
      </c>
      <c r="H989" s="3">
        <v>0</v>
      </c>
      <c r="I989" s="5">
        <v>0</v>
      </c>
      <c r="J989" s="6">
        <v>0</v>
      </c>
      <c r="K989" s="4">
        <v>0</v>
      </c>
    </row>
    <row r="990" spans="1:14">
      <c r="A990" s="8" t="s">
        <v>1002</v>
      </c>
      <c r="B990" s="2">
        <f>HYPERLINK("https://www.suredividend.com/sure-analysis-research-database/","Evolent Health Inc")</f>
        <v>0</v>
      </c>
      <c r="C990" s="1" t="s">
        <v>3176</v>
      </c>
      <c r="D990" s="3">
        <v>23.48</v>
      </c>
      <c r="E990" s="4">
        <v>0</v>
      </c>
      <c r="F990" s="4" t="s">
        <v>3178</v>
      </c>
      <c r="G990" s="4" t="s">
        <v>3178</v>
      </c>
      <c r="H990" s="3">
        <v>0</v>
      </c>
      <c r="I990" s="5">
        <v>2728.684128</v>
      </c>
      <c r="J990" s="6" t="s">
        <v>3178</v>
      </c>
      <c r="K990" s="4">
        <v>-0</v>
      </c>
      <c r="L990" s="7">
        <v>1.164725716571585</v>
      </c>
      <c r="M990" s="3">
        <v>35</v>
      </c>
      <c r="N990" s="3">
        <v>20.54</v>
      </c>
    </row>
    <row r="991" spans="1:14">
      <c r="A991" s="8" t="s">
        <v>1003</v>
      </c>
      <c r="B991" s="2">
        <f>HYPERLINK("https://www.suredividend.com/sure-analysis-research-database/","EVI Industries Inc")</f>
        <v>0</v>
      </c>
      <c r="C991" s="1" t="s">
        <v>3179</v>
      </c>
      <c r="D991" s="3">
        <v>18.61</v>
      </c>
      <c r="E991" s="4">
        <v>0</v>
      </c>
      <c r="F991" s="4" t="s">
        <v>3178</v>
      </c>
      <c r="G991" s="4" t="s">
        <v>3178</v>
      </c>
      <c r="H991" s="3">
        <v>0</v>
      </c>
      <c r="I991" s="5">
        <v>235.99261</v>
      </c>
      <c r="J991" s="6">
        <v>0</v>
      </c>
      <c r="K991" s="4" t="s">
        <v>3178</v>
      </c>
      <c r="L991" s="7">
        <v>0.9263952780574851</v>
      </c>
      <c r="M991" s="3">
        <v>28.03</v>
      </c>
      <c r="N991" s="3">
        <v>18.58</v>
      </c>
    </row>
    <row r="992" spans="1:14">
      <c r="A992" s="8" t="s">
        <v>1004</v>
      </c>
      <c r="B992" s="2">
        <f>HYPERLINK("https://www.suredividend.com/sure-analysis-research-database/","Evoke Pharma Inc")</f>
        <v>0</v>
      </c>
      <c r="C992" s="1" t="s">
        <v>3176</v>
      </c>
      <c r="D992" s="3">
        <v>0.5600000000000001</v>
      </c>
      <c r="E992" s="4">
        <v>0</v>
      </c>
      <c r="F992" s="4" t="s">
        <v>3178</v>
      </c>
      <c r="G992" s="4" t="s">
        <v>3178</v>
      </c>
      <c r="H992" s="3">
        <v>0</v>
      </c>
      <c r="I992" s="5">
        <v>4.814547</v>
      </c>
      <c r="J992" s="6">
        <v>0</v>
      </c>
      <c r="K992" s="4" t="s">
        <v>3178</v>
      </c>
      <c r="L992" s="7">
        <v>0.031432934119269</v>
      </c>
      <c r="M992" s="3">
        <v>1.96</v>
      </c>
      <c r="N992" s="3">
        <v>0.4</v>
      </c>
    </row>
    <row r="993" spans="1:14">
      <c r="A993" s="8" t="s">
        <v>1005</v>
      </c>
      <c r="B993" s="2">
        <f>HYPERLINK("https://www.suredividend.com/sure-analysis-research-database/","Symbolic Logic Inc")</f>
        <v>0</v>
      </c>
      <c r="C993" s="1" t="s">
        <v>3181</v>
      </c>
      <c r="D993" s="3">
        <v>1.04</v>
      </c>
      <c r="E993" s="4">
        <v>0</v>
      </c>
      <c r="F993" s="4" t="s">
        <v>3178</v>
      </c>
      <c r="G993" s="4" t="s">
        <v>3178</v>
      </c>
      <c r="H993" s="3">
        <v>0</v>
      </c>
      <c r="I993" s="5">
        <v>11.095752</v>
      </c>
      <c r="J993" s="6">
        <v>15.87375061516452</v>
      </c>
      <c r="K993" s="4">
        <v>0</v>
      </c>
      <c r="M993" s="3">
        <v>1.15</v>
      </c>
      <c r="N993" s="3">
        <v>0.54</v>
      </c>
    </row>
    <row r="994" spans="1:14">
      <c r="A994" s="8" t="s">
        <v>1006</v>
      </c>
      <c r="B994" s="2">
        <f>HYPERLINK("https://www.suredividend.com/sure-analysis-research-database/","EVO Payments Inc")</f>
        <v>0</v>
      </c>
      <c r="C994" s="1" t="s">
        <v>3181</v>
      </c>
      <c r="D994" s="3">
        <v>33.99</v>
      </c>
      <c r="E994" s="4">
        <v>0</v>
      </c>
      <c r="F994" s="4" t="s">
        <v>3178</v>
      </c>
      <c r="G994" s="4" t="s">
        <v>3178</v>
      </c>
      <c r="H994" s="3">
        <v>0</v>
      </c>
      <c r="I994" s="5">
        <v>0</v>
      </c>
      <c r="J994" s="6">
        <v>0</v>
      </c>
      <c r="K994" s="4">
        <v>-0</v>
      </c>
    </row>
    <row r="995" spans="1:14">
      <c r="A995" s="8" t="s">
        <v>1007</v>
      </c>
      <c r="B995" s="2">
        <f>HYPERLINK("https://www.suredividend.com/sure-analysis-EVR/","Evercore Inc")</f>
        <v>0</v>
      </c>
      <c r="C995" s="1" t="s">
        <v>3180</v>
      </c>
      <c r="D995" s="3">
        <v>192.6</v>
      </c>
      <c r="E995" s="4">
        <v>0.01661474558670821</v>
      </c>
      <c r="F995" s="4" t="s">
        <v>3178</v>
      </c>
      <c r="G995" s="4" t="s">
        <v>3178</v>
      </c>
      <c r="H995" s="3">
        <v>3.060645168894778</v>
      </c>
      <c r="I995" s="5">
        <v>7418.287145</v>
      </c>
      <c r="J995" s="6">
        <v>28.77602715656687</v>
      </c>
      <c r="K995" s="4">
        <v>0.4782258076398091</v>
      </c>
      <c r="L995" s="7">
        <v>1.230809538940407</v>
      </c>
      <c r="M995" s="3">
        <v>205.5</v>
      </c>
      <c r="N995" s="3">
        <v>113.92</v>
      </c>
    </row>
    <row r="996" spans="1:14">
      <c r="A996" s="8" t="s">
        <v>1008</v>
      </c>
      <c r="B996" s="2">
        <f>HYPERLINK("https://www.suredividend.com/sure-analysis-EVRG/","Evergy Inc")</f>
        <v>0</v>
      </c>
      <c r="C996" s="1" t="s">
        <v>3186</v>
      </c>
      <c r="D996" s="3">
        <v>52.96</v>
      </c>
      <c r="E996" s="4">
        <v>0.04852719033232628</v>
      </c>
      <c r="F996" s="4">
        <v>0.04897959183673484</v>
      </c>
      <c r="G996" s="4">
        <v>0.06227241640343517</v>
      </c>
      <c r="H996" s="3">
        <v>2.466144190675553</v>
      </c>
      <c r="I996" s="5">
        <v>12177.045983</v>
      </c>
      <c r="J996" s="6">
        <v>17.11701712589261</v>
      </c>
      <c r="K996" s="4">
        <v>0.7981049160762308</v>
      </c>
      <c r="L996" s="7">
        <v>0.481117548228048</v>
      </c>
      <c r="M996" s="3">
        <v>57.53</v>
      </c>
      <c r="N996" s="3">
        <v>44.12</v>
      </c>
    </row>
    <row r="997" spans="1:14">
      <c r="A997" s="8" t="s">
        <v>1009</v>
      </c>
      <c r="B997" s="2">
        <f>HYPERLINK("https://www.suredividend.com/sure-analysis-research-database/","Everi Holdings Inc")</f>
        <v>0</v>
      </c>
      <c r="C997" s="1" t="s">
        <v>3182</v>
      </c>
      <c r="D997" s="3">
        <v>7.62</v>
      </c>
      <c r="E997" s="4">
        <v>0</v>
      </c>
      <c r="F997" s="4" t="s">
        <v>3178</v>
      </c>
      <c r="G997" s="4" t="s">
        <v>3178</v>
      </c>
      <c r="H997" s="3">
        <v>0</v>
      </c>
      <c r="I997" s="5">
        <v>640.657969</v>
      </c>
      <c r="J997" s="6">
        <v>10.59201404282053</v>
      </c>
      <c r="K997" s="4">
        <v>0</v>
      </c>
      <c r="L997" s="7">
        <v>1.373612304405858</v>
      </c>
      <c r="M997" s="3">
        <v>15.9</v>
      </c>
      <c r="N997" s="3">
        <v>6.37</v>
      </c>
    </row>
    <row r="998" spans="1:14">
      <c r="A998" s="8" t="s">
        <v>1010</v>
      </c>
      <c r="B998" s="2">
        <f>HYPERLINK("https://www.suredividend.com/sure-analysis-research-database/","Evertec Inc")</f>
        <v>0</v>
      </c>
      <c r="C998" s="1" t="s">
        <v>3181</v>
      </c>
      <c r="D998" s="3">
        <v>32.81</v>
      </c>
      <c r="E998" s="4">
        <v>0.006083827812834001</v>
      </c>
      <c r="F998" s="4" t="s">
        <v>3178</v>
      </c>
      <c r="G998" s="4" t="s">
        <v>3178</v>
      </c>
      <c r="H998" s="3">
        <v>0.199610390539106</v>
      </c>
      <c r="I998" s="5">
        <v>2113.27353</v>
      </c>
      <c r="J998" s="6">
        <v>32.19049078493199</v>
      </c>
      <c r="K998" s="4">
        <v>0.200673962540571</v>
      </c>
      <c r="L998" s="7">
        <v>0.818872484883526</v>
      </c>
      <c r="M998" s="3">
        <v>42.1</v>
      </c>
      <c r="N998" s="3">
        <v>31.48</v>
      </c>
    </row>
    <row r="999" spans="1:14">
      <c r="A999" s="8" t="s">
        <v>1011</v>
      </c>
      <c r="B999" s="2">
        <f>HYPERLINK("https://www.suredividend.com/sure-analysis-research-database/","Edwards Lifesciences Corp")</f>
        <v>0</v>
      </c>
      <c r="C999" s="1" t="s">
        <v>3176</v>
      </c>
      <c r="D999" s="3">
        <v>88.14</v>
      </c>
      <c r="E999" s="4">
        <v>0</v>
      </c>
      <c r="F999" s="4" t="s">
        <v>3178</v>
      </c>
      <c r="G999" s="4" t="s">
        <v>3178</v>
      </c>
      <c r="H999" s="3">
        <v>0</v>
      </c>
      <c r="I999" s="5">
        <v>53113.164</v>
      </c>
      <c r="J999" s="6">
        <v>37.56766445041731</v>
      </c>
      <c r="K999" s="4">
        <v>0</v>
      </c>
      <c r="L999" s="7">
        <v>1.070096234110476</v>
      </c>
      <c r="M999" s="3">
        <v>96.12</v>
      </c>
      <c r="N999" s="3">
        <v>60.57</v>
      </c>
    </row>
    <row r="1000" spans="1:14">
      <c r="A1000" s="8" t="s">
        <v>1012</v>
      </c>
      <c r="B1000" s="2">
        <f>HYPERLINK("https://www.suredividend.com/sure-analysis-research-database/","East West Bancorp, Inc.")</f>
        <v>0</v>
      </c>
      <c r="C1000" s="1" t="s">
        <v>3180</v>
      </c>
      <c r="D1000" s="3">
        <v>72</v>
      </c>
      <c r="E1000" s="4">
        <v>0.027994490427002</v>
      </c>
      <c r="F1000" s="4">
        <v>0.1458333333333335</v>
      </c>
      <c r="G1000" s="4">
        <v>0.1486983549970351</v>
      </c>
      <c r="H1000" s="3">
        <v>2.015603310744149</v>
      </c>
      <c r="I1000" s="5">
        <v>10018.318824</v>
      </c>
      <c r="J1000" s="6">
        <v>8.914705079298129</v>
      </c>
      <c r="K1000" s="4">
        <v>0.2538543212524117</v>
      </c>
      <c r="L1000" s="7">
        <v>1.211290497730297</v>
      </c>
      <c r="M1000" s="3">
        <v>78.97</v>
      </c>
      <c r="N1000" s="3">
        <v>45.68</v>
      </c>
    </row>
    <row r="1001" spans="1:14">
      <c r="A1001" s="8" t="s">
        <v>1013</v>
      </c>
      <c r="B1001" s="2">
        <f>HYPERLINK("https://www.suredividend.com/sure-analysis-research-database/","Exact Sciences Corp.")</f>
        <v>0</v>
      </c>
      <c r="C1001" s="1" t="s">
        <v>3176</v>
      </c>
      <c r="D1001" s="3">
        <v>42.93</v>
      </c>
      <c r="E1001" s="4">
        <v>0</v>
      </c>
      <c r="F1001" s="4" t="s">
        <v>3178</v>
      </c>
      <c r="G1001" s="4" t="s">
        <v>3178</v>
      </c>
      <c r="H1001" s="3">
        <v>0</v>
      </c>
      <c r="I1001" s="5">
        <v>7921.860923</v>
      </c>
      <c r="J1001" s="6" t="s">
        <v>3178</v>
      </c>
      <c r="K1001" s="4">
        <v>-0</v>
      </c>
      <c r="L1001" s="7">
        <v>1.610862864085431</v>
      </c>
      <c r="M1001" s="3">
        <v>100.77</v>
      </c>
      <c r="N1001" s="3">
        <v>42.72</v>
      </c>
    </row>
    <row r="1002" spans="1:14">
      <c r="A1002" s="8" t="s">
        <v>1014</v>
      </c>
      <c r="B1002" s="2">
        <f>HYPERLINK("https://www.suredividend.com/sure-analysis-EXC/","Exelon Corp.")</f>
        <v>0</v>
      </c>
      <c r="C1002" s="1" t="s">
        <v>3186</v>
      </c>
      <c r="D1002" s="3">
        <v>36.17</v>
      </c>
      <c r="E1002" s="4">
        <v>0.04202377661045065</v>
      </c>
      <c r="F1002" s="4">
        <v>0.05555555555555558</v>
      </c>
      <c r="G1002" s="4">
        <v>0.009473952121131113</v>
      </c>
      <c r="H1002" s="3">
        <v>1.440201766663448</v>
      </c>
      <c r="I1002" s="5">
        <v>36170.908735</v>
      </c>
      <c r="J1002" s="6">
        <v>15.6110956992145</v>
      </c>
      <c r="K1002" s="4">
        <v>0.6207766235618311</v>
      </c>
      <c r="L1002" s="7">
        <v>0.506718878154606</v>
      </c>
      <c r="M1002" s="3">
        <v>40.65</v>
      </c>
      <c r="N1002" s="3">
        <v>32</v>
      </c>
    </row>
    <row r="1003" spans="1:14">
      <c r="A1003" s="8" t="s">
        <v>1015</v>
      </c>
      <c r="B1003" s="2">
        <f>HYPERLINK("https://www.suredividend.com/sure-analysis-research-database/","Exelixis Inc")</f>
        <v>0</v>
      </c>
      <c r="C1003" s="1" t="s">
        <v>3176</v>
      </c>
      <c r="D1003" s="3">
        <v>21.88</v>
      </c>
      <c r="E1003" s="4">
        <v>0</v>
      </c>
      <c r="F1003" s="4" t="s">
        <v>3178</v>
      </c>
      <c r="G1003" s="4" t="s">
        <v>3178</v>
      </c>
      <c r="H1003" s="3">
        <v>0</v>
      </c>
      <c r="I1003" s="5">
        <v>6373.484364</v>
      </c>
      <c r="J1003" s="6">
        <v>31.08198017848957</v>
      </c>
      <c r="K1003" s="4">
        <v>0</v>
      </c>
      <c r="L1003" s="7">
        <v>0.244849689236443</v>
      </c>
      <c r="M1003" s="3">
        <v>24.34</v>
      </c>
      <c r="N1003" s="3">
        <v>18.64</v>
      </c>
    </row>
    <row r="1004" spans="1:14">
      <c r="A1004" s="8" t="s">
        <v>1016</v>
      </c>
      <c r="B1004" s="2">
        <f>HYPERLINK("https://www.suredividend.com/sure-analysis-research-database/","ExlService Holdings Inc")</f>
        <v>0</v>
      </c>
      <c r="C1004" s="1" t="s">
        <v>3181</v>
      </c>
      <c r="D1004" s="3">
        <v>29.18</v>
      </c>
      <c r="E1004" s="4">
        <v>0</v>
      </c>
      <c r="F1004" s="4" t="s">
        <v>3178</v>
      </c>
      <c r="G1004" s="4" t="s">
        <v>3178</v>
      </c>
      <c r="H1004" s="3">
        <v>0</v>
      </c>
      <c r="I1004" s="5">
        <v>4888.848423</v>
      </c>
      <c r="J1004" s="6">
        <v>26.86328052420462</v>
      </c>
      <c r="K1004" s="4">
        <v>0</v>
      </c>
      <c r="L1004" s="7">
        <v>1.135770205894483</v>
      </c>
      <c r="M1004" s="3">
        <v>33.4</v>
      </c>
      <c r="N1004" s="3">
        <v>25.17</v>
      </c>
    </row>
    <row r="1005" spans="1:14">
      <c r="A1005" s="8" t="s">
        <v>1017</v>
      </c>
      <c r="B1005" s="2">
        <f>HYPERLINK("https://www.suredividend.com/sure-analysis-research-database/","Eagle Materials Inc.")</f>
        <v>0</v>
      </c>
      <c r="C1005" s="1" t="s">
        <v>3177</v>
      </c>
      <c r="D1005" s="3">
        <v>224.69</v>
      </c>
      <c r="E1005" s="4">
        <v>0.004442780643729</v>
      </c>
      <c r="F1005" s="4" t="s">
        <v>3178</v>
      </c>
      <c r="G1005" s="4" t="s">
        <v>3178</v>
      </c>
      <c r="H1005" s="3">
        <v>0.9982483828395371</v>
      </c>
      <c r="I1005" s="5">
        <v>7620.438868</v>
      </c>
      <c r="J1005" s="6">
        <v>15.95438996407328</v>
      </c>
      <c r="K1005" s="4">
        <v>0.07334668499923123</v>
      </c>
      <c r="L1005" s="7">
        <v>1.519018166640247</v>
      </c>
      <c r="M1005" s="3">
        <v>276.61</v>
      </c>
      <c r="N1005" s="3">
        <v>144.7</v>
      </c>
    </row>
    <row r="1006" spans="1:14">
      <c r="A1006" s="8" t="s">
        <v>1018</v>
      </c>
      <c r="B1006" s="2">
        <f>HYPERLINK("https://www.suredividend.com/sure-analysis-EXPD/","Expeditors International Of Washington, Inc.")</f>
        <v>0</v>
      </c>
      <c r="C1006" s="1" t="s">
        <v>3179</v>
      </c>
      <c r="D1006" s="3">
        <v>125.47</v>
      </c>
      <c r="E1006" s="4">
        <v>0.01131744640153025</v>
      </c>
      <c r="F1006" s="4" t="s">
        <v>3178</v>
      </c>
      <c r="G1006" s="4" t="s">
        <v>3178</v>
      </c>
      <c r="H1006" s="3">
        <v>0.6858338517103161</v>
      </c>
      <c r="I1006" s="5">
        <v>17722.919306</v>
      </c>
      <c r="J1006" s="6">
        <v>25.46308648210406</v>
      </c>
      <c r="K1006" s="4">
        <v>0.1453037821420161</v>
      </c>
      <c r="L1006" s="7">
        <v>0.8677929972065601</v>
      </c>
      <c r="M1006" s="3">
        <v>130.38</v>
      </c>
      <c r="N1006" s="3">
        <v>105.77</v>
      </c>
    </row>
    <row r="1007" spans="1:14">
      <c r="A1007" s="8" t="s">
        <v>1019</v>
      </c>
      <c r="B1007" s="2">
        <f>HYPERLINK("https://www.suredividend.com/sure-analysis-research-database/","Expedia Group Inc")</f>
        <v>0</v>
      </c>
      <c r="C1007" s="1" t="s">
        <v>3182</v>
      </c>
      <c r="D1007" s="3">
        <v>123.06</v>
      </c>
      <c r="E1007" s="4">
        <v>0</v>
      </c>
      <c r="F1007" s="4" t="s">
        <v>3178</v>
      </c>
      <c r="G1007" s="4" t="s">
        <v>3178</v>
      </c>
      <c r="H1007" s="3">
        <v>0</v>
      </c>
      <c r="I1007" s="5">
        <v>15622.113079</v>
      </c>
      <c r="J1007" s="6">
        <v>19.35825660401487</v>
      </c>
      <c r="K1007" s="4">
        <v>0</v>
      </c>
      <c r="L1007" s="7">
        <v>1.117108166754431</v>
      </c>
      <c r="M1007" s="3">
        <v>160.05</v>
      </c>
      <c r="N1007" s="3">
        <v>92.48</v>
      </c>
    </row>
    <row r="1008" spans="1:14">
      <c r="A1008" s="8" t="s">
        <v>1020</v>
      </c>
      <c r="B1008" s="2">
        <f>HYPERLINK("https://www.suredividend.com/sure-analysis-research-database/","eXp World Holdings Inc")</f>
        <v>0</v>
      </c>
      <c r="C1008" s="1" t="s">
        <v>3183</v>
      </c>
      <c r="D1008" s="3">
        <v>11.05</v>
      </c>
      <c r="E1008" s="4">
        <v>0.017936424871528</v>
      </c>
      <c r="F1008" s="4" t="s">
        <v>3178</v>
      </c>
      <c r="G1008" s="4" t="s">
        <v>3178</v>
      </c>
      <c r="H1008" s="3">
        <v>0.198197494830394</v>
      </c>
      <c r="I1008" s="5">
        <v>1711.054521</v>
      </c>
      <c r="J1008" s="6" t="s">
        <v>3178</v>
      </c>
      <c r="K1008" s="4" t="s">
        <v>3178</v>
      </c>
      <c r="L1008" s="7">
        <v>2.126675876729329</v>
      </c>
      <c r="M1008" s="3">
        <v>24.83</v>
      </c>
      <c r="N1008" s="3">
        <v>8.869999999999999</v>
      </c>
    </row>
    <row r="1009" spans="1:14">
      <c r="A1009" s="8" t="s">
        <v>1021</v>
      </c>
      <c r="B1009" s="2">
        <f>HYPERLINK("https://www.suredividend.com/sure-analysis-EXPO/","Exponent Inc.")</f>
        <v>0</v>
      </c>
      <c r="C1009" s="1" t="s">
        <v>3179</v>
      </c>
      <c r="D1009" s="3">
        <v>93.48</v>
      </c>
      <c r="E1009" s="4">
        <v>0.01198117244330338</v>
      </c>
      <c r="F1009" s="4">
        <v>0.07692307692307709</v>
      </c>
      <c r="G1009" s="4">
        <v>0.1184269147201447</v>
      </c>
      <c r="H1009" s="3">
        <v>1.070117673565682</v>
      </c>
      <c r="I1009" s="5">
        <v>4739.436</v>
      </c>
      <c r="J1009" s="6">
        <v>46.75982911885711</v>
      </c>
      <c r="K1009" s="4">
        <v>0.5432069408962853</v>
      </c>
      <c r="L1009" s="7">
        <v>1.056506869648102</v>
      </c>
      <c r="M1009" s="3">
        <v>102.12</v>
      </c>
      <c r="N1009" s="3">
        <v>63.39</v>
      </c>
    </row>
    <row r="1010" spans="1:14">
      <c r="A1010" s="8" t="s">
        <v>1022</v>
      </c>
      <c r="B1010" s="2">
        <f>HYPERLINK("https://www.suredividend.com/sure-analysis-research-database/","Express Inc.")</f>
        <v>0</v>
      </c>
      <c r="C1010" s="1" t="s">
        <v>3182</v>
      </c>
      <c r="D1010" s="3">
        <v>2.52</v>
      </c>
      <c r="E1010" s="4">
        <v>0</v>
      </c>
      <c r="F1010" s="4" t="s">
        <v>3178</v>
      </c>
      <c r="G1010" s="4" t="s">
        <v>3178</v>
      </c>
      <c r="H1010" s="3">
        <v>0</v>
      </c>
      <c r="I1010" s="5">
        <v>0</v>
      </c>
      <c r="J1010" s="6">
        <v>0</v>
      </c>
      <c r="K1010" s="4">
        <v>0</v>
      </c>
    </row>
    <row r="1011" spans="1:14">
      <c r="A1011" s="8" t="s">
        <v>1023</v>
      </c>
      <c r="B1011" s="2">
        <f>HYPERLINK("https://www.suredividend.com/sure-analysis-EXR/","Extra Space Storage Inc.")</f>
        <v>0</v>
      </c>
      <c r="C1011" s="1" t="s">
        <v>3183</v>
      </c>
      <c r="D1011" s="3">
        <v>148.1</v>
      </c>
      <c r="E1011" s="4">
        <v>0.0437542201215395</v>
      </c>
      <c r="F1011" s="4">
        <v>0</v>
      </c>
      <c r="G1011" s="4">
        <v>0.1247461131420948</v>
      </c>
      <c r="H1011" s="3">
        <v>6.368120819448853</v>
      </c>
      <c r="I1011" s="5">
        <v>31356.508933</v>
      </c>
      <c r="J1011" s="6">
        <v>38.29914883929422</v>
      </c>
      <c r="K1011" s="4">
        <v>1.467308944573468</v>
      </c>
      <c r="L1011" s="7">
        <v>1.186658964054233</v>
      </c>
      <c r="M1011" s="3">
        <v>163.18</v>
      </c>
      <c r="N1011" s="3">
        <v>98.97</v>
      </c>
    </row>
    <row r="1012" spans="1:14">
      <c r="A1012" s="8" t="s">
        <v>1024</v>
      </c>
      <c r="B1012" s="2">
        <f>HYPERLINK("https://www.suredividend.com/sure-analysis-research-database/","Exterran Corp")</f>
        <v>0</v>
      </c>
      <c r="C1012" s="1" t="s">
        <v>3185</v>
      </c>
      <c r="D1012" s="3">
        <v>4.58</v>
      </c>
      <c r="E1012" s="4">
        <v>0</v>
      </c>
      <c r="F1012" s="4" t="s">
        <v>3178</v>
      </c>
      <c r="G1012" s="4" t="s">
        <v>3178</v>
      </c>
      <c r="H1012" s="3">
        <v>0</v>
      </c>
      <c r="I1012" s="5">
        <v>152.575706</v>
      </c>
      <c r="J1012" s="6" t="s">
        <v>3178</v>
      </c>
      <c r="K1012" s="4">
        <v>-0</v>
      </c>
      <c r="L1012" s="7">
        <v>1.159107831366806</v>
      </c>
      <c r="M1012" s="3">
        <v>7.7</v>
      </c>
      <c r="N1012" s="3">
        <v>2.67</v>
      </c>
    </row>
    <row r="1013" spans="1:14">
      <c r="A1013" s="8" t="s">
        <v>1025</v>
      </c>
      <c r="B1013" s="2">
        <f>HYPERLINK("https://www.suredividend.com/sure-analysis-research-database/","Extreme Networks Inc.")</f>
        <v>0</v>
      </c>
      <c r="C1013" s="1" t="s">
        <v>3181</v>
      </c>
      <c r="D1013" s="3">
        <v>11.58</v>
      </c>
      <c r="E1013" s="4">
        <v>0</v>
      </c>
      <c r="F1013" s="4" t="s">
        <v>3178</v>
      </c>
      <c r="G1013" s="4" t="s">
        <v>3178</v>
      </c>
      <c r="H1013" s="3">
        <v>0</v>
      </c>
      <c r="I1013" s="5">
        <v>1504.793208</v>
      </c>
      <c r="J1013" s="6" t="s">
        <v>3178</v>
      </c>
      <c r="K1013" s="4">
        <v>-0</v>
      </c>
      <c r="L1013" s="7">
        <v>1.104687297344632</v>
      </c>
      <c r="M1013" s="3">
        <v>32.73</v>
      </c>
      <c r="N1013" s="3">
        <v>10.5</v>
      </c>
    </row>
    <row r="1014" spans="1:14">
      <c r="A1014" s="8" t="s">
        <v>1026</v>
      </c>
      <c r="B1014" s="2">
        <f>HYPERLINK("https://www.suredividend.com/sure-analysis-research-database/","National Vision Holdings Inc")</f>
        <v>0</v>
      </c>
      <c r="C1014" s="1" t="s">
        <v>3182</v>
      </c>
      <c r="D1014" s="3">
        <v>14.42</v>
      </c>
      <c r="E1014" s="4">
        <v>0</v>
      </c>
      <c r="F1014" s="4" t="s">
        <v>3178</v>
      </c>
      <c r="G1014" s="4" t="s">
        <v>3178</v>
      </c>
      <c r="H1014" s="3">
        <v>0</v>
      </c>
      <c r="I1014" s="5">
        <v>1132.849533</v>
      </c>
      <c r="J1014" s="6" t="s">
        <v>3178</v>
      </c>
      <c r="K1014" s="4">
        <v>-0</v>
      </c>
      <c r="L1014" s="7">
        <v>1.61631481457777</v>
      </c>
      <c r="M1014" s="3">
        <v>27.02</v>
      </c>
      <c r="N1014" s="3">
        <v>13.71</v>
      </c>
    </row>
    <row r="1015" spans="1:14">
      <c r="A1015" s="8" t="s">
        <v>1027</v>
      </c>
      <c r="B1015" s="2">
        <f>HYPERLINK("https://www.suredividend.com/sure-analysis-research-database/","AB Active ETFs Inc")</f>
        <v>0</v>
      </c>
      <c r="C1015" s="1" t="s">
        <v>3176</v>
      </c>
      <c r="D1015" s="3">
        <v>35.2551</v>
      </c>
      <c r="E1015" s="4">
        <v>0.023625521647621</v>
      </c>
      <c r="F1015" s="4" t="s">
        <v>3178</v>
      </c>
      <c r="G1015" s="4" t="s">
        <v>3178</v>
      </c>
      <c r="H1015" s="3">
        <v>0.832920128239057</v>
      </c>
      <c r="I1015" s="5">
        <v>24.67857</v>
      </c>
      <c r="J1015" s="6">
        <v>0</v>
      </c>
      <c r="K1015" s="4" t="s">
        <v>3178</v>
      </c>
      <c r="L1015" s="7">
        <v>0.180292149447111</v>
      </c>
      <c r="M1015" s="3">
        <v>35.54</v>
      </c>
      <c r="N1015" s="3">
        <v>33.93</v>
      </c>
    </row>
    <row r="1016" spans="1:14">
      <c r="A1016" s="8" t="s">
        <v>1028</v>
      </c>
      <c r="B1016" s="2">
        <f>HYPERLINK("https://www.suredividend.com/sure-analysis-research-database/","Vivani Medical Inc")</f>
        <v>0</v>
      </c>
      <c r="C1016" s="1" t="s">
        <v>3176</v>
      </c>
      <c r="D1016" s="3">
        <v>4.14</v>
      </c>
      <c r="E1016" s="4">
        <v>0</v>
      </c>
      <c r="F1016" s="4" t="s">
        <v>3178</v>
      </c>
      <c r="G1016" s="4" t="s">
        <v>3178</v>
      </c>
      <c r="H1016" s="3">
        <v>0</v>
      </c>
      <c r="I1016" s="5">
        <v>163.153989</v>
      </c>
      <c r="J1016" s="6">
        <v>0</v>
      </c>
      <c r="K1016" s="4">
        <v>-0</v>
      </c>
      <c r="L1016" s="7">
        <v>1.213603404373694</v>
      </c>
    </row>
    <row r="1017" spans="1:14">
      <c r="A1017" s="8" t="s">
        <v>1029</v>
      </c>
      <c r="B1017" s="2">
        <f>HYPERLINK("https://www.suredividend.com/sure-analysis-research-database/","EyePoint Pharmaceuticals Inc")</f>
        <v>0</v>
      </c>
      <c r="C1017" s="1" t="s">
        <v>3176</v>
      </c>
      <c r="D1017" s="3">
        <v>9.1</v>
      </c>
      <c r="E1017" s="4">
        <v>0</v>
      </c>
      <c r="F1017" s="4" t="s">
        <v>3178</v>
      </c>
      <c r="G1017" s="4" t="s">
        <v>3178</v>
      </c>
      <c r="H1017" s="3">
        <v>0</v>
      </c>
      <c r="I1017" s="5">
        <v>473.967813</v>
      </c>
      <c r="J1017" s="6">
        <v>0</v>
      </c>
      <c r="K1017" s="4" t="s">
        <v>3178</v>
      </c>
      <c r="L1017" s="7">
        <v>0.8792432005461631</v>
      </c>
      <c r="M1017" s="3">
        <v>30.99</v>
      </c>
      <c r="N1017" s="3">
        <v>5.67</v>
      </c>
    </row>
    <row r="1018" spans="1:14">
      <c r="A1018" s="8" t="s">
        <v>1030</v>
      </c>
      <c r="B1018" s="2">
        <f>HYPERLINK("https://www.suredividend.com/sure-analysis-research-database/","EZCorp, Inc.")</f>
        <v>0</v>
      </c>
      <c r="C1018" s="1" t="s">
        <v>3180</v>
      </c>
      <c r="D1018" s="3">
        <v>10.48</v>
      </c>
      <c r="E1018" s="4">
        <v>0</v>
      </c>
      <c r="F1018" s="4" t="s">
        <v>3178</v>
      </c>
      <c r="G1018" s="4" t="s">
        <v>3178</v>
      </c>
      <c r="H1018" s="3">
        <v>0</v>
      </c>
      <c r="I1018" s="5">
        <v>544.668729</v>
      </c>
      <c r="J1018" s="6">
        <v>6.945179146179742</v>
      </c>
      <c r="K1018" s="4">
        <v>0</v>
      </c>
      <c r="L1018" s="7">
        <v>0.601174549181396</v>
      </c>
      <c r="M1018" s="3">
        <v>11.52</v>
      </c>
      <c r="N1018" s="3">
        <v>7.7</v>
      </c>
    </row>
    <row r="1019" spans="1:14">
      <c r="A1019" s="8" t="s">
        <v>1031</v>
      </c>
      <c r="B1019" s="2">
        <f>HYPERLINK("https://www.suredividend.com/sure-analysis-F/","Ford Motor Co.")</f>
        <v>0</v>
      </c>
      <c r="C1019" s="1" t="s">
        <v>3182</v>
      </c>
      <c r="D1019" s="3">
        <v>12.15</v>
      </c>
      <c r="E1019" s="4">
        <v>0.04938271604938271</v>
      </c>
      <c r="F1019" s="4" t="s">
        <v>3178</v>
      </c>
      <c r="G1019" s="4" t="s">
        <v>3178</v>
      </c>
      <c r="H1019" s="3">
        <v>0.588812862119195</v>
      </c>
      <c r="I1019" s="5">
        <v>47646.043734</v>
      </c>
      <c r="J1019" s="6">
        <v>12.1484048276772</v>
      </c>
      <c r="K1019" s="4">
        <v>0.6064608735391853</v>
      </c>
      <c r="L1019" s="7">
        <v>1.215072614800955</v>
      </c>
      <c r="M1019" s="3">
        <v>14.66</v>
      </c>
      <c r="N1019" s="3">
        <v>9.300000000000001</v>
      </c>
    </row>
    <row r="1020" spans="1:14">
      <c r="A1020" s="8" t="s">
        <v>1032</v>
      </c>
      <c r="B1020" s="2">
        <f>HYPERLINK("https://www.suredividend.com/sure-analysis-FAF/","First American Financial Corp")</f>
        <v>0</v>
      </c>
      <c r="C1020" s="1" t="s">
        <v>3180</v>
      </c>
      <c r="D1020" s="3">
        <v>53.87</v>
      </c>
      <c r="E1020" s="4">
        <v>0.03935400037126416</v>
      </c>
      <c r="F1020" s="4" t="s">
        <v>3178</v>
      </c>
      <c r="G1020" s="4" t="s">
        <v>3178</v>
      </c>
      <c r="H1020" s="3">
        <v>1.575769280702956</v>
      </c>
      <c r="I1020" s="5">
        <v>5587.592648</v>
      </c>
      <c r="J1020" s="6">
        <v>25.67827503864889</v>
      </c>
      <c r="K1020" s="4">
        <v>0.7575813849533443</v>
      </c>
      <c r="L1020" s="7">
        <v>1.030350313966647</v>
      </c>
      <c r="M1020" s="3">
        <v>64.94</v>
      </c>
      <c r="N1020" s="3">
        <v>48.67</v>
      </c>
    </row>
    <row r="1021" spans="1:14">
      <c r="A1021" s="8" t="s">
        <v>1033</v>
      </c>
      <c r="B1021" s="2">
        <f>HYPERLINK("https://www.suredividend.com/sure-analysis-FANG/","Diamondback Energy Inc")</f>
        <v>0</v>
      </c>
      <c r="C1021" s="1" t="s">
        <v>3185</v>
      </c>
      <c r="D1021" s="3">
        <v>190.3</v>
      </c>
      <c r="E1021" s="4">
        <v>0.01891749868628481</v>
      </c>
      <c r="F1021" s="4">
        <v>-0.5770750988142292</v>
      </c>
      <c r="G1021" s="4">
        <v>0.2174881904229216</v>
      </c>
      <c r="H1021" s="3">
        <v>6.939436762541989</v>
      </c>
      <c r="I1021" s="5">
        <v>33938.81239</v>
      </c>
      <c r="J1021" s="6">
        <v>10.69949949240227</v>
      </c>
      <c r="K1021" s="4">
        <v>0.3918371972073398</v>
      </c>
      <c r="L1021" s="7">
        <v>0.40671580508271</v>
      </c>
      <c r="M1021" s="3">
        <v>209.71</v>
      </c>
      <c r="N1021" s="3">
        <v>116.88</v>
      </c>
    </row>
    <row r="1022" spans="1:14">
      <c r="A1022" s="8" t="s">
        <v>1034</v>
      </c>
      <c r="B1022" s="2">
        <f>HYPERLINK("https://www.suredividend.com/sure-analysis-research-database/","Farmer Bros. Co.")</f>
        <v>0</v>
      </c>
      <c r="C1022" s="1" t="s">
        <v>3184</v>
      </c>
      <c r="D1022" s="3">
        <v>2.9</v>
      </c>
      <c r="E1022" s="4">
        <v>0</v>
      </c>
      <c r="F1022" s="4" t="s">
        <v>3178</v>
      </c>
      <c r="G1022" s="4" t="s">
        <v>3178</v>
      </c>
      <c r="H1022" s="3">
        <v>0</v>
      </c>
      <c r="I1022" s="5">
        <v>61.666548</v>
      </c>
      <c r="J1022" s="6">
        <v>0</v>
      </c>
      <c r="K1022" s="4" t="s">
        <v>3178</v>
      </c>
      <c r="L1022" s="7">
        <v>0.7972896863011191</v>
      </c>
      <c r="M1022" s="3">
        <v>4.04</v>
      </c>
      <c r="N1022" s="3">
        <v>1.8</v>
      </c>
    </row>
    <row r="1023" spans="1:14">
      <c r="A1023" s="8" t="s">
        <v>1035</v>
      </c>
      <c r="B1023" s="2">
        <f>HYPERLINK("https://www.suredividend.com/sure-analysis-research-database/","Faro Technologies Inc.")</f>
        <v>0</v>
      </c>
      <c r="C1023" s="1" t="s">
        <v>3181</v>
      </c>
      <c r="D1023" s="3">
        <v>17.5</v>
      </c>
      <c r="E1023" s="4">
        <v>0</v>
      </c>
      <c r="F1023" s="4" t="s">
        <v>3178</v>
      </c>
      <c r="G1023" s="4" t="s">
        <v>3178</v>
      </c>
      <c r="H1023" s="3">
        <v>0</v>
      </c>
      <c r="I1023" s="5">
        <v>336.102778</v>
      </c>
      <c r="J1023" s="6" t="s">
        <v>3178</v>
      </c>
      <c r="K1023" s="4">
        <v>-0</v>
      </c>
      <c r="L1023" s="7">
        <v>1.781293931802425</v>
      </c>
      <c r="M1023" s="3">
        <v>24.8</v>
      </c>
      <c r="N1023" s="3">
        <v>12.34</v>
      </c>
    </row>
    <row r="1024" spans="1:14">
      <c r="A1024" s="8" t="s">
        <v>1036</v>
      </c>
      <c r="B1024" s="2">
        <f>HYPERLINK("https://www.suredividend.com/sure-analysis-FAST/","Fastenal Co.")</f>
        <v>0</v>
      </c>
      <c r="C1024" s="1" t="s">
        <v>3179</v>
      </c>
      <c r="D1024" s="3">
        <v>63.89</v>
      </c>
      <c r="E1024" s="4">
        <v>0.02441696666144937</v>
      </c>
      <c r="F1024" s="4">
        <v>0.1142857142857143</v>
      </c>
      <c r="G1024" s="4">
        <v>0.09301197394385863</v>
      </c>
      <c r="H1024" s="3">
        <v>1.451274134814959</v>
      </c>
      <c r="I1024" s="5">
        <v>36580.056517</v>
      </c>
      <c r="J1024" s="6">
        <v>31.59991060522633</v>
      </c>
      <c r="K1024" s="4">
        <v>0.7184525419876034</v>
      </c>
      <c r="L1024" s="7">
        <v>0.617965914824064</v>
      </c>
      <c r="M1024" s="3">
        <v>78.13</v>
      </c>
      <c r="N1024" s="3">
        <v>51.65</v>
      </c>
    </row>
    <row r="1025" spans="1:14">
      <c r="A1025" s="8" t="s">
        <v>1037</v>
      </c>
      <c r="B1025" s="2">
        <f>HYPERLINK("https://www.suredividend.com/sure-analysis-research-database/","Fate Therapeutics Inc")</f>
        <v>0</v>
      </c>
      <c r="C1025" s="1" t="s">
        <v>3176</v>
      </c>
      <c r="D1025" s="3">
        <v>3.68</v>
      </c>
      <c r="E1025" s="4">
        <v>0</v>
      </c>
      <c r="F1025" s="4" t="s">
        <v>3178</v>
      </c>
      <c r="G1025" s="4" t="s">
        <v>3178</v>
      </c>
      <c r="H1025" s="3">
        <v>0</v>
      </c>
      <c r="I1025" s="5">
        <v>418.901646</v>
      </c>
      <c r="J1025" s="6" t="s">
        <v>3178</v>
      </c>
      <c r="K1025" s="4">
        <v>-0</v>
      </c>
      <c r="L1025" s="7">
        <v>3.085004164639127</v>
      </c>
      <c r="M1025" s="3">
        <v>8.83</v>
      </c>
      <c r="N1025" s="3">
        <v>1.63</v>
      </c>
    </row>
    <row r="1026" spans="1:14">
      <c r="A1026" s="8" t="s">
        <v>1038</v>
      </c>
      <c r="B1026" s="2">
        <f>HYPERLINK("https://www.suredividend.com/sure-analysis-research-database/","Meta Platforms Inc")</f>
        <v>0</v>
      </c>
      <c r="C1026" s="1" t="s">
        <v>3187</v>
      </c>
      <c r="D1026" s="3">
        <v>196.64</v>
      </c>
      <c r="E1026" s="4">
        <v>0</v>
      </c>
      <c r="F1026" s="4" t="s">
        <v>3178</v>
      </c>
      <c r="G1026" s="4" t="s">
        <v>3178</v>
      </c>
      <c r="H1026" s="3">
        <v>0</v>
      </c>
      <c r="I1026" s="5">
        <v>561210.58517</v>
      </c>
      <c r="J1026" s="6">
        <v>15.03054757003374</v>
      </c>
      <c r="K1026" s="4">
        <v>0</v>
      </c>
      <c r="M1026" s="3">
        <v>384.33</v>
      </c>
      <c r="N1026" s="3">
        <v>169</v>
      </c>
    </row>
    <row r="1027" spans="1:14">
      <c r="A1027" s="8" t="s">
        <v>1039</v>
      </c>
      <c r="B1027" s="2">
        <f>HYPERLINK("https://www.suredividend.com/sure-analysis-research-database/","Flagstar Bancorp, Inc.")</f>
        <v>0</v>
      </c>
      <c r="C1027" s="1" t="s">
        <v>3180</v>
      </c>
      <c r="D1027" s="3">
        <v>37.54</v>
      </c>
      <c r="E1027" s="4">
        <v>0.006377948474633001</v>
      </c>
      <c r="F1027" s="4" t="s">
        <v>3178</v>
      </c>
      <c r="G1027" s="4" t="s">
        <v>3178</v>
      </c>
      <c r="H1027" s="3">
        <v>0.239428185737723</v>
      </c>
      <c r="I1027" s="5">
        <v>2002.268577</v>
      </c>
      <c r="J1027" s="6">
        <v>7.388444935202951</v>
      </c>
      <c r="K1027" s="4">
        <v>0.04731782326832471</v>
      </c>
      <c r="M1027" s="3">
        <v>52.97</v>
      </c>
      <c r="N1027" s="3">
        <v>30.77</v>
      </c>
    </row>
    <row r="1028" spans="1:14">
      <c r="A1028" s="8" t="s">
        <v>1040</v>
      </c>
      <c r="B1028" s="2">
        <f>HYPERLINK("https://www.suredividend.com/sure-analysis-research-database/","Fortress Biotech Inc")</f>
        <v>0</v>
      </c>
      <c r="C1028" s="1" t="s">
        <v>3176</v>
      </c>
      <c r="D1028" s="3">
        <v>1.8</v>
      </c>
      <c r="E1028" s="4">
        <v>0</v>
      </c>
      <c r="F1028" s="4" t="s">
        <v>3178</v>
      </c>
      <c r="G1028" s="4" t="s">
        <v>3178</v>
      </c>
      <c r="H1028" s="3">
        <v>0</v>
      </c>
      <c r="I1028" s="5">
        <v>35.849023</v>
      </c>
      <c r="J1028" s="6">
        <v>0</v>
      </c>
      <c r="K1028" s="4" t="s">
        <v>3178</v>
      </c>
      <c r="L1028" s="7">
        <v>1.582736625766108</v>
      </c>
      <c r="M1028" s="3">
        <v>10.65</v>
      </c>
      <c r="N1028" s="3">
        <v>1.24</v>
      </c>
    </row>
    <row r="1029" spans="1:14">
      <c r="A1029" s="8" t="s">
        <v>1041</v>
      </c>
      <c r="B1029" s="2">
        <f>HYPERLINK("https://www.suredividend.com/sure-analysis-research-database/","First Business Financial Services Inc")</f>
        <v>0</v>
      </c>
      <c r="C1029" s="1" t="s">
        <v>3180</v>
      </c>
      <c r="D1029" s="3">
        <v>33.9</v>
      </c>
      <c r="E1029" s="4">
        <v>0.027588436247948</v>
      </c>
      <c r="F1029" s="4">
        <v>0.09890109890109877</v>
      </c>
      <c r="G1029" s="4">
        <v>0.1075663432482901</v>
      </c>
      <c r="H1029" s="3">
        <v>0.9352479888054471</v>
      </c>
      <c r="I1029" s="5">
        <v>280.987167</v>
      </c>
      <c r="J1029" s="6">
        <v>8.003736214999856</v>
      </c>
      <c r="K1029" s="4">
        <v>0.2164925900012609</v>
      </c>
      <c r="L1029" s="7">
        <v>0.821559359785591</v>
      </c>
      <c r="M1029" s="3">
        <v>39.86</v>
      </c>
      <c r="N1029" s="3">
        <v>26.8</v>
      </c>
    </row>
    <row r="1030" spans="1:14">
      <c r="A1030" s="8" t="s">
        <v>1042</v>
      </c>
      <c r="B1030" s="2">
        <f>HYPERLINK("https://www.suredividend.com/sure-analysis-research-database/","FB Financial Corp")</f>
        <v>0</v>
      </c>
      <c r="C1030" s="1" t="s">
        <v>3180</v>
      </c>
      <c r="D1030" s="3">
        <v>35.87</v>
      </c>
      <c r="E1030" s="4">
        <v>0.017727271706898</v>
      </c>
      <c r="F1030" s="4">
        <v>0.1333333333333335</v>
      </c>
      <c r="G1030" s="4">
        <v>0.1627110152194982</v>
      </c>
      <c r="H1030" s="3">
        <v>0.6358772361264631</v>
      </c>
      <c r="I1030" s="5">
        <v>1685.447185</v>
      </c>
      <c r="J1030" s="6">
        <v>15.07650018203286</v>
      </c>
      <c r="K1030" s="4">
        <v>0.2671753092968333</v>
      </c>
      <c r="L1030" s="7">
        <v>1.302974836978051</v>
      </c>
      <c r="M1030" s="3">
        <v>40.63</v>
      </c>
      <c r="N1030" s="3">
        <v>26.23</v>
      </c>
    </row>
    <row r="1031" spans="1:14">
      <c r="A1031" s="8" t="s">
        <v>1043</v>
      </c>
      <c r="B1031" s="2">
        <f>HYPERLINK("https://www.suredividend.com/sure-analysis-research-database/","Foundation Building Materials Inc")</f>
        <v>0</v>
      </c>
      <c r="C1031" s="1" t="s">
        <v>3179</v>
      </c>
      <c r="D1031" s="3">
        <v>19.24</v>
      </c>
      <c r="E1031" s="4">
        <v>0</v>
      </c>
      <c r="F1031" s="4" t="s">
        <v>3178</v>
      </c>
      <c r="G1031" s="4" t="s">
        <v>3178</v>
      </c>
      <c r="H1031" s="3">
        <v>0</v>
      </c>
      <c r="I1031" s="5">
        <v>831.304989</v>
      </c>
      <c r="J1031" s="6">
        <v>18.30423174211732</v>
      </c>
      <c r="K1031" s="4">
        <v>0</v>
      </c>
      <c r="L1031" s="7">
        <v>1.501794591416622</v>
      </c>
      <c r="M1031" s="3">
        <v>19.28</v>
      </c>
      <c r="N1031" s="3">
        <v>8.09</v>
      </c>
    </row>
    <row r="1032" spans="1:14">
      <c r="A1032" s="8" t="s">
        <v>1044</v>
      </c>
      <c r="B1032" s="2">
        <f>HYPERLINK("https://www.suredividend.com/sure-analysis-research-database/","First Bancshares Inc Miss")</f>
        <v>0</v>
      </c>
      <c r="C1032" s="1" t="s">
        <v>3180</v>
      </c>
      <c r="D1032" s="3">
        <v>24.52</v>
      </c>
      <c r="E1032" s="4">
        <v>0.038615285850133</v>
      </c>
      <c r="F1032" s="4">
        <v>0.1363636363636365</v>
      </c>
      <c r="G1032" s="4">
        <v>0.2559432157547901</v>
      </c>
      <c r="H1032" s="3">
        <v>0.9468468090452661</v>
      </c>
      <c r="I1032" s="5">
        <v>765.483162</v>
      </c>
      <c r="J1032" s="6">
        <v>10.1446275563566</v>
      </c>
      <c r="K1032" s="4">
        <v>0.396170212989651</v>
      </c>
      <c r="L1032" s="7">
        <v>1.102502985385739</v>
      </c>
      <c r="M1032" s="3">
        <v>30.45</v>
      </c>
      <c r="N1032" s="3">
        <v>22.14</v>
      </c>
    </row>
    <row r="1033" spans="1:14">
      <c r="A1033" s="8" t="s">
        <v>1045</v>
      </c>
      <c r="B1033" s="2">
        <f>HYPERLINK("https://www.suredividend.com/sure-analysis-research-database/","First Bancorp")</f>
        <v>0</v>
      </c>
      <c r="C1033" s="1" t="s">
        <v>3180</v>
      </c>
      <c r="D1033" s="3">
        <v>31.19</v>
      </c>
      <c r="E1033" s="4">
        <v>0.027680372257918</v>
      </c>
      <c r="F1033" s="4">
        <v>0</v>
      </c>
      <c r="G1033" s="4">
        <v>0.1288813207301975</v>
      </c>
      <c r="H1033" s="3">
        <v>0.8633508107244721</v>
      </c>
      <c r="I1033" s="5">
        <v>1284.098881</v>
      </c>
      <c r="J1033" s="6">
        <v>11.31484281236783</v>
      </c>
      <c r="K1033" s="4">
        <v>0.3139457493543535</v>
      </c>
      <c r="L1033" s="7">
        <v>1.198236886211872</v>
      </c>
      <c r="M1033" s="3">
        <v>37.59</v>
      </c>
      <c r="N1033" s="3">
        <v>25.38</v>
      </c>
    </row>
    <row r="1034" spans="1:14">
      <c r="A1034" s="8" t="s">
        <v>1046</v>
      </c>
      <c r="B1034" s="2">
        <f>HYPERLINK("https://www.suredividend.com/sure-analysis-research-database/","First Bancorp PR")</f>
        <v>0</v>
      </c>
      <c r="C1034" s="1" t="s">
        <v>3180</v>
      </c>
      <c r="D1034" s="3">
        <v>17.34</v>
      </c>
      <c r="E1034" s="4">
        <v>0.034142315060229</v>
      </c>
      <c r="F1034" s="4">
        <v>0.1428571428571428</v>
      </c>
      <c r="G1034" s="4">
        <v>0.3976542375431587</v>
      </c>
      <c r="H1034" s="3">
        <v>0.592027743144375</v>
      </c>
      <c r="I1034" s="5">
        <v>2935.71402</v>
      </c>
      <c r="J1034" s="6">
        <v>9.605639674894642</v>
      </c>
      <c r="K1034" s="4">
        <v>0.3363793995138494</v>
      </c>
      <c r="L1034" s="7">
        <v>1.070224646655049</v>
      </c>
      <c r="M1034" s="3">
        <v>18.45</v>
      </c>
      <c r="N1034" s="3">
        <v>11.35</v>
      </c>
    </row>
    <row r="1035" spans="1:14">
      <c r="A1035" s="8" t="s">
        <v>1047</v>
      </c>
      <c r="B1035" s="2">
        <f>HYPERLINK("https://www.suredividend.com/sure-analysis-research-database/","Fauquier Bankshares, Inc.")</f>
        <v>0</v>
      </c>
      <c r="C1035" s="1" t="s">
        <v>3180</v>
      </c>
      <c r="D1035" s="3">
        <v>21.28</v>
      </c>
      <c r="E1035" s="4">
        <v>0</v>
      </c>
      <c r="F1035" s="4" t="s">
        <v>3178</v>
      </c>
      <c r="G1035" s="4" t="s">
        <v>3178</v>
      </c>
      <c r="H1035" s="3">
        <v>0.5</v>
      </c>
      <c r="I1035" s="5">
        <v>0</v>
      </c>
      <c r="J1035" s="6">
        <v>0</v>
      </c>
      <c r="K1035" s="4" t="s">
        <v>3178</v>
      </c>
    </row>
    <row r="1036" spans="1:14">
      <c r="A1036" s="8" t="s">
        <v>1048</v>
      </c>
      <c r="B1036" s="2">
        <f>HYPERLINK("https://www.suredividend.com/sure-analysis-research-database/","Franklin Covey Co.")</f>
        <v>0</v>
      </c>
      <c r="C1036" s="1" t="s">
        <v>3179</v>
      </c>
      <c r="D1036" s="3">
        <v>35.75</v>
      </c>
      <c r="E1036" s="4">
        <v>0</v>
      </c>
      <c r="F1036" s="4" t="s">
        <v>3178</v>
      </c>
      <c r="G1036" s="4" t="s">
        <v>3178</v>
      </c>
      <c r="H1036" s="3">
        <v>0</v>
      </c>
      <c r="I1036" s="5">
        <v>474.2595</v>
      </c>
      <c r="J1036" s="6">
        <v>27.73447368421053</v>
      </c>
      <c r="K1036" s="4">
        <v>0</v>
      </c>
      <c r="L1036" s="7">
        <v>0.8248635184826091</v>
      </c>
      <c r="M1036" s="3">
        <v>48.76</v>
      </c>
      <c r="N1036" s="3">
        <v>32.19</v>
      </c>
    </row>
    <row r="1037" spans="1:14">
      <c r="A1037" s="8" t="s">
        <v>1049</v>
      </c>
      <c r="B1037" s="2">
        <f>HYPERLINK("https://www.suredividend.com/sure-analysis-research-database/","First Capital Inc.")</f>
        <v>0</v>
      </c>
      <c r="C1037" s="1" t="s">
        <v>3180</v>
      </c>
      <c r="D1037" s="3">
        <v>29.835</v>
      </c>
      <c r="E1037" s="4">
        <v>0.02617671146535</v>
      </c>
      <c r="F1037" s="4">
        <v>0</v>
      </c>
      <c r="G1037" s="4">
        <v>0.02383625553960966</v>
      </c>
      <c r="H1037" s="3">
        <v>0.7809821865687451</v>
      </c>
      <c r="I1037" s="5">
        <v>100.04666</v>
      </c>
      <c r="J1037" s="6">
        <v>0</v>
      </c>
      <c r="K1037" s="4" t="s">
        <v>3178</v>
      </c>
      <c r="M1037" s="3">
        <v>35.94</v>
      </c>
      <c r="N1037" s="3">
        <v>22.12</v>
      </c>
    </row>
    <row r="1038" spans="1:14">
      <c r="A1038" s="8" t="s">
        <v>1050</v>
      </c>
      <c r="B1038" s="2">
        <f>HYPERLINK("https://www.suredividend.com/sure-analysis-research-database/","First Community Bankshares Inc.")</f>
        <v>0</v>
      </c>
      <c r="C1038" s="1" t="s">
        <v>3180</v>
      </c>
      <c r="D1038" s="3">
        <v>33.53</v>
      </c>
      <c r="E1038" s="4">
        <v>0.033718021474233</v>
      </c>
      <c r="F1038" s="4">
        <v>0</v>
      </c>
      <c r="G1038" s="4">
        <v>0.03012896281839894</v>
      </c>
      <c r="H1038" s="3">
        <v>1.130565260031048</v>
      </c>
      <c r="I1038" s="5">
        <v>615.393291</v>
      </c>
      <c r="J1038" s="6">
        <v>12.5378092392478</v>
      </c>
      <c r="K1038" s="4">
        <v>0.4282444166784273</v>
      </c>
      <c r="L1038" s="7">
        <v>0.7784122476474991</v>
      </c>
      <c r="M1038" s="3">
        <v>37.9</v>
      </c>
      <c r="N1038" s="3">
        <v>26.71</v>
      </c>
    </row>
    <row r="1039" spans="1:14">
      <c r="A1039" s="8" t="s">
        <v>1051</v>
      </c>
      <c r="B1039" s="2">
        <f>HYPERLINK("https://www.suredividend.com/sure-analysis-research-database/","First Choice Bancorp")</f>
        <v>0</v>
      </c>
      <c r="C1039" s="1" t="s">
        <v>3180</v>
      </c>
      <c r="D1039" s="3">
        <v>29.1</v>
      </c>
      <c r="E1039" s="4">
        <v>0</v>
      </c>
      <c r="F1039" s="4" t="s">
        <v>3178</v>
      </c>
      <c r="G1039" s="4" t="s">
        <v>3178</v>
      </c>
      <c r="H1039" s="3">
        <v>1</v>
      </c>
      <c r="I1039" s="5">
        <v>0</v>
      </c>
      <c r="J1039" s="6">
        <v>0</v>
      </c>
      <c r="K1039" s="4" t="s">
        <v>3178</v>
      </c>
    </row>
    <row r="1040" spans="1:14">
      <c r="A1040" s="8" t="s">
        <v>1052</v>
      </c>
      <c r="B1040" s="2">
        <f>HYPERLINK("https://www.suredividend.com/sure-analysis-research-database/","First Community Corp.")</f>
        <v>0</v>
      </c>
      <c r="C1040" s="1" t="s">
        <v>3180</v>
      </c>
      <c r="D1040" s="3">
        <v>16.14</v>
      </c>
      <c r="E1040" s="4">
        <v>0.033855868066336</v>
      </c>
      <c r="F1040" s="4">
        <v>0</v>
      </c>
      <c r="G1040" s="4">
        <v>0.04941452284458392</v>
      </c>
      <c r="H1040" s="3">
        <v>0.546433710590674</v>
      </c>
      <c r="I1040" s="5">
        <v>123.132141</v>
      </c>
      <c r="J1040" s="6">
        <v>0</v>
      </c>
      <c r="K1040" s="4" t="s">
        <v>3178</v>
      </c>
      <c r="L1040" s="7">
        <v>0.452033096209227</v>
      </c>
      <c r="M1040" s="3">
        <v>21.29</v>
      </c>
      <c r="N1040" s="3">
        <v>15.14</v>
      </c>
    </row>
    <row r="1041" spans="1:14">
      <c r="A1041" s="8" t="s">
        <v>1053</v>
      </c>
      <c r="B1041" s="2">
        <f>HYPERLINK("https://www.suredividend.com/sure-analysis-research-database/","1st Constitution Bancorp")</f>
        <v>0</v>
      </c>
      <c r="C1041" s="1" t="s">
        <v>3180</v>
      </c>
      <c r="D1041" s="3">
        <v>27.79</v>
      </c>
      <c r="E1041" s="4">
        <v>0</v>
      </c>
      <c r="F1041" s="4" t="s">
        <v>3178</v>
      </c>
      <c r="G1041" s="4" t="s">
        <v>3178</v>
      </c>
      <c r="H1041" s="3">
        <v>0.390000008046627</v>
      </c>
      <c r="I1041" s="5">
        <v>0</v>
      </c>
      <c r="J1041" s="6">
        <v>0</v>
      </c>
      <c r="K1041" s="4" t="s">
        <v>3178</v>
      </c>
    </row>
    <row r="1042" spans="1:14">
      <c r="A1042" s="8" t="s">
        <v>1054</v>
      </c>
      <c r="B1042" s="2">
        <f>HYPERLINK("https://www.suredividend.com/sure-analysis-research-database/","Fuelcell Energy Inc")</f>
        <v>0</v>
      </c>
      <c r="C1042" s="1" t="s">
        <v>3179</v>
      </c>
      <c r="D1042" s="3">
        <v>0.8692000000000001</v>
      </c>
      <c r="E1042" s="4">
        <v>0</v>
      </c>
      <c r="F1042" s="4" t="s">
        <v>3178</v>
      </c>
      <c r="G1042" s="4" t="s">
        <v>3178</v>
      </c>
      <c r="H1042" s="3">
        <v>0</v>
      </c>
      <c r="I1042" s="5">
        <v>392.758497</v>
      </c>
      <c r="J1042" s="6" t="s">
        <v>3178</v>
      </c>
      <c r="K1042" s="4">
        <v>-0</v>
      </c>
      <c r="L1042" s="7">
        <v>2.749001543711601</v>
      </c>
      <c r="M1042" s="3">
        <v>2.94</v>
      </c>
      <c r="N1042" s="3">
        <v>0.64</v>
      </c>
    </row>
    <row r="1043" spans="1:14">
      <c r="A1043" s="8" t="s">
        <v>1055</v>
      </c>
      <c r="B1043" s="2">
        <f>HYPERLINK("https://www.suredividend.com/sure-analysis-research-database/","First Commonwealth Financial Corp.")</f>
        <v>0</v>
      </c>
      <c r="C1043" s="1" t="s">
        <v>3180</v>
      </c>
      <c r="D1043" s="3">
        <v>13.28</v>
      </c>
      <c r="E1043" s="4">
        <v>0.037483910028338</v>
      </c>
      <c r="F1043" s="4">
        <v>0.04000000000000004</v>
      </c>
      <c r="G1043" s="4">
        <v>0.05387395206178347</v>
      </c>
      <c r="H1043" s="3">
        <v>0.497786325176331</v>
      </c>
      <c r="I1043" s="5">
        <v>1358.507108</v>
      </c>
      <c r="J1043" s="6">
        <v>8.264028445871961</v>
      </c>
      <c r="K1043" s="4">
        <v>0.3111164532352069</v>
      </c>
      <c r="L1043" s="7">
        <v>0.9472718851561051</v>
      </c>
      <c r="M1043" s="3">
        <v>15.59</v>
      </c>
      <c r="N1043" s="3">
        <v>10.84</v>
      </c>
    </row>
    <row r="1044" spans="1:14">
      <c r="A1044" s="8" t="s">
        <v>1056</v>
      </c>
      <c r="B1044" s="2">
        <f>HYPERLINK("https://www.suredividend.com/sure-analysis-research-database/","FirstCash Holdings Inc")</f>
        <v>0</v>
      </c>
      <c r="C1044" s="1" t="s">
        <v>3180</v>
      </c>
      <c r="D1044" s="3">
        <v>112.47</v>
      </c>
      <c r="E1044" s="4">
        <v>0.012336288301514</v>
      </c>
      <c r="F1044" s="4">
        <v>0.06060606060606055</v>
      </c>
      <c r="G1044" s="4">
        <v>0.06961037572506878</v>
      </c>
      <c r="H1044" s="3">
        <v>1.387462345271347</v>
      </c>
      <c r="I1044" s="5">
        <v>5114.381826</v>
      </c>
      <c r="J1044" s="6">
        <v>21.92369642645565</v>
      </c>
      <c r="K1044" s="4">
        <v>0.2704604961542587</v>
      </c>
      <c r="L1044" s="7">
        <v>0.5784533100661741</v>
      </c>
      <c r="M1044" s="3">
        <v>132.85</v>
      </c>
      <c r="N1044" s="3">
        <v>86.45</v>
      </c>
    </row>
    <row r="1045" spans="1:14">
      <c r="A1045" s="8" t="s">
        <v>1057</v>
      </c>
      <c r="B1045" s="2">
        <f>HYPERLINK("https://www.suredividend.com/sure-analysis-research-database/","FTI Consulting Inc.")</f>
        <v>0</v>
      </c>
      <c r="C1045" s="1" t="s">
        <v>3179</v>
      </c>
      <c r="D1045" s="3">
        <v>217.14</v>
      </c>
      <c r="E1045" s="4">
        <v>0</v>
      </c>
      <c r="F1045" s="4" t="s">
        <v>3178</v>
      </c>
      <c r="G1045" s="4" t="s">
        <v>3178</v>
      </c>
      <c r="H1045" s="3">
        <v>0</v>
      </c>
      <c r="I1045" s="5">
        <v>7751.898</v>
      </c>
      <c r="J1045" s="6">
        <v>25.22501057564024</v>
      </c>
      <c r="K1045" s="4">
        <v>0</v>
      </c>
      <c r="L1045" s="7">
        <v>0.452681708863108</v>
      </c>
      <c r="M1045" s="3">
        <v>232.15</v>
      </c>
      <c r="N1045" s="3">
        <v>171.81</v>
      </c>
    </row>
    <row r="1046" spans="1:14">
      <c r="A1046" s="8" t="s">
        <v>1058</v>
      </c>
      <c r="B1046" s="2">
        <f>HYPERLINK("https://www.suredividend.com/sure-analysis-research-database/","First Citizens Bancshares, Inc (NC)")</f>
        <v>0</v>
      </c>
      <c r="C1046" s="1" t="s">
        <v>3180</v>
      </c>
      <c r="D1046" s="3">
        <v>1688.8</v>
      </c>
      <c r="E1046" s="4">
        <v>0.003348892888576</v>
      </c>
      <c r="F1046" s="4">
        <v>1.186666666666667</v>
      </c>
      <c r="G1046" s="4">
        <v>0.3260404475662166</v>
      </c>
      <c r="H1046" s="3">
        <v>5.655610310227553</v>
      </c>
      <c r="I1046" s="5">
        <v>22840.26004</v>
      </c>
      <c r="J1046" s="6">
        <v>8.720985124093165</v>
      </c>
      <c r="K1046" s="4">
        <v>0.03139563844913708</v>
      </c>
      <c r="L1046" s="7">
        <v>0.7233186449089091</v>
      </c>
      <c r="M1046" s="3">
        <v>1806.59</v>
      </c>
      <c r="N1046" s="3">
        <v>1173.02</v>
      </c>
    </row>
    <row r="1047" spans="1:14">
      <c r="A1047" s="8" t="s">
        <v>1059</v>
      </c>
      <c r="B1047" s="2">
        <f>HYPERLINK("https://www.suredividend.com/sure-analysis-FCPT/","Four Corners Property Trust Inc")</f>
        <v>0</v>
      </c>
      <c r="C1047" s="1" t="s">
        <v>3183</v>
      </c>
      <c r="D1047" s="3">
        <v>24.16</v>
      </c>
      <c r="E1047" s="4">
        <v>0.05794701986754967</v>
      </c>
      <c r="F1047" s="4">
        <v>0.01470588235294112</v>
      </c>
      <c r="G1047" s="4">
        <v>0.03713728933664817</v>
      </c>
      <c r="H1047" s="3">
        <v>1.341244391179738</v>
      </c>
      <c r="I1047" s="5">
        <v>2222.393139</v>
      </c>
      <c r="J1047" s="6">
        <v>23.08740015956784</v>
      </c>
      <c r="K1047" s="4">
        <v>1.253499431009101</v>
      </c>
      <c r="L1047" s="7">
        <v>0.8157785298418041</v>
      </c>
      <c r="M1047" s="3">
        <v>26.43</v>
      </c>
      <c r="N1047" s="3">
        <v>19.95</v>
      </c>
    </row>
    <row r="1048" spans="1:14">
      <c r="A1048" s="8" t="s">
        <v>1060</v>
      </c>
      <c r="B1048" s="2">
        <f>HYPERLINK("https://www.suredividend.com/sure-analysis-research-database/","Freeport-McMoRan Inc")</f>
        <v>0</v>
      </c>
      <c r="C1048" s="1" t="s">
        <v>3177</v>
      </c>
      <c r="D1048" s="3">
        <v>49.27</v>
      </c>
      <c r="E1048" s="4">
        <v>0.012147132690983</v>
      </c>
      <c r="F1048" s="4">
        <v>0</v>
      </c>
      <c r="G1048" s="4">
        <v>0</v>
      </c>
      <c r="H1048" s="3">
        <v>0.598489227684735</v>
      </c>
      <c r="I1048" s="5">
        <v>70775.861167</v>
      </c>
      <c r="J1048" s="6">
        <v>42.84253097263318</v>
      </c>
      <c r="K1048" s="4">
        <v>0.5249905506006447</v>
      </c>
      <c r="L1048" s="7">
        <v>1.402163843792406</v>
      </c>
      <c r="M1048" s="3">
        <v>55.24</v>
      </c>
      <c r="N1048" s="3">
        <v>32.72</v>
      </c>
    </row>
    <row r="1049" spans="1:14">
      <c r="A1049" s="8" t="s">
        <v>1061</v>
      </c>
      <c r="B1049" s="2">
        <f>HYPERLINK("https://www.suredividend.com/sure-analysis-research-database/","Fidelity D&amp;D Bancorp, Inc.")</f>
        <v>0</v>
      </c>
      <c r="C1049" s="1" t="s">
        <v>3180</v>
      </c>
      <c r="D1049" s="3">
        <v>45.46</v>
      </c>
      <c r="E1049" s="4">
        <v>0.032221670206386</v>
      </c>
      <c r="F1049" s="4">
        <v>0.05555555555555558</v>
      </c>
      <c r="G1049" s="4">
        <v>0.07885244396237145</v>
      </c>
      <c r="H1049" s="3">
        <v>1.464797127582352</v>
      </c>
      <c r="I1049" s="5">
        <v>260.746377</v>
      </c>
      <c r="J1049" s="6">
        <v>0</v>
      </c>
      <c r="K1049" s="4" t="s">
        <v>3178</v>
      </c>
      <c r="L1049" s="7">
        <v>0.8681559509822291</v>
      </c>
      <c r="M1049" s="3">
        <v>58.9</v>
      </c>
      <c r="N1049" s="3">
        <v>40.31</v>
      </c>
    </row>
    <row r="1050" spans="1:14">
      <c r="A1050" s="8" t="s">
        <v>1062</v>
      </c>
      <c r="B1050" s="2">
        <f>HYPERLINK("https://www.suredividend.com/sure-analysis-research-database/","Fresh Del Monte Produce Inc")</f>
        <v>0</v>
      </c>
      <c r="C1050" s="1" t="s">
        <v>3184</v>
      </c>
      <c r="D1050" s="3">
        <v>22.62</v>
      </c>
      <c r="E1050" s="4">
        <v>0.03924006179554</v>
      </c>
      <c r="F1050" s="4">
        <v>0.25</v>
      </c>
      <c r="G1050" s="4">
        <v>0.2559432157547901</v>
      </c>
      <c r="H1050" s="3">
        <v>0.8876101978151241</v>
      </c>
      <c r="I1050" s="5">
        <v>1083.458189</v>
      </c>
      <c r="J1050" s="6" t="s">
        <v>3178</v>
      </c>
      <c r="K1050" s="4" t="s">
        <v>3178</v>
      </c>
      <c r="L1050" s="7">
        <v>0.321183480639477</v>
      </c>
      <c r="M1050" s="3">
        <v>27.53</v>
      </c>
      <c r="N1050" s="3">
        <v>20.79</v>
      </c>
    </row>
    <row r="1051" spans="1:14">
      <c r="A1051" s="8" t="s">
        <v>1063</v>
      </c>
      <c r="B1051" s="2">
        <f>HYPERLINK("https://www.suredividend.com/sure-analysis-FDS/","Factset Research Systems Inc.")</f>
        <v>0</v>
      </c>
      <c r="C1051" s="1" t="s">
        <v>3180</v>
      </c>
      <c r="D1051" s="3">
        <v>409.93</v>
      </c>
      <c r="E1051" s="4">
        <v>0.009562608250189057</v>
      </c>
      <c r="F1051" s="4">
        <v>0.06122448979591844</v>
      </c>
      <c r="G1051" s="4">
        <v>0.07631692251481081</v>
      </c>
      <c r="H1051" s="3">
        <v>3.9662332038822</v>
      </c>
      <c r="I1051" s="5">
        <v>15624.823832</v>
      </c>
      <c r="J1051" s="6">
        <v>31.93451527788962</v>
      </c>
      <c r="K1051" s="4">
        <v>0.3140327160635154</v>
      </c>
      <c r="L1051" s="7">
        <v>0.647013869300891</v>
      </c>
      <c r="M1051" s="3">
        <v>487.39</v>
      </c>
      <c r="N1051" s="3">
        <v>381.78</v>
      </c>
    </row>
    <row r="1052" spans="1:14">
      <c r="A1052" s="8" t="s">
        <v>1064</v>
      </c>
      <c r="B1052" s="2">
        <f>HYPERLINK("https://www.suredividend.com/sure-analysis-FDX/","Fedex Corp")</f>
        <v>0</v>
      </c>
      <c r="C1052" s="1" t="s">
        <v>3179</v>
      </c>
      <c r="D1052" s="3">
        <v>247.73</v>
      </c>
      <c r="E1052" s="4">
        <v>0.02034473014975982</v>
      </c>
      <c r="F1052" s="4">
        <v>0.09565217391304359</v>
      </c>
      <c r="G1052" s="4">
        <v>0.1415407984224459</v>
      </c>
      <c r="H1052" s="3">
        <v>5.003025221458181</v>
      </c>
      <c r="I1052" s="5">
        <v>60961.584198</v>
      </c>
      <c r="J1052" s="6">
        <v>13.87066762172924</v>
      </c>
      <c r="K1052" s="4">
        <v>0.2865421089036759</v>
      </c>
      <c r="L1052" s="7">
        <v>0.9134758284304091</v>
      </c>
      <c r="M1052" s="3">
        <v>291.27</v>
      </c>
      <c r="N1052" s="3">
        <v>218.77</v>
      </c>
    </row>
    <row r="1053" spans="1:14">
      <c r="A1053" s="8" t="s">
        <v>1065</v>
      </c>
      <c r="B1053" s="2">
        <f>HYPERLINK("https://www.suredividend.com/sure-analysis-FE/","Firstenergy Corp.")</f>
        <v>0</v>
      </c>
      <c r="C1053" s="1" t="s">
        <v>3186</v>
      </c>
      <c r="D1053" s="3">
        <v>38.82</v>
      </c>
      <c r="E1053" s="4">
        <v>0.04379185986604843</v>
      </c>
      <c r="F1053" s="4">
        <v>0.08974358974358965</v>
      </c>
      <c r="G1053" s="4">
        <v>0.02263597526826988</v>
      </c>
      <c r="H1053" s="3">
        <v>1.60869009039273</v>
      </c>
      <c r="I1053" s="5">
        <v>22341.549443</v>
      </c>
      <c r="J1053" s="6">
        <v>21.37947315123445</v>
      </c>
      <c r="K1053" s="4">
        <v>0.8838956540619395</v>
      </c>
      <c r="L1053" s="7">
        <v>0.494571845130345</v>
      </c>
      <c r="M1053" s="3">
        <v>40.65</v>
      </c>
      <c r="N1053" s="3">
        <v>31.12</v>
      </c>
    </row>
    <row r="1054" spans="1:14">
      <c r="A1054" s="8" t="s">
        <v>1066</v>
      </c>
      <c r="B1054" s="2">
        <f>HYPERLINK("https://www.suredividend.com/sure-analysis-research-database/","Frequency Electronics, Inc.")</f>
        <v>0</v>
      </c>
      <c r="C1054" s="1" t="s">
        <v>3181</v>
      </c>
      <c r="D1054" s="3">
        <v>9.345000000000001</v>
      </c>
      <c r="E1054" s="4">
        <v>0</v>
      </c>
      <c r="F1054" s="4" t="s">
        <v>3178</v>
      </c>
      <c r="G1054" s="4" t="s">
        <v>3178</v>
      </c>
      <c r="H1054" s="3">
        <v>0</v>
      </c>
      <c r="I1054" s="5">
        <v>88.659211</v>
      </c>
      <c r="J1054" s="6">
        <v>0</v>
      </c>
      <c r="K1054" s="4" t="s">
        <v>3178</v>
      </c>
      <c r="M1054" s="3">
        <v>11.41</v>
      </c>
      <c r="N1054" s="3">
        <v>6.22</v>
      </c>
    </row>
    <row r="1055" spans="1:14">
      <c r="A1055" s="8" t="s">
        <v>1067</v>
      </c>
      <c r="B1055" s="2">
        <f>HYPERLINK("https://www.suredividend.com/sure-analysis-FELE/","Franklin Electric Co., Inc.")</f>
        <v>0</v>
      </c>
      <c r="C1055" s="1" t="s">
        <v>3179</v>
      </c>
      <c r="D1055" s="3">
        <v>96.40000000000001</v>
      </c>
      <c r="E1055" s="4">
        <v>0.01037344398340249</v>
      </c>
      <c r="F1055" s="4">
        <v>0.1111111111111112</v>
      </c>
      <c r="G1055" s="4">
        <v>0.1151015032663814</v>
      </c>
      <c r="H1055" s="3">
        <v>0.9429087479713071</v>
      </c>
      <c r="I1055" s="5">
        <v>4442.139378</v>
      </c>
      <c r="J1055" s="6">
        <v>23.60253858856785</v>
      </c>
      <c r="K1055" s="4">
        <v>0.2345544149182356</v>
      </c>
      <c r="L1055" s="7">
        <v>1.035034751877299</v>
      </c>
      <c r="M1055" s="3">
        <v>107.33</v>
      </c>
      <c r="N1055" s="3">
        <v>81.33</v>
      </c>
    </row>
    <row r="1056" spans="1:14">
      <c r="A1056" s="8" t="s">
        <v>1068</v>
      </c>
      <c r="B1056" s="2">
        <f>HYPERLINK("https://www.suredividend.com/sure-analysis-research-database/","Forum Energy Technologies Inc")</f>
        <v>0</v>
      </c>
      <c r="C1056" s="1" t="s">
        <v>3185</v>
      </c>
      <c r="D1056" s="3">
        <v>17.24</v>
      </c>
      <c r="E1056" s="4">
        <v>0</v>
      </c>
      <c r="F1056" s="4" t="s">
        <v>3178</v>
      </c>
      <c r="G1056" s="4" t="s">
        <v>3178</v>
      </c>
      <c r="H1056" s="3">
        <v>0</v>
      </c>
      <c r="I1056" s="5">
        <v>211.770471</v>
      </c>
      <c r="J1056" s="6" t="s">
        <v>3178</v>
      </c>
      <c r="K1056" s="4">
        <v>-0</v>
      </c>
      <c r="L1056" s="7">
        <v>0.6626182795019531</v>
      </c>
      <c r="M1056" s="3">
        <v>28.73</v>
      </c>
      <c r="N1056" s="3">
        <v>16.1</v>
      </c>
    </row>
    <row r="1057" spans="1:14">
      <c r="A1057" s="8" t="s">
        <v>1069</v>
      </c>
      <c r="B1057" s="2">
        <f>HYPERLINK("https://www.suredividend.com/sure-analysis-research-database/","Futurefuel Corp")</f>
        <v>0</v>
      </c>
      <c r="C1057" s="1" t="s">
        <v>3177</v>
      </c>
      <c r="D1057" s="3">
        <v>4.33</v>
      </c>
      <c r="E1057" s="4">
        <v>0.04206527063981801</v>
      </c>
      <c r="F1057" s="4">
        <v>-0.976</v>
      </c>
      <c r="G1057" s="4">
        <v>0</v>
      </c>
      <c r="H1057" s="3">
        <v>0.182142621870414</v>
      </c>
      <c r="I1057" s="5">
        <v>189.494842</v>
      </c>
      <c r="J1057" s="6">
        <v>5.069146706703761</v>
      </c>
      <c r="K1057" s="4">
        <v>0.2132318214357457</v>
      </c>
      <c r="L1057" s="7">
        <v>0.6993092653574341</v>
      </c>
      <c r="M1057" s="3">
        <v>6.87</v>
      </c>
      <c r="N1057" s="3">
        <v>3.54</v>
      </c>
    </row>
    <row r="1058" spans="1:14">
      <c r="A1058" s="8" t="s">
        <v>1070</v>
      </c>
      <c r="B1058" s="2">
        <f>HYPERLINK("https://www.suredividend.com/sure-analysis-research-database/","First Financial Bancorp")</f>
        <v>0</v>
      </c>
      <c r="C1058" s="1" t="s">
        <v>3180</v>
      </c>
      <c r="D1058" s="3">
        <v>21.44</v>
      </c>
      <c r="E1058" s="4">
        <v>0.041576981552901</v>
      </c>
      <c r="F1058" s="4">
        <v>0</v>
      </c>
      <c r="G1058" s="4">
        <v>0</v>
      </c>
      <c r="H1058" s="3">
        <v>0.891410484494204</v>
      </c>
      <c r="I1058" s="5">
        <v>2046.658262</v>
      </c>
      <c r="J1058" s="6">
        <v>8.66680893029401</v>
      </c>
      <c r="K1058" s="4">
        <v>0.3594397114895984</v>
      </c>
      <c r="L1058" s="7">
        <v>1.062814912984381</v>
      </c>
      <c r="M1058" s="3">
        <v>23.59</v>
      </c>
      <c r="N1058" s="3">
        <v>16.15</v>
      </c>
    </row>
    <row r="1059" spans="1:14">
      <c r="A1059" s="8" t="s">
        <v>1071</v>
      </c>
      <c r="B1059" s="2">
        <f>HYPERLINK("https://www.suredividend.com/sure-analysis-research-database/","FBL Financial Group, Inc.")</f>
        <v>0</v>
      </c>
      <c r="C1059" s="1" t="s">
        <v>3180</v>
      </c>
      <c r="D1059" s="3">
        <v>60.99</v>
      </c>
      <c r="E1059" s="4">
        <v>0.032664680854819</v>
      </c>
      <c r="F1059" s="4" t="s">
        <v>3178</v>
      </c>
      <c r="G1059" s="4" t="s">
        <v>3178</v>
      </c>
      <c r="H1059" s="3">
        <v>1.992218885335427</v>
      </c>
      <c r="I1059" s="5">
        <v>1487.247798</v>
      </c>
      <c r="J1059" s="6">
        <v>14.5015288705903</v>
      </c>
      <c r="K1059" s="4">
        <v>0.4766073888362266</v>
      </c>
      <c r="L1059" s="7">
        <v>0.5068456660864551</v>
      </c>
      <c r="M1059" s="3">
        <v>61.01</v>
      </c>
      <c r="N1059" s="3">
        <v>32</v>
      </c>
    </row>
    <row r="1060" spans="1:14">
      <c r="A1060" s="8" t="s">
        <v>1072</v>
      </c>
      <c r="B1060" s="2">
        <f>HYPERLINK("https://www.suredividend.com/sure-analysis-research-database/","Flushing Financial Corp.")</f>
        <v>0</v>
      </c>
      <c r="C1060" s="1" t="s">
        <v>3180</v>
      </c>
      <c r="D1060" s="3">
        <v>12.62</v>
      </c>
      <c r="E1060" s="4">
        <v>0.051203557761397</v>
      </c>
      <c r="F1060" s="4">
        <v>0</v>
      </c>
      <c r="G1060" s="4">
        <v>0.009347419909568888</v>
      </c>
      <c r="H1060" s="3">
        <v>0.646188898948838</v>
      </c>
      <c r="I1060" s="5">
        <v>366.849266</v>
      </c>
      <c r="J1060" s="6">
        <v>12.96103962690786</v>
      </c>
      <c r="K1060" s="4">
        <v>0.6801988409987768</v>
      </c>
      <c r="L1060" s="7">
        <v>1.348412102633162</v>
      </c>
      <c r="M1060" s="3">
        <v>17.69</v>
      </c>
      <c r="N1060" s="3">
        <v>10.74</v>
      </c>
    </row>
    <row r="1061" spans="1:14">
      <c r="A1061" s="8" t="s">
        <v>1073</v>
      </c>
      <c r="B1061" s="2">
        <f>HYPERLINK("https://www.suredividend.com/sure-analysis-FFIN/","First Financial Bankshares, Inc.")</f>
        <v>0</v>
      </c>
      <c r="C1061" s="1" t="s">
        <v>3180</v>
      </c>
      <c r="D1061" s="3">
        <v>28.84</v>
      </c>
      <c r="E1061" s="4">
        <v>0.02496532593619972</v>
      </c>
      <c r="F1061" s="4">
        <v>0.0588235294117645</v>
      </c>
      <c r="G1061" s="4">
        <v>0.08447177119769855</v>
      </c>
      <c r="H1061" s="3">
        <v>0.7083116402477071</v>
      </c>
      <c r="I1061" s="5">
        <v>4119.5347</v>
      </c>
      <c r="J1061" s="6">
        <v>20.61767264026105</v>
      </c>
      <c r="K1061" s="4">
        <v>0.5095767196026669</v>
      </c>
      <c r="L1061" s="7">
        <v>1.277523324105935</v>
      </c>
      <c r="M1061" s="3">
        <v>32.94</v>
      </c>
      <c r="N1061" s="3">
        <v>22.3</v>
      </c>
    </row>
    <row r="1062" spans="1:14">
      <c r="A1062" s="8" t="s">
        <v>1074</v>
      </c>
      <c r="B1062" s="2">
        <f>HYPERLINK("https://www.suredividend.com/sure-analysis-research-database/","F5 Inc")</f>
        <v>0</v>
      </c>
      <c r="C1062" s="1" t="s">
        <v>3181</v>
      </c>
      <c r="D1062" s="3">
        <v>165.57</v>
      </c>
      <c r="E1062" s="4">
        <v>0</v>
      </c>
      <c r="F1062" s="4" t="s">
        <v>3178</v>
      </c>
      <c r="G1062" s="4" t="s">
        <v>3178</v>
      </c>
      <c r="H1062" s="3">
        <v>0</v>
      </c>
      <c r="I1062" s="5">
        <v>9704.294465000001</v>
      </c>
      <c r="J1062" s="6">
        <v>19.46648224840676</v>
      </c>
      <c r="K1062" s="4">
        <v>0</v>
      </c>
      <c r="L1062" s="7">
        <v>1.030050415393875</v>
      </c>
      <c r="M1062" s="3">
        <v>199.49</v>
      </c>
      <c r="N1062" s="3">
        <v>142.16</v>
      </c>
    </row>
    <row r="1063" spans="1:14">
      <c r="A1063" s="8" t="s">
        <v>1075</v>
      </c>
      <c r="B1063" s="2">
        <f>HYPERLINK("https://www.suredividend.com/sure-analysis-research-database/","First Financial Northwest Inc")</f>
        <v>0</v>
      </c>
      <c r="C1063" s="1" t="s">
        <v>3180</v>
      </c>
      <c r="D1063" s="3">
        <v>20.94</v>
      </c>
      <c r="E1063" s="4">
        <v>0.024319521330901</v>
      </c>
      <c r="F1063" s="4">
        <v>0</v>
      </c>
      <c r="G1063" s="4">
        <v>0.07631692251481081</v>
      </c>
      <c r="H1063" s="3">
        <v>0.509250776669076</v>
      </c>
      <c r="I1063" s="5">
        <v>192.11246</v>
      </c>
      <c r="J1063" s="6">
        <v>0</v>
      </c>
      <c r="K1063" s="4" t="s">
        <v>3178</v>
      </c>
      <c r="L1063" s="7">
        <v>0.17843038533516</v>
      </c>
      <c r="M1063" s="3">
        <v>21.62</v>
      </c>
      <c r="N1063" s="3">
        <v>9.630000000000001</v>
      </c>
    </row>
    <row r="1064" spans="1:14">
      <c r="A1064" s="8" t="s">
        <v>1076</v>
      </c>
      <c r="B1064" s="2">
        <f>HYPERLINK("https://www.suredividend.com/sure-analysis-research-database/","First Foundation Inc")</f>
        <v>0</v>
      </c>
      <c r="C1064" s="1" t="s">
        <v>3180</v>
      </c>
      <c r="D1064" s="3">
        <v>5.69</v>
      </c>
      <c r="E1064" s="4">
        <v>0.008768688616748</v>
      </c>
      <c r="F1064" s="4">
        <v>-0.5</v>
      </c>
      <c r="G1064" s="4">
        <v>-0.2752203363223045</v>
      </c>
      <c r="H1064" s="3">
        <v>0.049893838229297</v>
      </c>
      <c r="I1064" s="5">
        <v>321.552506</v>
      </c>
      <c r="J1064" s="6" t="s">
        <v>3178</v>
      </c>
      <c r="K1064" s="4" t="s">
        <v>3178</v>
      </c>
      <c r="L1064" s="7">
        <v>2.034792705940054</v>
      </c>
      <c r="M1064" s="3">
        <v>11.44</v>
      </c>
      <c r="N1064" s="3">
        <v>3.67</v>
      </c>
    </row>
    <row r="1065" spans="1:14">
      <c r="A1065" s="8" t="s">
        <v>1077</v>
      </c>
      <c r="B1065" s="2">
        <f>HYPERLINK("https://www.suredividend.com/sure-analysis-research-database/","F&amp;G Annuities &amp; Life Inc")</f>
        <v>0</v>
      </c>
      <c r="C1065" s="1" t="s">
        <v>3180</v>
      </c>
      <c r="D1065" s="3">
        <v>39.05</v>
      </c>
      <c r="E1065" s="4">
        <v>0.020827617395284</v>
      </c>
      <c r="F1065" s="4" t="s">
        <v>3178</v>
      </c>
      <c r="G1065" s="4" t="s">
        <v>3178</v>
      </c>
      <c r="H1065" s="3">
        <v>0.81331845928584</v>
      </c>
      <c r="I1065" s="5">
        <v>4925.734237</v>
      </c>
      <c r="J1065" s="6">
        <v>0</v>
      </c>
      <c r="K1065" s="4" t="s">
        <v>3178</v>
      </c>
      <c r="L1065" s="7">
        <v>1.00455782686366</v>
      </c>
      <c r="M1065" s="3">
        <v>48.43</v>
      </c>
      <c r="N1065" s="3">
        <v>20.11</v>
      </c>
    </row>
    <row r="1066" spans="1:14">
      <c r="A1066" s="8" t="s">
        <v>1078</v>
      </c>
      <c r="B1066" s="2">
        <f>HYPERLINK("https://www.suredividend.com/sure-analysis-research-database/","First Guaranty Bancshares Inc")</f>
        <v>0</v>
      </c>
      <c r="C1066" s="1" t="s">
        <v>3180</v>
      </c>
      <c r="D1066" s="3">
        <v>10.4</v>
      </c>
      <c r="E1066" s="4">
        <v>0.058922441342644</v>
      </c>
      <c r="F1066" s="4" t="s">
        <v>3178</v>
      </c>
      <c r="G1066" s="4" t="s">
        <v>3178</v>
      </c>
      <c r="H1066" s="3">
        <v>0.6127933899634991</v>
      </c>
      <c r="I1066" s="5">
        <v>130.049057</v>
      </c>
      <c r="J1066" s="6">
        <v>0</v>
      </c>
      <c r="K1066" s="4" t="s">
        <v>3178</v>
      </c>
      <c r="L1066" s="7">
        <v>0.303297510235523</v>
      </c>
      <c r="M1066" s="3">
        <v>13.62</v>
      </c>
      <c r="N1066" s="3">
        <v>8.720000000000001</v>
      </c>
    </row>
    <row r="1067" spans="1:14">
      <c r="A1067" s="8" t="s">
        <v>1079</v>
      </c>
      <c r="B1067" s="2">
        <f>HYPERLINK("https://www.suredividend.com/sure-analysis-research-database/","FibroGen Inc")</f>
        <v>0</v>
      </c>
      <c r="C1067" s="1" t="s">
        <v>3176</v>
      </c>
      <c r="D1067" s="3">
        <v>1.1</v>
      </c>
      <c r="E1067" s="4">
        <v>0</v>
      </c>
      <c r="F1067" s="4" t="s">
        <v>3178</v>
      </c>
      <c r="G1067" s="4" t="s">
        <v>3178</v>
      </c>
      <c r="H1067" s="3">
        <v>0</v>
      </c>
      <c r="I1067" s="5">
        <v>109.421838</v>
      </c>
      <c r="J1067" s="6" t="s">
        <v>3178</v>
      </c>
      <c r="K1067" s="4">
        <v>-0</v>
      </c>
      <c r="L1067" s="7">
        <v>3.404779392436003</v>
      </c>
      <c r="M1067" s="3">
        <v>18.21</v>
      </c>
      <c r="N1067" s="3">
        <v>0.3333</v>
      </c>
    </row>
    <row r="1068" spans="1:14">
      <c r="A1068" s="8" t="s">
        <v>1080</v>
      </c>
      <c r="B1068" s="2">
        <f>HYPERLINK("https://www.suredividend.com/sure-analysis-research-database/","First Hawaiian INC")</f>
        <v>0</v>
      </c>
      <c r="C1068" s="1" t="s">
        <v>3180</v>
      </c>
      <c r="D1068" s="3">
        <v>19.95</v>
      </c>
      <c r="E1068" s="4">
        <v>0.05073394590616</v>
      </c>
      <c r="F1068" s="4">
        <v>0</v>
      </c>
      <c r="G1068" s="4">
        <v>0</v>
      </c>
      <c r="H1068" s="3">
        <v>1.012142220827893</v>
      </c>
      <c r="I1068" s="5">
        <v>2550.446065</v>
      </c>
      <c r="J1068" s="6">
        <v>11.46860653641208</v>
      </c>
      <c r="K1068" s="4">
        <v>0.5816909315102833</v>
      </c>
      <c r="L1068" s="7">
        <v>0.9444596742533591</v>
      </c>
      <c r="M1068" s="3">
        <v>22.4</v>
      </c>
      <c r="N1068" s="3">
        <v>16.35</v>
      </c>
    </row>
    <row r="1069" spans="1:14">
      <c r="A1069" s="8" t="s">
        <v>1081</v>
      </c>
      <c r="B1069" s="2">
        <f>HYPERLINK("https://www.suredividend.com/sure-analysis-research-database/","First Horizon Corporation")</f>
        <v>0</v>
      </c>
      <c r="C1069" s="1" t="s">
        <v>3180</v>
      </c>
      <c r="D1069" s="3">
        <v>15.24</v>
      </c>
      <c r="E1069" s="4">
        <v>0.038736761389902</v>
      </c>
      <c r="F1069" s="4">
        <v>0</v>
      </c>
      <c r="G1069" s="4">
        <v>0.01389421401466451</v>
      </c>
      <c r="H1069" s="3">
        <v>0.590348243582107</v>
      </c>
      <c r="I1069" s="5">
        <v>8334.263489000001</v>
      </c>
      <c r="J1069" s="6">
        <v>10.34027728153846</v>
      </c>
      <c r="K1069" s="4">
        <v>0.4099640580431299</v>
      </c>
      <c r="L1069" s="7">
        <v>1.071104172484704</v>
      </c>
      <c r="M1069" s="3">
        <v>16.28</v>
      </c>
      <c r="N1069" s="3">
        <v>9.869999999999999</v>
      </c>
    </row>
    <row r="1070" spans="1:14">
      <c r="A1070" s="8" t="s">
        <v>1082</v>
      </c>
      <c r="B1070" s="2">
        <f>HYPERLINK("https://www.suredividend.com/sure-analysis-research-database/","Fiserv, Inc.")</f>
        <v>0</v>
      </c>
      <c r="C1070" s="1" t="s">
        <v>3185</v>
      </c>
      <c r="D1070" s="3">
        <v>151.42</v>
      </c>
      <c r="E1070" s="4">
        <v>0</v>
      </c>
      <c r="F1070" s="4" t="s">
        <v>3178</v>
      </c>
      <c r="G1070" s="4" t="s">
        <v>3178</v>
      </c>
      <c r="H1070" s="3">
        <v>0</v>
      </c>
      <c r="I1070" s="5">
        <v>88596.12561</v>
      </c>
      <c r="J1070" s="6">
        <v>27.34448321285802</v>
      </c>
      <c r="K1070" s="4">
        <v>0</v>
      </c>
      <c r="L1070" s="7">
        <v>0.831679170403517</v>
      </c>
      <c r="M1070" s="3">
        <v>159.99</v>
      </c>
      <c r="N1070" s="3">
        <v>109.12</v>
      </c>
    </row>
    <row r="1071" spans="1:14">
      <c r="A1071" s="8" t="s">
        <v>1083</v>
      </c>
      <c r="B1071" s="2">
        <f>HYPERLINK("https://www.suredividend.com/sure-analysis-FIBK/","First Interstate BancSystem Inc.")</f>
        <v>0</v>
      </c>
      <c r="C1071" s="1" t="s">
        <v>3180</v>
      </c>
      <c r="D1071" s="3">
        <v>26.14</v>
      </c>
      <c r="E1071" s="4">
        <v>0.071920428462127</v>
      </c>
      <c r="F1071" s="4">
        <v>0</v>
      </c>
      <c r="G1071" s="4">
        <v>0.0669001794563302</v>
      </c>
      <c r="H1071" s="3">
        <v>1.783475681413147</v>
      </c>
      <c r="I1071" s="5">
        <v>2733.408017</v>
      </c>
      <c r="J1071" s="6">
        <v>10.52930668975347</v>
      </c>
      <c r="K1071" s="4">
        <v>0.7105480802442817</v>
      </c>
      <c r="L1071" s="7">
        <v>1.261526946940859</v>
      </c>
      <c r="M1071" s="3">
        <v>30.31</v>
      </c>
      <c r="N1071" s="3">
        <v>18.66</v>
      </c>
    </row>
    <row r="1072" spans="1:14">
      <c r="A1072" s="8" t="s">
        <v>1084</v>
      </c>
      <c r="B1072" s="2">
        <f>HYPERLINK("https://www.suredividend.com/sure-analysis-research-database/","Fair Isaac Corp.")</f>
        <v>0</v>
      </c>
      <c r="C1072" s="1" t="s">
        <v>3181</v>
      </c>
      <c r="D1072" s="3">
        <v>1310.32</v>
      </c>
      <c r="E1072" s="4">
        <v>0</v>
      </c>
      <c r="F1072" s="4" t="s">
        <v>3178</v>
      </c>
      <c r="G1072" s="4" t="s">
        <v>3178</v>
      </c>
      <c r="H1072" s="3">
        <v>0</v>
      </c>
      <c r="I1072" s="5">
        <v>32379.23628</v>
      </c>
      <c r="J1072" s="6">
        <v>67.31006240600691</v>
      </c>
      <c r="K1072" s="4">
        <v>0</v>
      </c>
      <c r="L1072" s="7">
        <v>1.282428518610716</v>
      </c>
      <c r="M1072" s="3">
        <v>1451.78</v>
      </c>
      <c r="N1072" s="3">
        <v>764.49</v>
      </c>
    </row>
    <row r="1073" spans="1:14">
      <c r="A1073" s="8" t="s">
        <v>1085</v>
      </c>
      <c r="B1073" s="2">
        <f>HYPERLINK("https://www.suredividend.com/sure-analysis-FIS/","Fidelity National Information Services, Inc.")</f>
        <v>0</v>
      </c>
      <c r="C1073" s="1" t="s">
        <v>3181</v>
      </c>
      <c r="D1073" s="3">
        <v>77.51000000000001</v>
      </c>
      <c r="E1073" s="4">
        <v>0.01857824796800413</v>
      </c>
      <c r="F1073" s="4">
        <v>-0.3076923076923077</v>
      </c>
      <c r="G1073" s="4">
        <v>0.005650077210034965</v>
      </c>
      <c r="H1073" s="3">
        <v>1.390075685524319</v>
      </c>
      <c r="I1073" s="5">
        <v>43115.049657</v>
      </c>
      <c r="J1073" s="6" t="s">
        <v>3178</v>
      </c>
      <c r="K1073" s="4" t="s">
        <v>3178</v>
      </c>
      <c r="L1073" s="7">
        <v>0.899418143042321</v>
      </c>
      <c r="M1073" s="3">
        <v>78.73</v>
      </c>
      <c r="N1073" s="3">
        <v>46.26</v>
      </c>
    </row>
    <row r="1074" spans="1:14">
      <c r="A1074" s="8" t="s">
        <v>1086</v>
      </c>
      <c r="B1074" s="2">
        <f>HYPERLINK("https://www.suredividend.com/sure-analysis-research-database/","Financial Institutions Inc.")</f>
        <v>0</v>
      </c>
      <c r="C1074" s="1" t="s">
        <v>3180</v>
      </c>
      <c r="D1074" s="3">
        <v>17.5</v>
      </c>
      <c r="E1074" s="4">
        <v>0.06538033688532201</v>
      </c>
      <c r="F1074" s="4">
        <v>0</v>
      </c>
      <c r="G1074" s="4">
        <v>0.03713728933664817</v>
      </c>
      <c r="H1074" s="3">
        <v>1.144155895493139</v>
      </c>
      <c r="I1074" s="5">
        <v>270.321608</v>
      </c>
      <c r="J1074" s="6">
        <v>6.969566531738256</v>
      </c>
      <c r="K1074" s="4">
        <v>0.4576623581972556</v>
      </c>
      <c r="L1074" s="7">
        <v>0.9442297189337631</v>
      </c>
      <c r="M1074" s="3">
        <v>22.37</v>
      </c>
      <c r="N1074" s="3">
        <v>14.02</v>
      </c>
    </row>
    <row r="1075" spans="1:14">
      <c r="A1075" s="8" t="s">
        <v>1087</v>
      </c>
      <c r="B1075" s="2">
        <f>HYPERLINK("https://www.suredividend.com/sure-analysis-research-database/","Fiserv, Inc.")</f>
        <v>0</v>
      </c>
      <c r="C1075" s="1" t="s">
        <v>3181</v>
      </c>
      <c r="D1075" s="3">
        <v>114.23</v>
      </c>
      <c r="E1075" s="4">
        <v>0</v>
      </c>
      <c r="F1075" s="4" t="s">
        <v>3178</v>
      </c>
      <c r="G1075" s="4" t="s">
        <v>3178</v>
      </c>
      <c r="H1075" s="3">
        <v>0</v>
      </c>
      <c r="I1075" s="5">
        <v>75595.007065</v>
      </c>
      <c r="J1075" s="6">
        <v>0</v>
      </c>
      <c r="K1075" s="4" t="s">
        <v>3178</v>
      </c>
    </row>
    <row r="1076" spans="1:14">
      <c r="A1076" s="8" t="s">
        <v>1088</v>
      </c>
      <c r="B1076" s="2">
        <f>HYPERLINK("https://www.suredividend.com/sure-analysis-research-database/","Fitbit Inc")</f>
        <v>0</v>
      </c>
      <c r="C1076" s="1" t="s">
        <v>3181</v>
      </c>
      <c r="D1076" s="3">
        <v>6.93</v>
      </c>
      <c r="E1076" s="4">
        <v>0</v>
      </c>
      <c r="F1076" s="4" t="s">
        <v>3178</v>
      </c>
      <c r="G1076" s="4" t="s">
        <v>3178</v>
      </c>
      <c r="H1076" s="3">
        <v>0</v>
      </c>
      <c r="I1076" s="5">
        <v>1696.933514</v>
      </c>
      <c r="J1076" s="6">
        <v>0</v>
      </c>
      <c r="K1076" s="4">
        <v>-0</v>
      </c>
    </row>
    <row r="1077" spans="1:14">
      <c r="A1077" s="8" t="s">
        <v>1089</v>
      </c>
      <c r="B1077" s="2">
        <f>HYPERLINK("https://www.suredividend.com/sure-analysis-FITB/","Fifth Third Bancorp")</f>
        <v>0</v>
      </c>
      <c r="C1077" s="1" t="s">
        <v>3180</v>
      </c>
      <c r="D1077" s="3">
        <v>36.13</v>
      </c>
      <c r="E1077" s="4">
        <v>0.03874896208137282</v>
      </c>
      <c r="F1077" s="4">
        <v>0.06060606060606055</v>
      </c>
      <c r="G1077" s="4">
        <v>0.07837884744794921</v>
      </c>
      <c r="H1077" s="3">
        <v>1.337983201830114</v>
      </c>
      <c r="I1077" s="5">
        <v>24714.534397</v>
      </c>
      <c r="J1077" s="6">
        <v>11.45782772220213</v>
      </c>
      <c r="K1077" s="4">
        <v>0.4261092999458962</v>
      </c>
      <c r="L1077" s="7">
        <v>1.177488768021681</v>
      </c>
      <c r="M1077" s="3">
        <v>39.14</v>
      </c>
      <c r="N1077" s="3">
        <v>21.62</v>
      </c>
    </row>
    <row r="1078" spans="1:14">
      <c r="A1078" s="8" t="s">
        <v>1090</v>
      </c>
      <c r="B1078" s="2">
        <f>HYPERLINK("https://www.suredividend.com/sure-analysis-research-database/","Five Below Inc")</f>
        <v>0</v>
      </c>
      <c r="C1078" s="1" t="s">
        <v>3182</v>
      </c>
      <c r="D1078" s="3">
        <v>118.49</v>
      </c>
      <c r="E1078" s="4">
        <v>0</v>
      </c>
      <c r="F1078" s="4" t="s">
        <v>3178</v>
      </c>
      <c r="G1078" s="4" t="s">
        <v>3178</v>
      </c>
      <c r="H1078" s="3">
        <v>0</v>
      </c>
      <c r="I1078" s="5">
        <v>6525.366937</v>
      </c>
      <c r="J1078" s="6">
        <v>21.67132816068096</v>
      </c>
      <c r="K1078" s="4">
        <v>0</v>
      </c>
      <c r="L1078" s="7">
        <v>1.010163338653846</v>
      </c>
      <c r="M1078" s="3">
        <v>216.18</v>
      </c>
      <c r="N1078" s="3">
        <v>106.21</v>
      </c>
    </row>
    <row r="1079" spans="1:14">
      <c r="A1079" s="8" t="s">
        <v>1091</v>
      </c>
      <c r="B1079" s="2">
        <f>HYPERLINK("https://www.suredividend.com/sure-analysis-research-database/","Five9 Inc")</f>
        <v>0</v>
      </c>
      <c r="C1079" s="1" t="s">
        <v>3181</v>
      </c>
      <c r="D1079" s="3">
        <v>42.99</v>
      </c>
      <c r="E1079" s="4">
        <v>0</v>
      </c>
      <c r="F1079" s="4" t="s">
        <v>3178</v>
      </c>
      <c r="G1079" s="4" t="s">
        <v>3178</v>
      </c>
      <c r="H1079" s="3">
        <v>0</v>
      </c>
      <c r="I1079" s="5">
        <v>3175.584675</v>
      </c>
      <c r="J1079" s="6" t="s">
        <v>3178</v>
      </c>
      <c r="K1079" s="4">
        <v>-0</v>
      </c>
      <c r="L1079" s="7">
        <v>1.32219075363546</v>
      </c>
      <c r="M1079" s="3">
        <v>92.40000000000001</v>
      </c>
      <c r="N1079" s="3">
        <v>41.79</v>
      </c>
    </row>
    <row r="1080" spans="1:14">
      <c r="A1080" s="8" t="s">
        <v>1092</v>
      </c>
      <c r="B1080" s="2">
        <f>HYPERLINK("https://www.suredividend.com/sure-analysis-research-database/","Comfort Systems USA, Inc.")</f>
        <v>0</v>
      </c>
      <c r="C1080" s="1" t="s">
        <v>3179</v>
      </c>
      <c r="D1080" s="3">
        <v>304.73</v>
      </c>
      <c r="E1080" s="4">
        <v>0.003359421867966</v>
      </c>
      <c r="F1080" s="4">
        <v>0.5000000000000002</v>
      </c>
      <c r="G1080" s="4">
        <v>0.2457309396155174</v>
      </c>
      <c r="H1080" s="3">
        <v>1.023716625825463</v>
      </c>
      <c r="I1080" s="5">
        <v>10885.53733</v>
      </c>
      <c r="J1080" s="6">
        <v>30.0289856567844</v>
      </c>
      <c r="K1080" s="4">
        <v>0.1013580817648973</v>
      </c>
      <c r="L1080" s="7">
        <v>1.339689113739328</v>
      </c>
      <c r="M1080" s="3">
        <v>352.45</v>
      </c>
      <c r="N1080" s="3">
        <v>151.45</v>
      </c>
    </row>
    <row r="1081" spans="1:14">
      <c r="A1081" s="8" t="s">
        <v>1093</v>
      </c>
      <c r="B1081" s="2">
        <f>HYPERLINK("https://www.suredividend.com/sure-analysis-research-database/","National Beverage Corp.")</f>
        <v>0</v>
      </c>
      <c r="C1081" s="1" t="s">
        <v>3184</v>
      </c>
      <c r="D1081" s="3">
        <v>46.64</v>
      </c>
      <c r="E1081" s="4">
        <v>0</v>
      </c>
      <c r="F1081" s="4" t="s">
        <v>3178</v>
      </c>
      <c r="G1081" s="4" t="s">
        <v>3178</v>
      </c>
      <c r="H1081" s="3">
        <v>0</v>
      </c>
      <c r="I1081" s="5">
        <v>4362.768377</v>
      </c>
      <c r="J1081" s="6">
        <v>25.76732212008458</v>
      </c>
      <c r="K1081" s="4">
        <v>0</v>
      </c>
      <c r="L1081" s="7">
        <v>0.384568135650379</v>
      </c>
      <c r="M1081" s="3">
        <v>55.12</v>
      </c>
      <c r="N1081" s="3">
        <v>43.14</v>
      </c>
    </row>
    <row r="1082" spans="1:14">
      <c r="A1082" s="8" t="s">
        <v>1094</v>
      </c>
      <c r="B1082" s="2">
        <f>HYPERLINK("https://www.suredividend.com/sure-analysis-research-database/","Foot Locker Inc")</f>
        <v>0</v>
      </c>
      <c r="C1082" s="1" t="s">
        <v>3182</v>
      </c>
      <c r="D1082" s="3">
        <v>25.68</v>
      </c>
      <c r="E1082" s="4">
        <v>0.0308556582356</v>
      </c>
      <c r="F1082" s="4" t="s">
        <v>3178</v>
      </c>
      <c r="G1082" s="4" t="s">
        <v>3178</v>
      </c>
      <c r="H1082" s="3">
        <v>0.7923733034902181</v>
      </c>
      <c r="I1082" s="5">
        <v>2426.620789</v>
      </c>
      <c r="J1082" s="6" t="s">
        <v>3178</v>
      </c>
      <c r="K1082" s="4" t="s">
        <v>3178</v>
      </c>
      <c r="L1082" s="7">
        <v>1.062967528676642</v>
      </c>
      <c r="M1082" s="3">
        <v>35.6</v>
      </c>
      <c r="N1082" s="3">
        <v>14.56</v>
      </c>
    </row>
    <row r="1083" spans="1:14">
      <c r="A1083" s="8" t="s">
        <v>1095</v>
      </c>
      <c r="B1083" s="2">
        <f>HYPERLINK("https://www.suredividend.com/sure-analysis-FLIC/","First Of Long Island Corp.")</f>
        <v>0</v>
      </c>
      <c r="C1083" s="1" t="s">
        <v>3180</v>
      </c>
      <c r="D1083" s="3">
        <v>9.779999999999999</v>
      </c>
      <c r="E1083" s="4">
        <v>0.08588957055214724</v>
      </c>
      <c r="F1083" s="4">
        <v>0</v>
      </c>
      <c r="G1083" s="4">
        <v>0.03131030647754507</v>
      </c>
      <c r="H1083" s="3">
        <v>0.8121915526502471</v>
      </c>
      <c r="I1083" s="5">
        <v>220.207879</v>
      </c>
      <c r="J1083" s="6">
        <v>9.102131961311123</v>
      </c>
      <c r="K1083" s="4">
        <v>0.9887893263333907</v>
      </c>
      <c r="L1083" s="7">
        <v>0.9343646168970161</v>
      </c>
      <c r="M1083" s="3">
        <v>13.32</v>
      </c>
      <c r="N1083" s="3">
        <v>9.35</v>
      </c>
    </row>
    <row r="1084" spans="1:14">
      <c r="A1084" s="8" t="s">
        <v>1096</v>
      </c>
      <c r="B1084" s="2">
        <f>HYPERLINK("https://www.suredividend.com/sure-analysis-research-database/","Flir Systems, Inc.")</f>
        <v>0</v>
      </c>
      <c r="C1084" s="1" t="s">
        <v>3181</v>
      </c>
      <c r="D1084" s="3">
        <v>57.34</v>
      </c>
      <c r="E1084" s="4">
        <v>0</v>
      </c>
      <c r="F1084" s="4" t="s">
        <v>3178</v>
      </c>
      <c r="G1084" s="4" t="s">
        <v>3178</v>
      </c>
      <c r="H1084" s="3">
        <v>0.510000005364418</v>
      </c>
      <c r="I1084" s="5">
        <v>0</v>
      </c>
      <c r="J1084" s="6">
        <v>0</v>
      </c>
      <c r="K1084" s="4">
        <v>0.2849162041142</v>
      </c>
    </row>
    <row r="1085" spans="1:14">
      <c r="A1085" s="8" t="s">
        <v>1097</v>
      </c>
      <c r="B1085" s="2">
        <f>HYPERLINK("https://www.suredividend.com/sure-analysis-research-database/","Full House Resorts, Inc.")</f>
        <v>0</v>
      </c>
      <c r="C1085" s="1" t="s">
        <v>3182</v>
      </c>
      <c r="D1085" s="3">
        <v>5</v>
      </c>
      <c r="E1085" s="4">
        <v>0</v>
      </c>
      <c r="F1085" s="4" t="s">
        <v>3178</v>
      </c>
      <c r="G1085" s="4" t="s">
        <v>3178</v>
      </c>
      <c r="H1085" s="3">
        <v>0</v>
      </c>
      <c r="I1085" s="5">
        <v>173.186805</v>
      </c>
      <c r="J1085" s="6">
        <v>0</v>
      </c>
      <c r="K1085" s="4" t="s">
        <v>3178</v>
      </c>
      <c r="L1085" s="7">
        <v>2.229014916903825</v>
      </c>
      <c r="M1085" s="3">
        <v>7.09</v>
      </c>
      <c r="N1085" s="3">
        <v>3.4</v>
      </c>
    </row>
    <row r="1086" spans="1:14">
      <c r="A1086" s="8" t="s">
        <v>1098</v>
      </c>
      <c r="B1086" s="2">
        <f>HYPERLINK("https://www.suredividend.com/sure-analysis-research-database/","Fluent Inc")</f>
        <v>0</v>
      </c>
      <c r="C1086" s="1" t="s">
        <v>3187</v>
      </c>
      <c r="D1086" s="3">
        <v>3.4</v>
      </c>
      <c r="E1086" s="4">
        <v>0</v>
      </c>
      <c r="F1086" s="4" t="s">
        <v>3178</v>
      </c>
      <c r="G1086" s="4" t="s">
        <v>3178</v>
      </c>
      <c r="H1086" s="3">
        <v>0</v>
      </c>
      <c r="I1086" s="5">
        <v>46.446033</v>
      </c>
      <c r="J1086" s="6">
        <v>0</v>
      </c>
      <c r="K1086" s="4" t="s">
        <v>3178</v>
      </c>
      <c r="M1086" s="3">
        <v>4.78</v>
      </c>
      <c r="N1086" s="3">
        <v>2.31</v>
      </c>
    </row>
    <row r="1087" spans="1:14">
      <c r="A1087" s="8" t="s">
        <v>1099</v>
      </c>
      <c r="B1087" s="2">
        <f>HYPERLINK("https://www.suredividend.com/sure-analysis-FLO/","Flowers Foods, Inc.")</f>
        <v>0</v>
      </c>
      <c r="C1087" s="1" t="s">
        <v>3184</v>
      </c>
      <c r="D1087" s="3">
        <v>22.8</v>
      </c>
      <c r="E1087" s="4">
        <v>0.04210526315789474</v>
      </c>
      <c r="F1087" s="4">
        <v>0.04347826086956519</v>
      </c>
      <c r="G1087" s="4">
        <v>0.04783168830275741</v>
      </c>
      <c r="H1087" s="3">
        <v>0.915753552592215</v>
      </c>
      <c r="I1087" s="5">
        <v>4814.028457</v>
      </c>
      <c r="J1087" s="6">
        <v>38.28283689890178</v>
      </c>
      <c r="K1087" s="4">
        <v>1.538822975285187</v>
      </c>
      <c r="L1087" s="7">
        <v>0.188010527083995</v>
      </c>
      <c r="M1087" s="3">
        <v>25.85</v>
      </c>
      <c r="N1087" s="3">
        <v>19.03</v>
      </c>
    </row>
    <row r="1088" spans="1:14">
      <c r="A1088" s="8" t="s">
        <v>1100</v>
      </c>
      <c r="B1088" s="2">
        <f>HYPERLINK("https://www.suredividend.com/sure-analysis-research-database/","Global X Funds")</f>
        <v>0</v>
      </c>
      <c r="C1088" s="1" t="s">
        <v>3179</v>
      </c>
      <c r="D1088" s="3">
        <v>29.886</v>
      </c>
      <c r="E1088" s="4">
        <v>0.015676234647942</v>
      </c>
      <c r="F1088" s="4" t="s">
        <v>3178</v>
      </c>
      <c r="G1088" s="4" t="s">
        <v>3178</v>
      </c>
      <c r="H1088" s="3">
        <v>0.4684999486883981</v>
      </c>
      <c r="I1088" s="5">
        <v>3.28746</v>
      </c>
      <c r="J1088" s="6">
        <v>0</v>
      </c>
      <c r="K1088" s="4" t="s">
        <v>3178</v>
      </c>
      <c r="L1088" s="7">
        <v>0.801698620588962</v>
      </c>
      <c r="M1088" s="3">
        <v>31.6</v>
      </c>
      <c r="N1088" s="3">
        <v>24.63</v>
      </c>
    </row>
    <row r="1089" spans="1:14">
      <c r="A1089" s="8" t="s">
        <v>1101</v>
      </c>
      <c r="B1089" s="2">
        <f>HYPERLINK("https://www.suredividend.com/sure-analysis-research-database/","Fluor Corporation")</f>
        <v>0</v>
      </c>
      <c r="C1089" s="1" t="s">
        <v>3179</v>
      </c>
      <c r="D1089" s="3">
        <v>44.23</v>
      </c>
      <c r="E1089" s="4">
        <v>0</v>
      </c>
      <c r="F1089" s="4" t="s">
        <v>3178</v>
      </c>
      <c r="G1089" s="4" t="s">
        <v>3178</v>
      </c>
      <c r="H1089" s="3">
        <v>0</v>
      </c>
      <c r="I1089" s="5">
        <v>7571.757628</v>
      </c>
      <c r="J1089" s="6">
        <v>29.23458543795367</v>
      </c>
      <c r="K1089" s="4">
        <v>0</v>
      </c>
      <c r="L1089" s="7">
        <v>1.140404968832766</v>
      </c>
      <c r="M1089" s="3">
        <v>44.89</v>
      </c>
      <c r="N1089" s="3">
        <v>27.95</v>
      </c>
    </row>
    <row r="1090" spans="1:14">
      <c r="A1090" s="8" t="s">
        <v>1102</v>
      </c>
      <c r="B1090" s="2">
        <f>HYPERLINK("https://www.suredividend.com/sure-analysis-research-database/","Flowserve Corp.")</f>
        <v>0</v>
      </c>
      <c r="C1090" s="1" t="s">
        <v>3179</v>
      </c>
      <c r="D1090" s="3">
        <v>47.28</v>
      </c>
      <c r="E1090" s="4">
        <v>0.017011583191459</v>
      </c>
      <c r="F1090" s="4">
        <v>0.04999999999999982</v>
      </c>
      <c r="G1090" s="4">
        <v>0.02021836907521135</v>
      </c>
      <c r="H1090" s="3">
        <v>0.804307653292184</v>
      </c>
      <c r="I1090" s="5">
        <v>6224.61937</v>
      </c>
      <c r="J1090" s="6">
        <v>26.5785615105232</v>
      </c>
      <c r="K1090" s="4">
        <v>0.4544111035549062</v>
      </c>
      <c r="L1090" s="7">
        <v>0.807206664946838</v>
      </c>
      <c r="M1090" s="3">
        <v>50.49</v>
      </c>
      <c r="N1090" s="3">
        <v>34.72</v>
      </c>
    </row>
    <row r="1091" spans="1:14">
      <c r="A1091" s="8" t="s">
        <v>1103</v>
      </c>
      <c r="B1091" s="2">
        <f>HYPERLINK("https://www.suredividend.com/sure-analysis-research-database/","Fleetcor Technologies Inc")</f>
        <v>0</v>
      </c>
      <c r="C1091" s="1" t="s">
        <v>3181</v>
      </c>
      <c r="D1091" s="3">
        <v>305.8</v>
      </c>
      <c r="E1091" s="4">
        <v>0</v>
      </c>
      <c r="F1091" s="4" t="s">
        <v>3178</v>
      </c>
      <c r="G1091" s="4" t="s">
        <v>3178</v>
      </c>
      <c r="H1091" s="3">
        <v>0</v>
      </c>
      <c r="I1091" s="5">
        <v>21895.372</v>
      </c>
      <c r="J1091" s="6">
        <v>22.29921070588355</v>
      </c>
      <c r="K1091" s="4">
        <v>0</v>
      </c>
      <c r="L1091" s="7">
        <v>1.102846376793978</v>
      </c>
      <c r="M1091" s="3">
        <v>309.39</v>
      </c>
      <c r="N1091" s="3">
        <v>201.67</v>
      </c>
    </row>
    <row r="1092" spans="1:14">
      <c r="A1092" s="8" t="s">
        <v>1104</v>
      </c>
      <c r="B1092" s="2">
        <f>HYPERLINK("https://www.suredividend.com/sure-analysis-research-database/","1-800 Flowers.com Inc.")</f>
        <v>0</v>
      </c>
      <c r="C1092" s="1" t="s">
        <v>3182</v>
      </c>
      <c r="D1092" s="3">
        <v>9.640000000000001</v>
      </c>
      <c r="E1092" s="4">
        <v>0</v>
      </c>
      <c r="F1092" s="4" t="s">
        <v>3178</v>
      </c>
      <c r="G1092" s="4" t="s">
        <v>3178</v>
      </c>
      <c r="H1092" s="3">
        <v>0</v>
      </c>
      <c r="I1092" s="5">
        <v>358.048639</v>
      </c>
      <c r="J1092" s="6" t="s">
        <v>3178</v>
      </c>
      <c r="K1092" s="4">
        <v>-0</v>
      </c>
      <c r="L1092" s="7">
        <v>1.516670700234324</v>
      </c>
      <c r="M1092" s="3">
        <v>11.39</v>
      </c>
      <c r="N1092" s="3">
        <v>5.98</v>
      </c>
    </row>
    <row r="1093" spans="1:14">
      <c r="A1093" s="8" t="s">
        <v>1105</v>
      </c>
      <c r="B1093" s="2">
        <f>HYPERLINK("https://www.suredividend.com/sure-analysis-research-database/","Flexion Therapeutics Inc")</f>
        <v>0</v>
      </c>
      <c r="C1093" s="1" t="s">
        <v>3176</v>
      </c>
      <c r="D1093" s="3">
        <v>9.119999999999999</v>
      </c>
      <c r="E1093" s="4">
        <v>0</v>
      </c>
      <c r="F1093" s="4" t="s">
        <v>3178</v>
      </c>
      <c r="G1093" s="4" t="s">
        <v>3178</v>
      </c>
      <c r="H1093" s="3">
        <v>0</v>
      </c>
      <c r="I1093" s="5">
        <v>0</v>
      </c>
      <c r="J1093" s="6">
        <v>0</v>
      </c>
      <c r="K1093" s="4">
        <v>-0</v>
      </c>
    </row>
    <row r="1094" spans="1:14">
      <c r="A1094" s="8" t="s">
        <v>1106</v>
      </c>
      <c r="B1094" s="2">
        <f>HYPERLINK("https://www.suredividend.com/sure-analysis-research-database/","Flexsteel Industries, Inc.")</f>
        <v>0</v>
      </c>
      <c r="C1094" s="1" t="s">
        <v>3182</v>
      </c>
      <c r="D1094" s="3">
        <v>35.1</v>
      </c>
      <c r="E1094" s="4">
        <v>0.012509445157936</v>
      </c>
      <c r="F1094" s="4">
        <v>0</v>
      </c>
      <c r="G1094" s="4">
        <v>-0.07373828108439318</v>
      </c>
      <c r="H1094" s="3">
        <v>0.439081525043572</v>
      </c>
      <c r="I1094" s="5">
        <v>180.985674</v>
      </c>
      <c r="J1094" s="6">
        <v>11.47876410858121</v>
      </c>
      <c r="K1094" s="4">
        <v>0.1498571757827891</v>
      </c>
      <c r="L1094" s="7">
        <v>0.449874294460695</v>
      </c>
      <c r="M1094" s="3">
        <v>41.64</v>
      </c>
      <c r="N1094" s="3">
        <v>15.28</v>
      </c>
    </row>
    <row r="1095" spans="1:14">
      <c r="A1095" s="8" t="s">
        <v>1107</v>
      </c>
      <c r="B1095" s="2">
        <f>HYPERLINK("https://www.suredividend.com/sure-analysis-FMAO/","Farmers &amp; Merchants Bancorp Inc.")</f>
        <v>0</v>
      </c>
      <c r="C1095" s="1" t="s">
        <v>3180</v>
      </c>
      <c r="D1095" s="3">
        <v>20.06</v>
      </c>
      <c r="E1095" s="4">
        <v>0.04386839481555335</v>
      </c>
      <c r="F1095" s="4">
        <v>0.04761904761904767</v>
      </c>
      <c r="G1095" s="4">
        <v>0.0796084730466029</v>
      </c>
      <c r="H1095" s="3">
        <v>0.8421130718902201</v>
      </c>
      <c r="I1095" s="5">
        <v>274.462324</v>
      </c>
      <c r="J1095" s="6">
        <v>0</v>
      </c>
      <c r="K1095" s="4" t="s">
        <v>3178</v>
      </c>
      <c r="L1095" s="7">
        <v>0.8259807817881261</v>
      </c>
      <c r="M1095" s="3">
        <v>27.46</v>
      </c>
      <c r="N1095" s="3">
        <v>16.18</v>
      </c>
    </row>
    <row r="1096" spans="1:14">
      <c r="A1096" s="8" t="s">
        <v>1108</v>
      </c>
      <c r="B1096" s="2">
        <f>HYPERLINK("https://www.suredividend.com/sure-analysis-FMBH/","First Mid Bancshares Inc.")</f>
        <v>0</v>
      </c>
      <c r="C1096" s="1" t="s">
        <v>3180</v>
      </c>
      <c r="D1096" s="3">
        <v>31.4</v>
      </c>
      <c r="E1096" s="4">
        <v>0.02929936305732484</v>
      </c>
      <c r="F1096" s="4" t="s">
        <v>3178</v>
      </c>
      <c r="G1096" s="4" t="s">
        <v>3178</v>
      </c>
      <c r="H1096" s="3">
        <v>0.9050629708151641</v>
      </c>
      <c r="I1096" s="5">
        <v>750.342313</v>
      </c>
      <c r="J1096" s="6">
        <v>0</v>
      </c>
      <c r="K1096" s="4" t="s">
        <v>3178</v>
      </c>
      <c r="L1096" s="7">
        <v>0.8838030722368351</v>
      </c>
      <c r="M1096" s="3">
        <v>35.05</v>
      </c>
      <c r="N1096" s="3">
        <v>22.34</v>
      </c>
    </row>
    <row r="1097" spans="1:14">
      <c r="A1097" s="8" t="s">
        <v>1109</v>
      </c>
      <c r="B1097" s="2">
        <f>HYPERLINK("https://www.suredividend.com/sure-analysis-research-database/","First Midwest Bancorp, Inc.")</f>
        <v>0</v>
      </c>
      <c r="C1097" s="1" t="s">
        <v>3180</v>
      </c>
      <c r="D1097" s="3">
        <v>21.51</v>
      </c>
      <c r="E1097" s="4">
        <v>0</v>
      </c>
      <c r="F1097" s="4" t="s">
        <v>3178</v>
      </c>
      <c r="G1097" s="4" t="s">
        <v>3178</v>
      </c>
      <c r="H1097" s="3">
        <v>0.560000002384185</v>
      </c>
      <c r="I1097" s="5">
        <v>0</v>
      </c>
      <c r="J1097" s="6">
        <v>0</v>
      </c>
      <c r="K1097" s="4">
        <v>0.3660130734537157</v>
      </c>
    </row>
    <row r="1098" spans="1:14">
      <c r="A1098" s="8" t="s">
        <v>1110</v>
      </c>
      <c r="B1098" s="2">
        <f>HYPERLINK("https://www.suredividend.com/sure-analysis-FMC/","FMC Corp.")</f>
        <v>0</v>
      </c>
      <c r="C1098" s="1" t="s">
        <v>3177</v>
      </c>
      <c r="D1098" s="3">
        <v>56.66</v>
      </c>
      <c r="E1098" s="4">
        <v>0.04094599364631133</v>
      </c>
      <c r="F1098" s="4">
        <v>0</v>
      </c>
      <c r="G1098" s="4">
        <v>0.07714358779274311</v>
      </c>
      <c r="H1098" s="3">
        <v>2.288358900622482</v>
      </c>
      <c r="I1098" s="5">
        <v>7072.163516</v>
      </c>
      <c r="J1098" s="6">
        <v>6.311614026059794</v>
      </c>
      <c r="K1098" s="4">
        <v>0.2559685571166088</v>
      </c>
      <c r="L1098" s="7">
        <v>1.145455033876381</v>
      </c>
      <c r="M1098" s="3">
        <v>105.38</v>
      </c>
      <c r="N1098" s="3">
        <v>48.58</v>
      </c>
    </row>
    <row r="1099" spans="1:14">
      <c r="A1099" s="8" t="s">
        <v>1111</v>
      </c>
      <c r="B1099" s="2">
        <f>HYPERLINK("https://www.suredividend.com/sure-analysis-research-database/","Farmers National Banc Corp.")</f>
        <v>0</v>
      </c>
      <c r="C1099" s="1" t="s">
        <v>3180</v>
      </c>
      <c r="D1099" s="3">
        <v>12.04</v>
      </c>
      <c r="E1099" s="4">
        <v>0.041300420197034</v>
      </c>
      <c r="F1099" s="4">
        <v>0</v>
      </c>
      <c r="G1099" s="4">
        <v>0.1356415724960776</v>
      </c>
      <c r="H1099" s="3">
        <v>0.49725705917229</v>
      </c>
      <c r="I1099" s="5">
        <v>452.101374</v>
      </c>
      <c r="J1099" s="6">
        <v>0</v>
      </c>
      <c r="K1099" s="4" t="s">
        <v>3178</v>
      </c>
      <c r="L1099" s="7">
        <v>0.911181024740056</v>
      </c>
      <c r="M1099" s="3">
        <v>14.38</v>
      </c>
      <c r="N1099" s="3">
        <v>9.859999999999999</v>
      </c>
    </row>
    <row r="1100" spans="1:14">
      <c r="A1100" s="8" t="s">
        <v>1112</v>
      </c>
      <c r="B1100" s="2">
        <f>HYPERLINK("https://www.suredividend.com/sure-analysis-research-database/","Fabrinet")</f>
        <v>0</v>
      </c>
      <c r="C1100" s="1" t="s">
        <v>3181</v>
      </c>
      <c r="D1100" s="3">
        <v>230.69</v>
      </c>
      <c r="E1100" s="4">
        <v>0</v>
      </c>
      <c r="F1100" s="4" t="s">
        <v>3178</v>
      </c>
      <c r="G1100" s="4" t="s">
        <v>3178</v>
      </c>
      <c r="H1100" s="3">
        <v>0</v>
      </c>
      <c r="I1100" s="5">
        <v>8338.346799999999</v>
      </c>
      <c r="J1100" s="6">
        <v>30.22224203515029</v>
      </c>
      <c r="K1100" s="4">
        <v>0</v>
      </c>
      <c r="L1100" s="7">
        <v>1.646115293834496</v>
      </c>
      <c r="M1100" s="3">
        <v>250.38</v>
      </c>
      <c r="N1100" s="3">
        <v>114.83</v>
      </c>
    </row>
    <row r="1101" spans="1:14">
      <c r="A1101" s="8" t="s">
        <v>1113</v>
      </c>
      <c r="B1101" s="2">
        <f>HYPERLINK("https://www.suredividend.com/sure-analysis-research-database/","F.N.B. Corp.")</f>
        <v>0</v>
      </c>
      <c r="C1101" s="1" t="s">
        <v>3180</v>
      </c>
      <c r="D1101" s="3">
        <v>13.18</v>
      </c>
      <c r="E1101" s="4">
        <v>0.035927404447235</v>
      </c>
      <c r="F1101" s="4">
        <v>0</v>
      </c>
      <c r="G1101" s="4">
        <v>0</v>
      </c>
      <c r="H1101" s="3">
        <v>0.4735231906145591</v>
      </c>
      <c r="I1101" s="5">
        <v>4741.542339</v>
      </c>
      <c r="J1101" s="6">
        <v>10.58379986370536</v>
      </c>
      <c r="K1101" s="4">
        <v>0.3818735408181928</v>
      </c>
      <c r="L1101" s="7">
        <v>1.027359448881679</v>
      </c>
      <c r="M1101" s="3">
        <v>14.26</v>
      </c>
      <c r="N1101" s="3">
        <v>9.960000000000001</v>
      </c>
    </row>
    <row r="1102" spans="1:14">
      <c r="A1102" s="8" t="s">
        <v>1114</v>
      </c>
      <c r="B1102" s="2">
        <f>HYPERLINK("https://www.suredividend.com/sure-analysis-research-database/","FNCB Bancorp Inc")</f>
        <v>0</v>
      </c>
      <c r="C1102" s="1" t="s">
        <v>3180</v>
      </c>
      <c r="D1102" s="3">
        <v>5.54</v>
      </c>
      <c r="E1102" s="4">
        <v>0.062064541442032</v>
      </c>
      <c r="F1102" s="4">
        <v>0</v>
      </c>
      <c r="G1102" s="4">
        <v>0.1247461131420948</v>
      </c>
      <c r="H1102" s="3">
        <v>0.343837559588858</v>
      </c>
      <c r="I1102" s="5">
        <v>109.668012</v>
      </c>
      <c r="J1102" s="6">
        <v>0</v>
      </c>
      <c r="K1102" s="4" t="s">
        <v>3178</v>
      </c>
      <c r="L1102" s="7">
        <v>0.614615177513491</v>
      </c>
      <c r="M1102" s="3">
        <v>6.72</v>
      </c>
      <c r="N1102" s="3">
        <v>4.99</v>
      </c>
    </row>
    <row r="1103" spans="1:14">
      <c r="A1103" s="8" t="s">
        <v>1115</v>
      </c>
      <c r="B1103" s="2">
        <f>HYPERLINK("https://www.suredividend.com/sure-analysis-research-database/","Floor &amp; Decor Holdings Inc")</f>
        <v>0</v>
      </c>
      <c r="C1103" s="1" t="s">
        <v>3182</v>
      </c>
      <c r="D1103" s="3">
        <v>116.95</v>
      </c>
      <c r="E1103" s="4">
        <v>0</v>
      </c>
      <c r="F1103" s="4" t="s">
        <v>3178</v>
      </c>
      <c r="G1103" s="4" t="s">
        <v>3178</v>
      </c>
      <c r="H1103" s="3">
        <v>0</v>
      </c>
      <c r="I1103" s="5">
        <v>12515.037027</v>
      </c>
      <c r="J1103" s="6">
        <v>55.74924729606929</v>
      </c>
      <c r="K1103" s="4">
        <v>0</v>
      </c>
      <c r="L1103" s="7">
        <v>1.85407755031816</v>
      </c>
      <c r="M1103" s="3">
        <v>135.67</v>
      </c>
      <c r="N1103" s="3">
        <v>76.3</v>
      </c>
    </row>
    <row r="1104" spans="1:14">
      <c r="A1104" s="8" t="s">
        <v>1116</v>
      </c>
      <c r="B1104" s="2">
        <f>HYPERLINK("https://www.suredividend.com/sure-analysis-FNF/","Fidelity National Financial Inc")</f>
        <v>0</v>
      </c>
      <c r="C1104" s="1" t="s">
        <v>3180</v>
      </c>
      <c r="D1104" s="3">
        <v>49.23</v>
      </c>
      <c r="E1104" s="4">
        <v>0.03900060938452164</v>
      </c>
      <c r="F1104" s="4">
        <v>0.06666666666666665</v>
      </c>
      <c r="G1104" s="4">
        <v>0.09137979347764191</v>
      </c>
      <c r="H1104" s="3">
        <v>1.833511813115007</v>
      </c>
      <c r="I1104" s="5">
        <v>13451.518063</v>
      </c>
      <c r="J1104" s="6">
        <v>26.01841017969052</v>
      </c>
      <c r="K1104" s="4">
        <v>0.9599538288560245</v>
      </c>
      <c r="L1104" s="7">
        <v>0.7565864903387041</v>
      </c>
      <c r="M1104" s="3">
        <v>53.96</v>
      </c>
      <c r="N1104" s="3">
        <v>32.61</v>
      </c>
    </row>
    <row r="1105" spans="1:14">
      <c r="A1105" s="8" t="s">
        <v>1117</v>
      </c>
      <c r="B1105" s="2">
        <f>HYPERLINK("https://www.suredividend.com/sure-analysis-research-database/","FedNat Holding Co")</f>
        <v>0</v>
      </c>
      <c r="C1105" s="1" t="s">
        <v>3180</v>
      </c>
      <c r="D1105" s="3">
        <v>0.2</v>
      </c>
      <c r="E1105" s="4">
        <v>0</v>
      </c>
      <c r="F1105" s="4" t="s">
        <v>3178</v>
      </c>
      <c r="G1105" s="4" t="s">
        <v>3178</v>
      </c>
      <c r="H1105" s="3">
        <v>0</v>
      </c>
      <c r="I1105" s="5">
        <v>0</v>
      </c>
      <c r="J1105" s="6">
        <v>0</v>
      </c>
      <c r="K1105" s="4" t="s">
        <v>3178</v>
      </c>
    </row>
    <row r="1106" spans="1:14">
      <c r="A1106" s="8" t="s">
        <v>1118</v>
      </c>
      <c r="B1106" s="2">
        <f>HYPERLINK("https://www.suredividend.com/sure-analysis-research-database/","Funko Inc")</f>
        <v>0</v>
      </c>
      <c r="C1106" s="1" t="s">
        <v>3182</v>
      </c>
      <c r="D1106" s="3">
        <v>9.5</v>
      </c>
      <c r="E1106" s="4">
        <v>0</v>
      </c>
      <c r="F1106" s="4" t="s">
        <v>3178</v>
      </c>
      <c r="G1106" s="4" t="s">
        <v>3178</v>
      </c>
      <c r="H1106" s="3">
        <v>0</v>
      </c>
      <c r="I1106" s="5">
        <v>495.572925</v>
      </c>
      <c r="J1106" s="6" t="s">
        <v>3178</v>
      </c>
      <c r="K1106" s="4">
        <v>-0</v>
      </c>
      <c r="L1106" s="7">
        <v>1.756085165134398</v>
      </c>
      <c r="M1106" s="3">
        <v>13.42</v>
      </c>
      <c r="N1106" s="3">
        <v>5.27</v>
      </c>
    </row>
    <row r="1107" spans="1:14">
      <c r="A1107" s="8" t="s">
        <v>1119</v>
      </c>
      <c r="B1107" s="2">
        <f>HYPERLINK("https://www.suredividend.com/sure-analysis-research-database/","First Bancorp Inc (ME)")</f>
        <v>0</v>
      </c>
      <c r="C1107" s="1" t="s">
        <v>3180</v>
      </c>
      <c r="D1107" s="3">
        <v>23.31</v>
      </c>
      <c r="E1107" s="4">
        <v>0.057607355493483</v>
      </c>
      <c r="F1107" s="4">
        <v>0.02941176470588247</v>
      </c>
      <c r="G1107" s="4">
        <v>0.03131030647754507</v>
      </c>
      <c r="H1107" s="3">
        <v>1.342827456553111</v>
      </c>
      <c r="I1107" s="5">
        <v>259.591419</v>
      </c>
      <c r="J1107" s="6">
        <v>9.41640375544109</v>
      </c>
      <c r="K1107" s="4">
        <v>0.5414626840939964</v>
      </c>
      <c r="L1107" s="7">
        <v>0.5543790359346941</v>
      </c>
      <c r="M1107" s="3">
        <v>27.78</v>
      </c>
      <c r="N1107" s="3">
        <v>20.58</v>
      </c>
    </row>
    <row r="1108" spans="1:14">
      <c r="A1108" s="8" t="s">
        <v>1120</v>
      </c>
      <c r="B1108" s="2">
        <f>HYPERLINK("https://www.suredividend.com/sure-analysis-research-database/","First Northwest Bancorp")</f>
        <v>0</v>
      </c>
      <c r="C1108" s="1" t="s">
        <v>3180</v>
      </c>
      <c r="D1108" s="3">
        <v>9.859999999999999</v>
      </c>
      <c r="E1108" s="4">
        <v>0.02790103081954</v>
      </c>
      <c r="F1108" s="4">
        <v>0</v>
      </c>
      <c r="G1108" s="4">
        <v>0.1184269147201447</v>
      </c>
      <c r="H1108" s="3">
        <v>0.275104163880667</v>
      </c>
      <c r="I1108" s="5">
        <v>93.099964</v>
      </c>
      <c r="J1108" s="6">
        <v>0</v>
      </c>
      <c r="K1108" s="4" t="s">
        <v>3178</v>
      </c>
      <c r="L1108" s="7">
        <v>0.6214194652105031</v>
      </c>
      <c r="M1108" s="3">
        <v>15.79</v>
      </c>
      <c r="N1108" s="3">
        <v>9.83</v>
      </c>
    </row>
    <row r="1109" spans="1:14">
      <c r="A1109" s="8" t="s">
        <v>1121</v>
      </c>
      <c r="B1109" s="2">
        <f>HYPERLINK("https://www.suredividend.com/sure-analysis-research-database/","Focus Financial Partners Inc")</f>
        <v>0</v>
      </c>
      <c r="C1109" s="1" t="s">
        <v>3180</v>
      </c>
      <c r="D1109" s="3">
        <v>52.99</v>
      </c>
      <c r="E1109" s="4">
        <v>0</v>
      </c>
      <c r="F1109" s="4" t="s">
        <v>3178</v>
      </c>
      <c r="G1109" s="4" t="s">
        <v>3178</v>
      </c>
      <c r="H1109" s="3">
        <v>0</v>
      </c>
      <c r="I1109" s="5">
        <v>0</v>
      </c>
      <c r="J1109" s="6">
        <v>0</v>
      </c>
      <c r="K1109" s="4" t="s">
        <v>3178</v>
      </c>
    </row>
    <row r="1110" spans="1:14">
      <c r="A1110" s="8" t="s">
        <v>1122</v>
      </c>
      <c r="B1110" s="2">
        <f>HYPERLINK("https://www.suredividend.com/sure-analysis-research-database/","Ferro Corp.")</f>
        <v>0</v>
      </c>
      <c r="C1110" s="1" t="s">
        <v>3177</v>
      </c>
      <c r="D1110" s="3">
        <v>22.01</v>
      </c>
      <c r="E1110" s="4">
        <v>0</v>
      </c>
      <c r="F1110" s="4" t="s">
        <v>3178</v>
      </c>
      <c r="G1110" s="4" t="s">
        <v>3178</v>
      </c>
      <c r="H1110" s="3">
        <v>0</v>
      </c>
      <c r="I1110" s="5">
        <v>1843.420852</v>
      </c>
      <c r="J1110" s="6">
        <v>12.38600057696313</v>
      </c>
      <c r="K1110" s="4">
        <v>0</v>
      </c>
      <c r="L1110" s="7">
        <v>0.026447467881769</v>
      </c>
      <c r="M1110" s="3">
        <v>22.1</v>
      </c>
      <c r="N1110" s="3">
        <v>16.63</v>
      </c>
    </row>
    <row r="1111" spans="1:14">
      <c r="A1111" s="8" t="s">
        <v>1123</v>
      </c>
      <c r="B1111" s="2">
        <f>HYPERLINK("https://www.suredividend.com/sure-analysis-research-database/","Amicus Therapeutics Inc")</f>
        <v>0</v>
      </c>
      <c r="C1111" s="1" t="s">
        <v>3176</v>
      </c>
      <c r="D1111" s="3">
        <v>10.05</v>
      </c>
      <c r="E1111" s="4">
        <v>0</v>
      </c>
      <c r="F1111" s="4" t="s">
        <v>3178</v>
      </c>
      <c r="G1111" s="4" t="s">
        <v>3178</v>
      </c>
      <c r="H1111" s="3">
        <v>0</v>
      </c>
      <c r="I1111" s="5">
        <v>2976.799578</v>
      </c>
      <c r="J1111" s="6" t="s">
        <v>3178</v>
      </c>
      <c r="K1111" s="4">
        <v>-0</v>
      </c>
      <c r="L1111" s="7">
        <v>1.091529842674054</v>
      </c>
      <c r="M1111" s="3">
        <v>14.57</v>
      </c>
      <c r="N1111" s="3">
        <v>9.02</v>
      </c>
    </row>
    <row r="1112" spans="1:14">
      <c r="A1112" s="8" t="s">
        <v>1124</v>
      </c>
      <c r="B1112" s="2">
        <f>HYPERLINK("https://www.suredividend.com/sure-analysis-research-database/","Fonar Corp.")</f>
        <v>0</v>
      </c>
      <c r="C1112" s="1" t="s">
        <v>3176</v>
      </c>
      <c r="D1112" s="3">
        <v>15.67</v>
      </c>
      <c r="E1112" s="4">
        <v>0</v>
      </c>
      <c r="F1112" s="4" t="s">
        <v>3178</v>
      </c>
      <c r="G1112" s="4" t="s">
        <v>3178</v>
      </c>
      <c r="H1112" s="3">
        <v>0</v>
      </c>
      <c r="I1112" s="5">
        <v>99.164367</v>
      </c>
      <c r="J1112" s="6">
        <v>9.751425992778008</v>
      </c>
      <c r="K1112" s="4">
        <v>0</v>
      </c>
      <c r="L1112" s="7">
        <v>0.8584373799686501</v>
      </c>
      <c r="M1112" s="3">
        <v>24.05</v>
      </c>
      <c r="N1112" s="3">
        <v>12.13</v>
      </c>
    </row>
    <row r="1113" spans="1:14">
      <c r="A1113" s="8" t="s">
        <v>1125</v>
      </c>
      <c r="B1113" s="2">
        <f>HYPERLINK("https://www.suredividend.com/sure-analysis-research-database/","Forestar Group Inc")</f>
        <v>0</v>
      </c>
      <c r="C1113" s="1" t="s">
        <v>3183</v>
      </c>
      <c r="D1113" s="3">
        <v>31.86</v>
      </c>
      <c r="E1113" s="4">
        <v>0</v>
      </c>
      <c r="F1113" s="4" t="s">
        <v>3178</v>
      </c>
      <c r="G1113" s="4" t="s">
        <v>3178</v>
      </c>
      <c r="H1113" s="3">
        <v>0</v>
      </c>
      <c r="I1113" s="5">
        <v>1612.202723</v>
      </c>
      <c r="J1113" s="6">
        <v>7.965428472924901</v>
      </c>
      <c r="K1113" s="4">
        <v>0</v>
      </c>
      <c r="L1113" s="7">
        <v>1.366275097831235</v>
      </c>
      <c r="M1113" s="3">
        <v>40.92</v>
      </c>
      <c r="N1113" s="3">
        <v>20.35</v>
      </c>
    </row>
    <row r="1114" spans="1:14">
      <c r="A1114" s="8" t="s">
        <v>1126</v>
      </c>
      <c r="B1114" s="2">
        <f>HYPERLINK("https://www.suredividend.com/sure-analysis-research-database/","Forward Industries, Inc.")</f>
        <v>0</v>
      </c>
      <c r="C1114" s="1" t="s">
        <v>3182</v>
      </c>
      <c r="D1114" s="3">
        <v>0.5319</v>
      </c>
      <c r="E1114" s="4">
        <v>0</v>
      </c>
      <c r="F1114" s="4" t="s">
        <v>3178</v>
      </c>
      <c r="G1114" s="4" t="s">
        <v>3178</v>
      </c>
      <c r="H1114" s="3">
        <v>0</v>
      </c>
      <c r="I1114" s="5">
        <v>5.351544</v>
      </c>
      <c r="J1114" s="6">
        <v>0</v>
      </c>
      <c r="K1114" s="4" t="s">
        <v>3178</v>
      </c>
      <c r="L1114" s="7">
        <v>0.79372044084218</v>
      </c>
      <c r="M1114" s="3">
        <v>1.02</v>
      </c>
      <c r="N1114" s="3">
        <v>0.46</v>
      </c>
    </row>
    <row r="1115" spans="1:14">
      <c r="A1115" s="8" t="s">
        <v>1127</v>
      </c>
      <c r="B1115" s="2">
        <f>HYPERLINK("https://www.suredividend.com/sure-analysis-research-database/","FormFactor Inc.")</f>
        <v>0</v>
      </c>
      <c r="C1115" s="1" t="s">
        <v>3181</v>
      </c>
      <c r="D1115" s="3">
        <v>53.47</v>
      </c>
      <c r="E1115" s="4">
        <v>0</v>
      </c>
      <c r="F1115" s="4" t="s">
        <v>3178</v>
      </c>
      <c r="G1115" s="4" t="s">
        <v>3178</v>
      </c>
      <c r="H1115" s="3">
        <v>0</v>
      </c>
      <c r="I1115" s="5">
        <v>4127.884</v>
      </c>
      <c r="J1115" s="6">
        <v>40.14436037578045</v>
      </c>
      <c r="K1115" s="4">
        <v>0</v>
      </c>
      <c r="L1115" s="7">
        <v>2.091660845060764</v>
      </c>
      <c r="M1115" s="3">
        <v>60.78</v>
      </c>
      <c r="N1115" s="3">
        <v>29.5</v>
      </c>
    </row>
    <row r="1116" spans="1:14">
      <c r="A1116" s="8" t="s">
        <v>1128</v>
      </c>
      <c r="B1116" s="2">
        <f>HYPERLINK("https://www.suredividend.com/sure-analysis-research-database/","Forrester Research Inc.")</f>
        <v>0</v>
      </c>
      <c r="C1116" s="1" t="s">
        <v>3179</v>
      </c>
      <c r="D1116" s="3">
        <v>17.47</v>
      </c>
      <c r="E1116" s="4">
        <v>0</v>
      </c>
      <c r="F1116" s="4" t="s">
        <v>3178</v>
      </c>
      <c r="G1116" s="4" t="s">
        <v>3178</v>
      </c>
      <c r="H1116" s="3">
        <v>0</v>
      </c>
      <c r="I1116" s="5">
        <v>333.79929</v>
      </c>
      <c r="J1116" s="6">
        <v>738.4940044247787</v>
      </c>
      <c r="K1116" s="4">
        <v>0</v>
      </c>
      <c r="L1116" s="7">
        <v>0.9671474512954411</v>
      </c>
      <c r="M1116" s="3">
        <v>32.79</v>
      </c>
      <c r="N1116" s="3">
        <v>17.26</v>
      </c>
    </row>
    <row r="1117" spans="1:14">
      <c r="A1117" s="8" t="s">
        <v>1129</v>
      </c>
      <c r="B1117" s="2">
        <f>HYPERLINK("https://www.suredividend.com/sure-analysis-research-database/","Fossil Group Inc")</f>
        <v>0</v>
      </c>
      <c r="C1117" s="1" t="s">
        <v>3182</v>
      </c>
      <c r="D1117" s="3">
        <v>1.22</v>
      </c>
      <c r="E1117" s="4">
        <v>0</v>
      </c>
      <c r="F1117" s="4" t="s">
        <v>3178</v>
      </c>
      <c r="G1117" s="4" t="s">
        <v>3178</v>
      </c>
      <c r="H1117" s="3">
        <v>0</v>
      </c>
      <c r="I1117" s="5">
        <v>64.578552</v>
      </c>
      <c r="J1117" s="6" t="s">
        <v>3178</v>
      </c>
      <c r="K1117" s="4">
        <v>-0</v>
      </c>
      <c r="L1117" s="7">
        <v>2.110786710878176</v>
      </c>
      <c r="M1117" s="3">
        <v>2.92</v>
      </c>
      <c r="N1117" s="3">
        <v>0.75</v>
      </c>
    </row>
    <row r="1118" spans="1:14">
      <c r="A1118" s="8" t="s">
        <v>1130</v>
      </c>
      <c r="B1118" s="2">
        <f>HYPERLINK("https://www.suredividend.com/sure-analysis-research-database/","Fox Corporation")</f>
        <v>0</v>
      </c>
      <c r="C1118" s="1" t="s">
        <v>3187</v>
      </c>
      <c r="D1118" s="3">
        <v>31.77</v>
      </c>
      <c r="E1118" s="4">
        <v>0.016208228935309</v>
      </c>
      <c r="F1118" s="4" t="s">
        <v>3178</v>
      </c>
      <c r="G1118" s="4" t="s">
        <v>3178</v>
      </c>
      <c r="H1118" s="3">
        <v>0.5149354332747961</v>
      </c>
      <c r="I1118" s="5">
        <v>15368.940167</v>
      </c>
      <c r="J1118" s="6">
        <v>9.870867159132947</v>
      </c>
      <c r="K1118" s="4">
        <v>0.1619293815329547</v>
      </c>
      <c r="L1118" s="7">
        <v>0.5220359031489641</v>
      </c>
      <c r="M1118" s="3">
        <v>32.5</v>
      </c>
      <c r="N1118" s="3">
        <v>25.53</v>
      </c>
    </row>
    <row r="1119" spans="1:14">
      <c r="A1119" s="8" t="s">
        <v>1131</v>
      </c>
      <c r="B1119" s="2">
        <f>HYPERLINK("https://www.suredividend.com/sure-analysis-FOXA/","Fox Corporation")</f>
        <v>0</v>
      </c>
      <c r="C1119" s="1" t="s">
        <v>3187</v>
      </c>
      <c r="D1119" s="3">
        <v>34.11</v>
      </c>
      <c r="E1119" s="4">
        <v>0.01524479624743477</v>
      </c>
      <c r="F1119" s="4" t="s">
        <v>3178</v>
      </c>
      <c r="G1119" s="4" t="s">
        <v>3178</v>
      </c>
      <c r="H1119" s="3">
        <v>0.5176725425433331</v>
      </c>
      <c r="I1119" s="5">
        <v>15368.940167</v>
      </c>
      <c r="J1119" s="6">
        <v>9.870867159132947</v>
      </c>
      <c r="K1119" s="4">
        <v>0.1627901077180293</v>
      </c>
      <c r="L1119" s="7">
        <v>0.5351248164515351</v>
      </c>
      <c r="M1119" s="3">
        <v>35.04</v>
      </c>
      <c r="N1119" s="3">
        <v>28.15</v>
      </c>
    </row>
    <row r="1120" spans="1:14">
      <c r="A1120" s="8" t="s">
        <v>1132</v>
      </c>
      <c r="B1120" s="2">
        <f>HYPERLINK("https://www.suredividend.com/sure-analysis-research-database/","Fox Factory Holding Corp")</f>
        <v>0</v>
      </c>
      <c r="C1120" s="1" t="s">
        <v>3182</v>
      </c>
      <c r="D1120" s="3">
        <v>44.59</v>
      </c>
      <c r="E1120" s="4">
        <v>0</v>
      </c>
      <c r="F1120" s="4" t="s">
        <v>3178</v>
      </c>
      <c r="G1120" s="4" t="s">
        <v>3178</v>
      </c>
      <c r="H1120" s="3">
        <v>0</v>
      </c>
      <c r="I1120" s="5">
        <v>1855.646515</v>
      </c>
      <c r="J1120" s="6">
        <v>24.55110958085813</v>
      </c>
      <c r="K1120" s="4">
        <v>0</v>
      </c>
      <c r="L1120" s="7">
        <v>1.591276239573237</v>
      </c>
      <c r="M1120" s="3">
        <v>117.68</v>
      </c>
      <c r="N1120" s="3">
        <v>37.98</v>
      </c>
    </row>
    <row r="1121" spans="1:14">
      <c r="A1121" s="8" t="s">
        <v>1133</v>
      </c>
      <c r="B1121" s="2">
        <f>HYPERLINK("https://www.suredividend.com/sure-analysis-research-database/","Farmland Partners Inc")</f>
        <v>0</v>
      </c>
      <c r="C1121" s="1" t="s">
        <v>3183</v>
      </c>
      <c r="D1121" s="3">
        <v>10.81</v>
      </c>
      <c r="E1121" s="4">
        <v>0.021850046896649</v>
      </c>
      <c r="F1121" s="4">
        <v>0</v>
      </c>
      <c r="G1121" s="4">
        <v>0.03713728933664817</v>
      </c>
      <c r="H1121" s="3">
        <v>0.236199006952776</v>
      </c>
      <c r="I1121" s="5">
        <v>520.685173</v>
      </c>
      <c r="J1121" s="6">
        <v>0</v>
      </c>
      <c r="K1121" s="4" t="s">
        <v>3178</v>
      </c>
      <c r="L1121" s="7">
        <v>0.829492858564675</v>
      </c>
      <c r="M1121" s="3">
        <v>12.85</v>
      </c>
      <c r="N1121" s="3">
        <v>9.699999999999999</v>
      </c>
    </row>
    <row r="1122" spans="1:14">
      <c r="A1122" s="8" t="s">
        <v>1134</v>
      </c>
      <c r="B1122" s="2">
        <f>HYPERLINK("https://www.suredividend.com/sure-analysis-research-database/","Five Prime Therapeutics Inc")</f>
        <v>0</v>
      </c>
      <c r="C1122" s="1" t="s">
        <v>3176</v>
      </c>
      <c r="D1122" s="3">
        <v>38</v>
      </c>
      <c r="E1122" s="4">
        <v>0</v>
      </c>
      <c r="F1122" s="4" t="s">
        <v>3178</v>
      </c>
      <c r="G1122" s="4" t="s">
        <v>3178</v>
      </c>
      <c r="H1122" s="3">
        <v>0</v>
      </c>
      <c r="I1122" s="5">
        <v>0</v>
      </c>
      <c r="J1122" s="6">
        <v>0</v>
      </c>
      <c r="K1122" s="4" t="s">
        <v>3178</v>
      </c>
    </row>
    <row r="1123" spans="1:14">
      <c r="A1123" s="8" t="s">
        <v>1135</v>
      </c>
      <c r="B1123" s="2">
        <f>HYPERLINK("https://www.suredividend.com/sure-analysis-FR/","First Industrial Realty Trust, Inc.")</f>
        <v>0</v>
      </c>
      <c r="C1123" s="1" t="s">
        <v>3183</v>
      </c>
      <c r="D1123" s="3">
        <v>46.5</v>
      </c>
      <c r="E1123" s="4">
        <v>0.03182795698924731</v>
      </c>
      <c r="F1123" s="4">
        <v>0.15625</v>
      </c>
      <c r="G1123" s="4">
        <v>0.09975204344332944</v>
      </c>
      <c r="H1123" s="3">
        <v>1.317162338168479</v>
      </c>
      <c r="I1123" s="5">
        <v>6153.872961</v>
      </c>
      <c r="J1123" s="6">
        <v>21.4402731513741</v>
      </c>
      <c r="K1123" s="4">
        <v>0.6069872526122024</v>
      </c>
      <c r="L1123" s="7">
        <v>0.976319848521589</v>
      </c>
      <c r="M1123" s="3">
        <v>54.75</v>
      </c>
      <c r="N1123" s="3">
        <v>39.91</v>
      </c>
    </row>
    <row r="1124" spans="1:14">
      <c r="A1124" s="8" t="s">
        <v>1136</v>
      </c>
      <c r="B1124" s="2">
        <f>HYPERLINK("https://www.suredividend.com/sure-analysis-research-database/","Franklin Financial Services Corp.")</f>
        <v>0</v>
      </c>
      <c r="C1124" s="1" t="s">
        <v>3180</v>
      </c>
      <c r="D1124" s="3">
        <v>26.35</v>
      </c>
      <c r="E1124" s="4">
        <v>0.04703348892190801</v>
      </c>
      <c r="F1124" s="4">
        <v>0</v>
      </c>
      <c r="G1124" s="4">
        <v>0.01299136822423641</v>
      </c>
      <c r="H1124" s="3">
        <v>1.239332433092299</v>
      </c>
      <c r="I1124" s="5">
        <v>115.826748</v>
      </c>
      <c r="J1124" s="6">
        <v>0</v>
      </c>
      <c r="K1124" s="4" t="s">
        <v>3178</v>
      </c>
      <c r="M1124" s="3">
        <v>33.53</v>
      </c>
      <c r="N1124" s="3">
        <v>24.54</v>
      </c>
    </row>
    <row r="1125" spans="1:14">
      <c r="A1125" s="8" t="s">
        <v>1137</v>
      </c>
      <c r="B1125" s="2">
        <f>HYPERLINK("https://www.suredividend.com/sure-analysis-research-database/","Francesca`s Holdings Corp")</f>
        <v>0</v>
      </c>
      <c r="C1125" s="1" t="s">
        <v>3182</v>
      </c>
      <c r="D1125" s="3">
        <v>2.22</v>
      </c>
      <c r="E1125" s="4">
        <v>0</v>
      </c>
      <c r="F1125" s="4" t="s">
        <v>3178</v>
      </c>
      <c r="G1125" s="4" t="s">
        <v>3178</v>
      </c>
      <c r="H1125" s="3">
        <v>0</v>
      </c>
      <c r="I1125" s="5">
        <v>0</v>
      </c>
      <c r="J1125" s="6">
        <v>0</v>
      </c>
      <c r="K1125" s="4" t="s">
        <v>3178</v>
      </c>
    </row>
    <row r="1126" spans="1:14">
      <c r="A1126" s="8" t="s">
        <v>1138</v>
      </c>
      <c r="B1126" s="2">
        <f>HYPERLINK("https://www.suredividend.com/sure-analysis-research-database/","First Bank (NJ)")</f>
        <v>0</v>
      </c>
      <c r="C1126" s="1" t="s">
        <v>3180</v>
      </c>
      <c r="D1126" s="3">
        <v>11.71</v>
      </c>
      <c r="E1126" s="4">
        <v>0.020204867226678</v>
      </c>
      <c r="F1126" s="4">
        <v>0</v>
      </c>
      <c r="G1126" s="4">
        <v>0.1486983549970351</v>
      </c>
      <c r="H1126" s="3">
        <v>0.236598995224401</v>
      </c>
      <c r="I1126" s="5">
        <v>229.156901</v>
      </c>
      <c r="J1126" s="6">
        <v>0</v>
      </c>
      <c r="K1126" s="4" t="s">
        <v>3178</v>
      </c>
      <c r="L1126" s="7">
        <v>0.79713495096116</v>
      </c>
      <c r="M1126" s="3">
        <v>14.89</v>
      </c>
      <c r="N1126" s="3">
        <v>9.84</v>
      </c>
    </row>
    <row r="1127" spans="1:14">
      <c r="A1127" s="8" t="s">
        <v>1139</v>
      </c>
      <c r="B1127" s="2">
        <f>HYPERLINK("https://www.suredividend.com/sure-analysis-research-database/","Republic First Bancorp, Inc.")</f>
        <v>0</v>
      </c>
      <c r="C1127" s="1" t="s">
        <v>3180</v>
      </c>
      <c r="D1127" s="3">
        <v>0.0041</v>
      </c>
      <c r="E1127" s="4">
        <v>0</v>
      </c>
      <c r="F1127" s="4" t="s">
        <v>3178</v>
      </c>
      <c r="G1127" s="4" t="s">
        <v>3178</v>
      </c>
      <c r="H1127" s="3">
        <v>0</v>
      </c>
      <c r="I1127" s="5">
        <v>0.287752</v>
      </c>
      <c r="J1127" s="6">
        <v>0.01890741630199</v>
      </c>
      <c r="K1127" s="4">
        <v>0</v>
      </c>
      <c r="M1127" s="3">
        <v>0.7000000000000001</v>
      </c>
      <c r="N1127" s="3">
        <v>0.0003</v>
      </c>
    </row>
    <row r="1128" spans="1:14">
      <c r="A1128" s="8" t="s">
        <v>1140</v>
      </c>
      <c r="B1128" s="2">
        <f>HYPERLINK("https://www.suredividend.com/sure-analysis-research-database/","First Republic Bank")</f>
        <v>0</v>
      </c>
      <c r="C1128" s="1" t="s">
        <v>3180</v>
      </c>
      <c r="D1128" s="3">
        <v>3.51</v>
      </c>
      <c r="E1128" s="4">
        <v>0.230287688160288</v>
      </c>
      <c r="F1128" s="4" t="s">
        <v>3178</v>
      </c>
      <c r="G1128" s="4" t="s">
        <v>3178</v>
      </c>
      <c r="H1128" s="3">
        <v>0.8083097854426101</v>
      </c>
      <c r="I1128" s="5">
        <v>630.560307</v>
      </c>
      <c r="J1128" s="6">
        <v>0.418420906841406</v>
      </c>
      <c r="K1128" s="4">
        <v>0.09821504075851885</v>
      </c>
      <c r="M1128" s="3">
        <v>170.36</v>
      </c>
      <c r="N1128" s="3">
        <v>2.99</v>
      </c>
    </row>
    <row r="1129" spans="1:14">
      <c r="A1129" s="8" t="s">
        <v>1141</v>
      </c>
      <c r="B1129" s="2">
        <f>HYPERLINK("https://www.suredividend.com/sure-analysis-research-database/","Friedman Industries, Inc.")</f>
        <v>0</v>
      </c>
      <c r="C1129" s="1" t="s">
        <v>3177</v>
      </c>
      <c r="D1129" s="3">
        <v>16.42</v>
      </c>
      <c r="E1129" s="4">
        <v>0.006067954336333</v>
      </c>
      <c r="F1129" s="4">
        <v>1</v>
      </c>
      <c r="G1129" s="4">
        <v>0</v>
      </c>
      <c r="H1129" s="3">
        <v>0.09963581020259001</v>
      </c>
      <c r="I1129" s="5">
        <v>114.551027</v>
      </c>
      <c r="J1129" s="6">
        <v>6.196456395459226</v>
      </c>
      <c r="K1129" s="4">
        <v>0.03922669693015354</v>
      </c>
      <c r="L1129" s="7">
        <v>1.219142473105895</v>
      </c>
      <c r="M1129" s="3">
        <v>19.47</v>
      </c>
      <c r="N1129" s="3">
        <v>9.449999999999999</v>
      </c>
    </row>
    <row r="1130" spans="1:14">
      <c r="A1130" s="8" t="s">
        <v>1142</v>
      </c>
      <c r="B1130" s="2">
        <f>HYPERLINK("https://www.suredividend.com/sure-analysis-research-database/","Fiesta Restaurant Group Inc")</f>
        <v>0</v>
      </c>
      <c r="C1130" s="1" t="s">
        <v>3182</v>
      </c>
      <c r="D1130" s="3">
        <v>8.49</v>
      </c>
      <c r="E1130" s="4">
        <v>0</v>
      </c>
      <c r="F1130" s="4" t="s">
        <v>3178</v>
      </c>
      <c r="G1130" s="4" t="s">
        <v>3178</v>
      </c>
      <c r="H1130" s="3">
        <v>0</v>
      </c>
      <c r="I1130" s="5">
        <v>0</v>
      </c>
      <c r="J1130" s="6">
        <v>0</v>
      </c>
      <c r="K1130" s="4">
        <v>-0</v>
      </c>
    </row>
    <row r="1131" spans="1:14">
      <c r="A1131" s="8" t="s">
        <v>1143</v>
      </c>
      <c r="B1131" s="2">
        <f>HYPERLINK("https://www.suredividend.com/sure-analysis-FRME/","First Merchants Corp.")</f>
        <v>0</v>
      </c>
      <c r="C1131" s="1" t="s">
        <v>3180</v>
      </c>
      <c r="D1131" s="3">
        <v>31.6</v>
      </c>
      <c r="E1131" s="4">
        <v>0.04430379746835442</v>
      </c>
      <c r="F1131" s="4">
        <v>0.02941176470588247</v>
      </c>
      <c r="G1131" s="4">
        <v>0.06125302037503699</v>
      </c>
      <c r="H1131" s="3">
        <v>1.327389159550486</v>
      </c>
      <c r="I1131" s="5">
        <v>1851.301136</v>
      </c>
      <c r="J1131" s="6">
        <v>8.99681268387981</v>
      </c>
      <c r="K1131" s="4">
        <v>0.3836384854192156</v>
      </c>
      <c r="L1131" s="7">
        <v>1.026980875659107</v>
      </c>
      <c r="M1131" s="3">
        <v>36.58</v>
      </c>
      <c r="N1131" s="3">
        <v>24.1</v>
      </c>
    </row>
    <row r="1132" spans="1:14">
      <c r="A1132" s="8" t="s">
        <v>1144</v>
      </c>
      <c r="B1132" s="2">
        <f>HYPERLINK("https://www.suredividend.com/sure-analysis-research-database/","FRP Holdings Inc")</f>
        <v>0</v>
      </c>
      <c r="C1132" s="1" t="s">
        <v>3183</v>
      </c>
      <c r="D1132" s="3">
        <v>29.87</v>
      </c>
      <c r="E1132" s="4">
        <v>0</v>
      </c>
      <c r="F1132" s="4" t="s">
        <v>3178</v>
      </c>
      <c r="G1132" s="4" t="s">
        <v>3178</v>
      </c>
      <c r="H1132" s="3">
        <v>0</v>
      </c>
      <c r="I1132" s="5">
        <v>568.126086</v>
      </c>
      <c r="J1132" s="6">
        <v>94.09176643259356</v>
      </c>
      <c r="K1132" s="4">
        <v>0</v>
      </c>
      <c r="L1132" s="7">
        <v>0.9179486044111781</v>
      </c>
      <c r="M1132" s="3">
        <v>32.5</v>
      </c>
      <c r="N1132" s="3">
        <v>26.6</v>
      </c>
    </row>
    <row r="1133" spans="1:14">
      <c r="A1133" s="8" t="s">
        <v>1145</v>
      </c>
      <c r="B1133" s="2">
        <f>HYPERLINK("https://www.suredividend.com/sure-analysis-research-database/","Freshpet Inc")</f>
        <v>0</v>
      </c>
      <c r="C1133" s="1" t="s">
        <v>3184</v>
      </c>
      <c r="D1133" s="3">
        <v>127.05</v>
      </c>
      <c r="E1133" s="4">
        <v>0</v>
      </c>
      <c r="F1133" s="4" t="s">
        <v>3178</v>
      </c>
      <c r="G1133" s="4" t="s">
        <v>3178</v>
      </c>
      <c r="H1133" s="3">
        <v>0</v>
      </c>
      <c r="I1133" s="5">
        <v>6153.164775</v>
      </c>
      <c r="J1133" s="6">
        <v>629.5441759208103</v>
      </c>
      <c r="K1133" s="4">
        <v>0</v>
      </c>
      <c r="L1133" s="7">
        <v>1.136863134356031</v>
      </c>
      <c r="M1133" s="3">
        <v>132.84</v>
      </c>
      <c r="N1133" s="3">
        <v>54.6</v>
      </c>
    </row>
    <row r="1134" spans="1:14">
      <c r="A1134" s="8" t="s">
        <v>1146</v>
      </c>
      <c r="B1134" s="2">
        <f>HYPERLINK("https://www.suredividend.com/sure-analysis-FRT/","Federal Realty Investment Trust.")</f>
        <v>0</v>
      </c>
      <c r="C1134" s="1" t="s">
        <v>3183</v>
      </c>
      <c r="D1134" s="3">
        <v>101.01</v>
      </c>
      <c r="E1134" s="4">
        <v>0.04316404316404317</v>
      </c>
      <c r="F1134" s="4">
        <v>0.0092592592592593</v>
      </c>
      <c r="G1134" s="4">
        <v>0.01336351798236013</v>
      </c>
      <c r="H1134" s="3">
        <v>4.281389775319289</v>
      </c>
      <c r="I1134" s="5">
        <v>8379.044347999999</v>
      </c>
      <c r="J1134" s="6">
        <v>0</v>
      </c>
      <c r="K1134" s="4" t="s">
        <v>3178</v>
      </c>
      <c r="L1134" s="7">
        <v>0.7760914899096331</v>
      </c>
      <c r="M1134" s="3">
        <v>105.98</v>
      </c>
      <c r="N1134" s="3">
        <v>83.81</v>
      </c>
    </row>
    <row r="1135" spans="1:14">
      <c r="A1135" s="8" t="s">
        <v>1147</v>
      </c>
      <c r="B1135" s="2">
        <f>HYPERLINK("https://www.suredividend.com/sure-analysis-research-database/","Forterra Inc")</f>
        <v>0</v>
      </c>
      <c r="C1135" s="1" t="s">
        <v>3179</v>
      </c>
      <c r="D1135" s="3">
        <v>24</v>
      </c>
      <c r="E1135" s="4">
        <v>0</v>
      </c>
      <c r="F1135" s="4" t="s">
        <v>3178</v>
      </c>
      <c r="G1135" s="4" t="s">
        <v>3178</v>
      </c>
      <c r="H1135" s="3">
        <v>0</v>
      </c>
      <c r="I1135" s="5">
        <v>0</v>
      </c>
      <c r="J1135" s="6">
        <v>0</v>
      </c>
      <c r="K1135" s="4">
        <v>0</v>
      </c>
    </row>
    <row r="1136" spans="1:14">
      <c r="A1136" s="8" t="s">
        <v>1148</v>
      </c>
      <c r="B1136" s="2">
        <f>HYPERLINK("https://www.suredividend.com/sure-analysis-research-database/","FS Bancorp Inc")</f>
        <v>0</v>
      </c>
      <c r="C1136" s="1" t="s">
        <v>3180</v>
      </c>
      <c r="D1136" s="3">
        <v>33.38</v>
      </c>
      <c r="E1136" s="4">
        <v>0.029894906408266</v>
      </c>
      <c r="F1136" s="4">
        <v>0.04000000000000004</v>
      </c>
      <c r="G1136" s="4">
        <v>0.05387395206178347</v>
      </c>
      <c r="H1136" s="3">
        <v>0.9978919759079331</v>
      </c>
      <c r="I1136" s="5">
        <v>260.232082</v>
      </c>
      <c r="J1136" s="6">
        <v>7.335647138548273</v>
      </c>
      <c r="K1136" s="4">
        <v>0.2188359596289327</v>
      </c>
      <c r="L1136" s="7">
        <v>0.423687924633453</v>
      </c>
      <c r="M1136" s="3">
        <v>37.47</v>
      </c>
      <c r="N1136" s="3">
        <v>26.95</v>
      </c>
    </row>
    <row r="1137" spans="1:14">
      <c r="A1137" s="8" t="s">
        <v>1149</v>
      </c>
      <c r="B1137" s="2">
        <f>HYPERLINK("https://www.suredividend.com/sure-analysis-research-database/","ForeScout Technologies Inc")</f>
        <v>0</v>
      </c>
      <c r="C1137" s="1" t="s">
        <v>3181</v>
      </c>
      <c r="D1137" s="3">
        <v>28.99</v>
      </c>
      <c r="E1137" s="4">
        <v>0</v>
      </c>
      <c r="F1137" s="4" t="s">
        <v>3178</v>
      </c>
      <c r="G1137" s="4" t="s">
        <v>3178</v>
      </c>
      <c r="H1137" s="3">
        <v>0</v>
      </c>
      <c r="I1137" s="5">
        <v>0</v>
      </c>
      <c r="J1137" s="6">
        <v>0</v>
      </c>
      <c r="K1137" s="4" t="s">
        <v>3178</v>
      </c>
    </row>
    <row r="1138" spans="1:14">
      <c r="A1138" s="8" t="s">
        <v>1150</v>
      </c>
      <c r="B1138" s="2">
        <f>HYPERLINK("https://www.suredividend.com/sure-analysis-research-database/","First Savings Financial Group Inc")</f>
        <v>0</v>
      </c>
      <c r="C1138" s="1" t="s">
        <v>3180</v>
      </c>
      <c r="D1138" s="3">
        <v>16.56</v>
      </c>
      <c r="E1138" s="4">
        <v>0.033858053141207</v>
      </c>
      <c r="F1138" s="4">
        <v>0.0714285714285714</v>
      </c>
      <c r="G1138" s="4">
        <v>-0.01282475708259012</v>
      </c>
      <c r="H1138" s="3">
        <v>0.5556106520472101</v>
      </c>
      <c r="I1138" s="5">
        <v>112.952656</v>
      </c>
      <c r="J1138" s="6">
        <v>0</v>
      </c>
      <c r="K1138" s="4" t="s">
        <v>3178</v>
      </c>
      <c r="M1138" s="3">
        <v>18.11</v>
      </c>
      <c r="N1138" s="3">
        <v>11.3</v>
      </c>
    </row>
    <row r="1139" spans="1:14">
      <c r="A1139" s="8" t="s">
        <v>1151</v>
      </c>
      <c r="B1139" s="2">
        <f>HYPERLINK("https://www.suredividend.com/sure-analysis-research-database/","First Solar Inc")</f>
        <v>0</v>
      </c>
      <c r="C1139" s="1" t="s">
        <v>3181</v>
      </c>
      <c r="D1139" s="3">
        <v>267.34</v>
      </c>
      <c r="E1139" s="4">
        <v>0</v>
      </c>
      <c r="F1139" s="4" t="s">
        <v>3178</v>
      </c>
      <c r="G1139" s="4" t="s">
        <v>3178</v>
      </c>
      <c r="H1139" s="3">
        <v>0</v>
      </c>
      <c r="I1139" s="5">
        <v>28616.453223</v>
      </c>
      <c r="J1139" s="6">
        <v>27.92306760795915</v>
      </c>
      <c r="K1139" s="4">
        <v>0</v>
      </c>
      <c r="L1139" s="7">
        <v>1.626724154048059</v>
      </c>
      <c r="M1139" s="3">
        <v>286.6</v>
      </c>
      <c r="N1139" s="3">
        <v>129.22</v>
      </c>
    </row>
    <row r="1140" spans="1:14">
      <c r="A1140" s="8" t="s">
        <v>1152</v>
      </c>
      <c r="B1140" s="2">
        <f>HYPERLINK("https://www.suredividend.com/sure-analysis-research-database/","Fastly Inc")</f>
        <v>0</v>
      </c>
      <c r="C1140" s="1" t="s">
        <v>3181</v>
      </c>
      <c r="D1140" s="3">
        <v>7.48</v>
      </c>
      <c r="E1140" s="4">
        <v>0</v>
      </c>
      <c r="F1140" s="4" t="s">
        <v>3178</v>
      </c>
      <c r="G1140" s="4" t="s">
        <v>3178</v>
      </c>
      <c r="H1140" s="3">
        <v>0</v>
      </c>
      <c r="I1140" s="5">
        <v>1022.054065</v>
      </c>
      <c r="J1140" s="6" t="s">
        <v>3178</v>
      </c>
      <c r="K1140" s="4">
        <v>-0</v>
      </c>
      <c r="L1140" s="7">
        <v>2.317424176136922</v>
      </c>
      <c r="M1140" s="3">
        <v>25.87</v>
      </c>
      <c r="N1140" s="3">
        <v>7.4</v>
      </c>
    </row>
    <row r="1141" spans="1:14">
      <c r="A1141" s="8" t="s">
        <v>1153</v>
      </c>
      <c r="B1141" s="2">
        <f>HYPERLINK("https://www.suredividend.com/sure-analysis-research-database/","Franklin Street Properties Corp.")</f>
        <v>0</v>
      </c>
      <c r="C1141" s="1" t="s">
        <v>3183</v>
      </c>
      <c r="D1141" s="3">
        <v>1.74</v>
      </c>
      <c r="E1141" s="4">
        <v>0.022651086527164</v>
      </c>
      <c r="F1141" s="4">
        <v>0</v>
      </c>
      <c r="G1141" s="4">
        <v>-0.3556059850227458</v>
      </c>
      <c r="H1141" s="3">
        <v>0.039412890557266</v>
      </c>
      <c r="I1141" s="5">
        <v>179.968814</v>
      </c>
      <c r="J1141" s="6" t="s">
        <v>3178</v>
      </c>
      <c r="K1141" s="4" t="s">
        <v>3178</v>
      </c>
      <c r="L1141" s="7">
        <v>1.310416106835192</v>
      </c>
      <c r="M1141" s="3">
        <v>2.67</v>
      </c>
      <c r="N1141" s="3">
        <v>1.3</v>
      </c>
    </row>
    <row r="1142" spans="1:14">
      <c r="A1142" s="8" t="s">
        <v>1154</v>
      </c>
      <c r="B1142" s="2">
        <f>HYPERLINK("https://www.suredividend.com/sure-analysis-research-database/","Federal Signal Corp.")</f>
        <v>0</v>
      </c>
      <c r="C1142" s="1" t="s">
        <v>3179</v>
      </c>
      <c r="D1142" s="3">
        <v>85.77</v>
      </c>
      <c r="E1142" s="4">
        <v>0.005119650310584</v>
      </c>
      <c r="F1142" s="4">
        <v>0.2</v>
      </c>
      <c r="G1142" s="4">
        <v>0.08447177119769855</v>
      </c>
      <c r="H1142" s="3">
        <v>0.439112407138819</v>
      </c>
      <c r="I1142" s="5">
        <v>5240.638174</v>
      </c>
      <c r="J1142" s="6">
        <v>28.85813972197137</v>
      </c>
      <c r="K1142" s="4">
        <v>0.1488516634368878</v>
      </c>
      <c r="L1142" s="7">
        <v>1.245616866596998</v>
      </c>
      <c r="M1142" s="3">
        <v>92.90000000000001</v>
      </c>
      <c r="N1142" s="3">
        <v>56.13</v>
      </c>
    </row>
    <row r="1143" spans="1:14">
      <c r="A1143" s="8" t="s">
        <v>1155</v>
      </c>
      <c r="B1143" s="2">
        <f>HYPERLINK("https://www.suredividend.com/sure-analysis-research-database/","L.B. Foster Co.")</f>
        <v>0</v>
      </c>
      <c r="C1143" s="1" t="s">
        <v>3179</v>
      </c>
      <c r="D1143" s="3">
        <v>26.24</v>
      </c>
      <c r="E1143" s="4">
        <v>0</v>
      </c>
      <c r="F1143" s="4" t="s">
        <v>3178</v>
      </c>
      <c r="G1143" s="4" t="s">
        <v>3178</v>
      </c>
      <c r="H1143" s="3">
        <v>0</v>
      </c>
      <c r="I1143" s="5">
        <v>287.687777</v>
      </c>
      <c r="J1143" s="6">
        <v>35.72873530054645</v>
      </c>
      <c r="K1143" s="4">
        <v>0</v>
      </c>
      <c r="L1143" s="7">
        <v>0.272660285091038</v>
      </c>
      <c r="M1143" s="3">
        <v>30.77</v>
      </c>
      <c r="N1143" s="3">
        <v>13.23</v>
      </c>
    </row>
    <row r="1144" spans="1:14">
      <c r="A1144" s="8" t="s">
        <v>1156</v>
      </c>
      <c r="B1144" s="2">
        <f>HYPERLINK("https://www.suredividend.com/sure-analysis-research-database/","Frontdoor Inc.")</f>
        <v>0</v>
      </c>
      <c r="C1144" s="1" t="s">
        <v>3182</v>
      </c>
      <c r="D1144" s="3">
        <v>35.43</v>
      </c>
      <c r="E1144" s="4">
        <v>0</v>
      </c>
      <c r="F1144" s="4" t="s">
        <v>3178</v>
      </c>
      <c r="G1144" s="4" t="s">
        <v>3178</v>
      </c>
      <c r="H1144" s="3">
        <v>0</v>
      </c>
      <c r="I1144" s="5">
        <v>2756.111746</v>
      </c>
      <c r="J1144" s="6">
        <v>15.06071992459016</v>
      </c>
      <c r="K1144" s="4">
        <v>0</v>
      </c>
      <c r="L1144" s="7">
        <v>1.084416030442523</v>
      </c>
      <c r="M1144" s="3">
        <v>38.97</v>
      </c>
      <c r="N1144" s="3">
        <v>28.26</v>
      </c>
    </row>
    <row r="1145" spans="1:14">
      <c r="A1145" s="8" t="s">
        <v>1157</v>
      </c>
      <c r="B1145" s="2">
        <f>HYPERLINK("https://www.suredividend.com/sure-analysis-research-database/","Fuel Tech Inc")</f>
        <v>0</v>
      </c>
      <c r="C1145" s="1" t="s">
        <v>3179</v>
      </c>
      <c r="D1145" s="3">
        <v>1.0799</v>
      </c>
      <c r="E1145" s="4">
        <v>0</v>
      </c>
      <c r="F1145" s="4" t="s">
        <v>3178</v>
      </c>
      <c r="G1145" s="4" t="s">
        <v>3178</v>
      </c>
      <c r="H1145" s="3">
        <v>0</v>
      </c>
      <c r="I1145" s="5">
        <v>32.813082</v>
      </c>
      <c r="J1145" s="6" t="s">
        <v>3178</v>
      </c>
      <c r="K1145" s="4">
        <v>-0</v>
      </c>
      <c r="L1145" s="7">
        <v>0.651978680990563</v>
      </c>
      <c r="M1145" s="3">
        <v>1.41</v>
      </c>
      <c r="N1145" s="3">
        <v>0.9569000000000001</v>
      </c>
    </row>
    <row r="1146" spans="1:14">
      <c r="A1146" s="8" t="s">
        <v>1158</v>
      </c>
      <c r="B1146" s="2">
        <f>HYPERLINK("https://www.suredividend.com/sure-analysis-research-database/","TechnipFMC plc")</f>
        <v>0</v>
      </c>
      <c r="C1146" s="1" t="s">
        <v>3185</v>
      </c>
      <c r="D1146" s="3">
        <v>24.27</v>
      </c>
      <c r="E1146" s="4">
        <v>0.008215613334118001</v>
      </c>
      <c r="F1146" s="4" t="s">
        <v>3178</v>
      </c>
      <c r="G1146" s="4" t="s">
        <v>3178</v>
      </c>
      <c r="H1146" s="3">
        <v>0.199392935619049</v>
      </c>
      <c r="I1146" s="5">
        <v>10459.738859</v>
      </c>
      <c r="J1146" s="6">
        <v>49.12982084852043</v>
      </c>
      <c r="K1146" s="4">
        <v>0.4215495467633171</v>
      </c>
      <c r="L1146" s="7">
        <v>0.5520521566433271</v>
      </c>
      <c r="M1146" s="3">
        <v>27.25</v>
      </c>
      <c r="N1146" s="3">
        <v>14.1</v>
      </c>
    </row>
    <row r="1147" spans="1:14">
      <c r="A1147" s="8" t="s">
        <v>1159</v>
      </c>
      <c r="B1147" s="2">
        <f>HYPERLINK("https://www.suredividend.com/sure-analysis-research-database/","Flotek Industries Inc")</f>
        <v>0</v>
      </c>
      <c r="C1147" s="1" t="s">
        <v>3185</v>
      </c>
      <c r="D1147" s="3">
        <v>4.97</v>
      </c>
      <c r="E1147" s="4">
        <v>0</v>
      </c>
      <c r="F1147" s="4" t="s">
        <v>3178</v>
      </c>
      <c r="G1147" s="4" t="s">
        <v>3178</v>
      </c>
      <c r="H1147" s="3">
        <v>0</v>
      </c>
      <c r="I1147" s="5">
        <v>147.3944</v>
      </c>
      <c r="J1147" s="6">
        <v>29.88532043187348</v>
      </c>
      <c r="K1147" s="4">
        <v>0</v>
      </c>
      <c r="L1147" s="7">
        <v>0.157945163157923</v>
      </c>
      <c r="M1147" s="3">
        <v>5.7</v>
      </c>
      <c r="N1147" s="3">
        <v>2.64</v>
      </c>
    </row>
    <row r="1148" spans="1:14">
      <c r="A1148" s="8" t="s">
        <v>1160</v>
      </c>
      <c r="B1148" s="2">
        <f>HYPERLINK("https://www.suredividend.com/sure-analysis-research-database/","Fortinet Inc")</f>
        <v>0</v>
      </c>
      <c r="C1148" s="1" t="s">
        <v>3181</v>
      </c>
      <c r="D1148" s="3">
        <v>59.72</v>
      </c>
      <c r="E1148" s="4">
        <v>0</v>
      </c>
      <c r="F1148" s="4" t="s">
        <v>3178</v>
      </c>
      <c r="G1148" s="4" t="s">
        <v>3178</v>
      </c>
      <c r="H1148" s="3">
        <v>0</v>
      </c>
      <c r="I1148" s="5">
        <v>45622.377838</v>
      </c>
      <c r="J1148" s="6">
        <v>38.03766703164916</v>
      </c>
      <c r="K1148" s="4">
        <v>0</v>
      </c>
      <c r="L1148" s="7">
        <v>1.240961800762031</v>
      </c>
      <c r="M1148" s="3">
        <v>81.23999999999999</v>
      </c>
      <c r="N1148" s="3">
        <v>44.12</v>
      </c>
    </row>
    <row r="1149" spans="1:14">
      <c r="A1149" s="8" t="s">
        <v>1161</v>
      </c>
      <c r="B1149" s="2">
        <f>HYPERLINK("https://www.suredividend.com/sure-analysis-research-database/","FTS International Inc.")</f>
        <v>0</v>
      </c>
      <c r="C1149" s="1" t="s">
        <v>3185</v>
      </c>
      <c r="D1149" s="3">
        <v>26.53</v>
      </c>
      <c r="E1149" s="4">
        <v>0</v>
      </c>
      <c r="F1149" s="4" t="s">
        <v>3178</v>
      </c>
      <c r="G1149" s="4" t="s">
        <v>3178</v>
      </c>
      <c r="H1149" s="3">
        <v>0</v>
      </c>
      <c r="I1149" s="5">
        <v>364.801959</v>
      </c>
      <c r="J1149" s="6" t="s">
        <v>3178</v>
      </c>
      <c r="K1149" s="4">
        <v>-0</v>
      </c>
      <c r="L1149" s="7">
        <v>0.5999331728069091</v>
      </c>
      <c r="M1149" s="3">
        <v>30.09</v>
      </c>
      <c r="N1149" s="3">
        <v>18.07</v>
      </c>
    </row>
    <row r="1150" spans="1:14">
      <c r="A1150" s="8" t="s">
        <v>1162</v>
      </c>
      <c r="B1150" s="2">
        <f>HYPERLINK("https://www.suredividend.com/sure-analysis-research-database/","Fortive Corp")</f>
        <v>0</v>
      </c>
      <c r="C1150" s="1" t="s">
        <v>3181</v>
      </c>
      <c r="D1150" s="3">
        <v>72.75</v>
      </c>
      <c r="E1150" s="4">
        <v>0.004254637936638</v>
      </c>
      <c r="F1150" s="4">
        <v>0.1428571428571428</v>
      </c>
      <c r="G1150" s="4">
        <v>0.02706608708935176</v>
      </c>
      <c r="H1150" s="3">
        <v>0.309524909890448</v>
      </c>
      <c r="I1150" s="5">
        <v>25610.085161</v>
      </c>
      <c r="J1150" s="6">
        <v>28.46830275733659</v>
      </c>
      <c r="K1150" s="4">
        <v>0.1223418616167779</v>
      </c>
      <c r="L1150" s="7">
        <v>0.968173189207812</v>
      </c>
      <c r="M1150" s="3">
        <v>87.01000000000001</v>
      </c>
      <c r="N1150" s="3">
        <v>62.85</v>
      </c>
    </row>
    <row r="1151" spans="1:14">
      <c r="A1151" s="8" t="s">
        <v>1163</v>
      </c>
      <c r="B1151" s="2">
        <f>HYPERLINK("https://www.suredividend.com/sure-analysis-FUL/","H.B. Fuller Company")</f>
        <v>0</v>
      </c>
      <c r="C1151" s="1" t="s">
        <v>3177</v>
      </c>
      <c r="D1151" s="3">
        <v>76.06999999999999</v>
      </c>
      <c r="E1151" s="4">
        <v>0.01169975023005127</v>
      </c>
      <c r="F1151" s="4" t="s">
        <v>3178</v>
      </c>
      <c r="G1151" s="4" t="s">
        <v>3178</v>
      </c>
      <c r="H1151" s="3">
        <v>0.833992689788275</v>
      </c>
      <c r="I1151" s="5">
        <v>4145.040303</v>
      </c>
      <c r="J1151" s="6">
        <v>26.91444797101449</v>
      </c>
      <c r="K1151" s="4">
        <v>0.304376894083312</v>
      </c>
      <c r="L1151" s="7">
        <v>1.041609478665153</v>
      </c>
      <c r="M1151" s="3">
        <v>84.06</v>
      </c>
      <c r="N1151" s="3">
        <v>61.91</v>
      </c>
    </row>
    <row r="1152" spans="1:14">
      <c r="A1152" s="8" t="s">
        <v>1164</v>
      </c>
      <c r="B1152" s="2">
        <f>HYPERLINK("https://www.suredividend.com/sure-analysis-FULT/","Fulton Financial Corp.")</f>
        <v>0</v>
      </c>
      <c r="C1152" s="1" t="s">
        <v>3180</v>
      </c>
      <c r="D1152" s="3">
        <v>16.43</v>
      </c>
      <c r="E1152" s="4">
        <v>0.04138770541692027</v>
      </c>
      <c r="F1152" s="4">
        <v>0.1333333333333335</v>
      </c>
      <c r="G1152" s="4">
        <v>0.05511819868320456</v>
      </c>
      <c r="H1152" s="3">
        <v>0.647481182716595</v>
      </c>
      <c r="I1152" s="5">
        <v>2986.32904</v>
      </c>
      <c r="J1152" s="6">
        <v>11.15721511456742</v>
      </c>
      <c r="K1152" s="4">
        <v>0.4021622252898106</v>
      </c>
      <c r="L1152" s="7">
        <v>1.057146334678925</v>
      </c>
      <c r="M1152" s="3">
        <v>17.68</v>
      </c>
      <c r="N1152" s="3">
        <v>10.93</v>
      </c>
    </row>
    <row r="1153" spans="1:14">
      <c r="A1153" s="8" t="s">
        <v>1165</v>
      </c>
      <c r="B1153" s="2">
        <f>HYPERLINK("https://www.suredividend.com/sure-analysis-research-database/","First United Corporation")</f>
        <v>0</v>
      </c>
      <c r="C1153" s="1" t="s">
        <v>3180</v>
      </c>
      <c r="D1153" s="3">
        <v>20.11</v>
      </c>
      <c r="E1153" s="4">
        <v>0.03867252000705401</v>
      </c>
      <c r="F1153" s="4">
        <v>0</v>
      </c>
      <c r="G1153" s="4">
        <v>0.173160676311841</v>
      </c>
      <c r="H1153" s="3">
        <v>0.777704377341867</v>
      </c>
      <c r="I1153" s="5">
        <v>133.704251</v>
      </c>
      <c r="J1153" s="6">
        <v>9.295991861920324</v>
      </c>
      <c r="K1153" s="4">
        <v>0.3617229662055196</v>
      </c>
      <c r="M1153" s="3">
        <v>23.43</v>
      </c>
      <c r="N1153" s="3">
        <v>12.25</v>
      </c>
    </row>
    <row r="1154" spans="1:14">
      <c r="A1154" s="8" t="s">
        <v>1166</v>
      </c>
      <c r="B1154" s="2">
        <f>HYPERLINK("https://www.suredividend.com/sure-analysis-research-database/","First US Bancshares Inc")</f>
        <v>0</v>
      </c>
      <c r="C1154" s="1" t="s">
        <v>3180</v>
      </c>
      <c r="D1154" s="3">
        <v>10.44</v>
      </c>
      <c r="E1154" s="4">
        <v>0.014223747609419</v>
      </c>
      <c r="F1154" s="4">
        <v>0</v>
      </c>
      <c r="G1154" s="4">
        <v>0.2011244339814313</v>
      </c>
      <c r="H1154" s="3">
        <v>0.148495925042343</v>
      </c>
      <c r="I1154" s="5">
        <v>60.433736</v>
      </c>
      <c r="J1154" s="6">
        <v>7.122420233352975</v>
      </c>
      <c r="K1154" s="4">
        <v>0.1116510714604083</v>
      </c>
      <c r="M1154" s="3">
        <v>11.08</v>
      </c>
      <c r="N1154" s="3">
        <v>6.86</v>
      </c>
    </row>
    <row r="1155" spans="1:14">
      <c r="A1155" s="8" t="s">
        <v>1167</v>
      </c>
      <c r="B1155" s="2">
        <f>HYPERLINK("https://www.suredividend.com/sure-analysis-research-database/","Five Star Senior Living Inc.")</f>
        <v>0</v>
      </c>
      <c r="C1155" s="1" t="s">
        <v>3176</v>
      </c>
      <c r="D1155" s="3">
        <v>2.87</v>
      </c>
      <c r="E1155" s="4">
        <v>0</v>
      </c>
      <c r="F1155" s="4" t="s">
        <v>3178</v>
      </c>
      <c r="G1155" s="4" t="s">
        <v>3178</v>
      </c>
      <c r="H1155" s="3">
        <v>0</v>
      </c>
      <c r="I1155" s="5">
        <v>91.123085</v>
      </c>
      <c r="J1155" s="6" t="s">
        <v>3178</v>
      </c>
      <c r="K1155" s="4">
        <v>-0</v>
      </c>
      <c r="L1155" s="7">
        <v>0.566363079320238</v>
      </c>
      <c r="M1155" s="3">
        <v>9.25</v>
      </c>
      <c r="N1155" s="3">
        <v>2.72</v>
      </c>
    </row>
    <row r="1156" spans="1:14">
      <c r="A1156" s="8" t="s">
        <v>1168</v>
      </c>
      <c r="B1156" s="2">
        <f>HYPERLINK("https://www.suredividend.com/sure-analysis-research-database/","Liberty Media Corp.")</f>
        <v>0</v>
      </c>
      <c r="C1156" s="1" t="s">
        <v>3187</v>
      </c>
      <c r="D1156" s="3">
        <v>65.5</v>
      </c>
      <c r="E1156" s="4">
        <v>0</v>
      </c>
      <c r="F1156" s="4" t="s">
        <v>3178</v>
      </c>
      <c r="G1156" s="4" t="s">
        <v>3178</v>
      </c>
      <c r="H1156" s="3">
        <v>0</v>
      </c>
      <c r="I1156" s="5">
        <v>26659.555536</v>
      </c>
      <c r="J1156" s="6">
        <v>0</v>
      </c>
      <c r="K1156" s="4" t="s">
        <v>3178</v>
      </c>
      <c r="L1156" s="7">
        <v>0.9686498031936981</v>
      </c>
      <c r="M1156" s="3">
        <v>70.20999999999999</v>
      </c>
      <c r="N1156" s="3">
        <v>55.08</v>
      </c>
    </row>
    <row r="1157" spans="1:14">
      <c r="A1157" s="8" t="s">
        <v>1169</v>
      </c>
      <c r="B1157" s="2">
        <f>HYPERLINK("https://www.suredividend.com/sure-analysis-research-database/","Liberty Media Corp.")</f>
        <v>0</v>
      </c>
      <c r="C1157" s="1" t="s">
        <v>3187</v>
      </c>
      <c r="D1157" s="3">
        <v>71.89</v>
      </c>
      <c r="E1157" s="4">
        <v>0</v>
      </c>
      <c r="F1157" s="4" t="s">
        <v>3178</v>
      </c>
      <c r="G1157" s="4" t="s">
        <v>3178</v>
      </c>
      <c r="H1157" s="3">
        <v>0</v>
      </c>
      <c r="I1157" s="5">
        <v>26659.555536</v>
      </c>
      <c r="J1157" s="6">
        <v>0</v>
      </c>
      <c r="K1157" s="4" t="s">
        <v>3178</v>
      </c>
      <c r="L1157" s="7">
        <v>0.873741923782631</v>
      </c>
      <c r="M1157" s="3">
        <v>78.58</v>
      </c>
      <c r="N1157" s="3">
        <v>60.95</v>
      </c>
    </row>
    <row r="1158" spans="1:14">
      <c r="A1158" s="8" t="s">
        <v>1170</v>
      </c>
      <c r="B1158" s="2">
        <f>HYPERLINK("https://www.suredividend.com/sure-analysis-research-database/","Forward Air Corp.")</f>
        <v>0</v>
      </c>
      <c r="C1158" s="1" t="s">
        <v>3179</v>
      </c>
      <c r="D1158" s="3">
        <v>20.67</v>
      </c>
      <c r="E1158" s="4">
        <v>0.023137261997316</v>
      </c>
      <c r="F1158" s="4" t="s">
        <v>3178</v>
      </c>
      <c r="G1158" s="4" t="s">
        <v>3178</v>
      </c>
      <c r="H1158" s="3">
        <v>0.478247205484525</v>
      </c>
      <c r="I1158" s="5">
        <v>546.482141</v>
      </c>
      <c r="J1158" s="6">
        <v>9.489349379221728</v>
      </c>
      <c r="K1158" s="4">
        <v>0.2154266691371734</v>
      </c>
      <c r="L1158" s="7">
        <v>0.659511496592163</v>
      </c>
      <c r="M1158" s="3">
        <v>120.06</v>
      </c>
      <c r="N1158" s="3">
        <v>11.21</v>
      </c>
    </row>
    <row r="1159" spans="1:14">
      <c r="A1159" s="8" t="s">
        <v>1171</v>
      </c>
      <c r="B1159" s="2">
        <f>HYPERLINK("https://www.suredividend.com/sure-analysis-research-database/","Genpact Ltd")</f>
        <v>0</v>
      </c>
      <c r="C1159" s="1" t="s">
        <v>3181</v>
      </c>
      <c r="D1159" s="3">
        <v>33.34</v>
      </c>
      <c r="E1159" s="4">
        <v>0.012769531154352</v>
      </c>
      <c r="F1159" s="4">
        <v>0.1090909090909089</v>
      </c>
      <c r="G1159" s="4">
        <v>0.1240100221231628</v>
      </c>
      <c r="H1159" s="3">
        <v>0.425736168686126</v>
      </c>
      <c r="I1159" s="5">
        <v>6134.04323</v>
      </c>
      <c r="J1159" s="6">
        <v>9.505686496138646</v>
      </c>
      <c r="K1159" s="4">
        <v>0.1248493163302422</v>
      </c>
      <c r="L1159" s="7">
        <v>0.9769619181675731</v>
      </c>
      <c r="M1159" s="3">
        <v>39.27</v>
      </c>
      <c r="N1159" s="3">
        <v>29.16</v>
      </c>
    </row>
    <row r="1160" spans="1:14">
      <c r="A1160" s="8" t="s">
        <v>1172</v>
      </c>
      <c r="B1160" s="2">
        <f>HYPERLINK("https://www.suredividend.com/sure-analysis-research-database/","German American Bancorp Inc")</f>
        <v>0</v>
      </c>
      <c r="C1160" s="1" t="s">
        <v>3180</v>
      </c>
      <c r="D1160" s="3">
        <v>32</v>
      </c>
      <c r="E1160" s="4">
        <v>0.031706228969514</v>
      </c>
      <c r="F1160" s="4">
        <v>0.08000000000000007</v>
      </c>
      <c r="G1160" s="4">
        <v>0.09694024046466465</v>
      </c>
      <c r="H1160" s="3">
        <v>1.014599327024451</v>
      </c>
      <c r="I1160" s="5">
        <v>949.304256</v>
      </c>
      <c r="J1160" s="6">
        <v>11.2874006396918</v>
      </c>
      <c r="K1160" s="4">
        <v>0.3572532841635391</v>
      </c>
      <c r="L1160" s="7">
        <v>0.624640362962902</v>
      </c>
      <c r="M1160" s="3">
        <v>34.16</v>
      </c>
      <c r="N1160" s="3">
        <v>23.6</v>
      </c>
    </row>
    <row r="1161" spans="1:14">
      <c r="A1161" s="8" t="s">
        <v>1173</v>
      </c>
      <c r="B1161" s="2">
        <f>HYPERLINK("https://www.suredividend.com/sure-analysis-research-database/","Gaia Inc")</f>
        <v>0</v>
      </c>
      <c r="C1161" s="1" t="s">
        <v>3187</v>
      </c>
      <c r="D1161" s="3">
        <v>4.55</v>
      </c>
      <c r="E1161" s="4">
        <v>0</v>
      </c>
      <c r="F1161" s="4" t="s">
        <v>3178</v>
      </c>
      <c r="G1161" s="4" t="s">
        <v>3178</v>
      </c>
      <c r="H1161" s="3">
        <v>0</v>
      </c>
      <c r="I1161" s="5">
        <v>82.109382</v>
      </c>
      <c r="J1161" s="6" t="s">
        <v>3178</v>
      </c>
      <c r="K1161" s="4">
        <v>-0</v>
      </c>
      <c r="L1161" s="7">
        <v>0.7824087648871181</v>
      </c>
      <c r="M1161" s="3">
        <v>4.74</v>
      </c>
      <c r="N1161" s="3">
        <v>2.11</v>
      </c>
    </row>
    <row r="1162" spans="1:14">
      <c r="A1162" s="8" t="s">
        <v>1174</v>
      </c>
      <c r="B1162" s="2">
        <f>HYPERLINK("https://www.suredividend.com/sure-analysis-research-database/","Galectin Therapeutics Inc")</f>
        <v>0</v>
      </c>
      <c r="C1162" s="1" t="s">
        <v>3176</v>
      </c>
      <c r="D1162" s="3">
        <v>2.6</v>
      </c>
      <c r="E1162" s="4">
        <v>0</v>
      </c>
      <c r="F1162" s="4" t="s">
        <v>3178</v>
      </c>
      <c r="G1162" s="4" t="s">
        <v>3178</v>
      </c>
      <c r="H1162" s="3">
        <v>0</v>
      </c>
      <c r="I1162" s="5">
        <v>161.585148</v>
      </c>
      <c r="J1162" s="6">
        <v>0</v>
      </c>
      <c r="K1162" s="4" t="s">
        <v>3178</v>
      </c>
      <c r="L1162" s="7">
        <v>0.8338166242595281</v>
      </c>
      <c r="M1162" s="3">
        <v>4.27</v>
      </c>
      <c r="N1162" s="3">
        <v>1.28</v>
      </c>
    </row>
    <row r="1163" spans="1:14">
      <c r="A1163" s="8" t="s">
        <v>1175</v>
      </c>
      <c r="B1163" s="2">
        <f>HYPERLINK("https://www.suredividend.com/sure-analysis-GATX/","GATX Corp.")</f>
        <v>0</v>
      </c>
      <c r="C1163" s="1" t="s">
        <v>3179</v>
      </c>
      <c r="D1163" s="3">
        <v>131.13</v>
      </c>
      <c r="E1163" s="4">
        <v>0.01769236635399985</v>
      </c>
      <c r="F1163" s="4">
        <v>0.05454545454545445</v>
      </c>
      <c r="G1163" s="4">
        <v>0.04745176373283</v>
      </c>
      <c r="H1163" s="3">
        <v>2.214529301614008</v>
      </c>
      <c r="I1163" s="5">
        <v>4668.228</v>
      </c>
      <c r="J1163" s="6">
        <v>18.22814525575947</v>
      </c>
      <c r="K1163" s="4">
        <v>0.308860432582149</v>
      </c>
      <c r="L1163" s="7">
        <v>0.839290328516604</v>
      </c>
      <c r="M1163" s="3">
        <v>141.24</v>
      </c>
      <c r="N1163" s="3">
        <v>96.3</v>
      </c>
    </row>
    <row r="1164" spans="1:14">
      <c r="A1164" s="8" t="s">
        <v>1176</v>
      </c>
      <c r="B1164" s="2">
        <f>HYPERLINK("https://www.suredividend.com/sure-analysis-research-database/","Glacier Bancorp, Inc.")</f>
        <v>0</v>
      </c>
      <c r="C1164" s="1" t="s">
        <v>3180</v>
      </c>
      <c r="D1164" s="3">
        <v>36.01</v>
      </c>
      <c r="E1164" s="4">
        <v>0.036153074487949</v>
      </c>
      <c r="F1164" s="4">
        <v>0</v>
      </c>
      <c r="G1164" s="4">
        <v>0.02617915477537269</v>
      </c>
      <c r="H1164" s="3">
        <v>1.301872212311047</v>
      </c>
      <c r="I1164" s="5">
        <v>4083.123126</v>
      </c>
      <c r="J1164" s="6">
        <v>21.00988008778294</v>
      </c>
      <c r="K1164" s="4">
        <v>0.7439269784634555</v>
      </c>
      <c r="L1164" s="7">
        <v>1.277108741104442</v>
      </c>
      <c r="M1164" s="3">
        <v>43.68</v>
      </c>
      <c r="N1164" s="3">
        <v>26.07</v>
      </c>
    </row>
    <row r="1165" spans="1:14">
      <c r="A1165" s="8" t="s">
        <v>1177</v>
      </c>
      <c r="B1165" s="2">
        <f>HYPERLINK("https://www.suredividend.com/sure-analysis-research-database/","Gamco Investors Inc")</f>
        <v>0</v>
      </c>
      <c r="C1165" s="1" t="s">
        <v>3180</v>
      </c>
      <c r="D1165" s="3">
        <v>14.78</v>
      </c>
      <c r="E1165" s="4">
        <v>0.010793687739407</v>
      </c>
      <c r="F1165" s="4" t="s">
        <v>3178</v>
      </c>
      <c r="G1165" s="4" t="s">
        <v>3178</v>
      </c>
      <c r="H1165" s="3">
        <v>0.159530704788446</v>
      </c>
      <c r="I1165" s="5">
        <v>108.528254</v>
      </c>
      <c r="J1165" s="6">
        <v>0</v>
      </c>
      <c r="K1165" s="4" t="s">
        <v>3178</v>
      </c>
      <c r="L1165" s="7">
        <v>0.8035066453292681</v>
      </c>
      <c r="M1165" s="3">
        <v>29.58</v>
      </c>
      <c r="N1165" s="3">
        <v>14.45</v>
      </c>
    </row>
    <row r="1166" spans="1:14">
      <c r="A1166" s="8" t="s">
        <v>1178</v>
      </c>
      <c r="B1166" s="2">
        <f>HYPERLINK("https://www.suredividend.com/sure-analysis-research-database/","Global Indemnity Group LLC")</f>
        <v>0</v>
      </c>
      <c r="C1166" s="1" t="s">
        <v>3180</v>
      </c>
      <c r="D1166" s="3">
        <v>31.24</v>
      </c>
      <c r="E1166" s="4">
        <v>0.034735487383422</v>
      </c>
      <c r="F1166" s="4" t="s">
        <v>3178</v>
      </c>
      <c r="G1166" s="4" t="s">
        <v>3178</v>
      </c>
      <c r="H1166" s="3">
        <v>1.085136625858118</v>
      </c>
      <c r="I1166" s="5">
        <v>306.488236</v>
      </c>
      <c r="J1166" s="6">
        <v>9.051363991612767</v>
      </c>
      <c r="K1166" s="4">
        <v>0.4357978417100876</v>
      </c>
      <c r="M1166" s="3">
        <v>36.25</v>
      </c>
      <c r="N1166" s="3">
        <v>25.97</v>
      </c>
    </row>
    <row r="1167" spans="1:14">
      <c r="A1167" s="8" t="s">
        <v>1179</v>
      </c>
      <c r="B1167" s="2">
        <f>HYPERLINK("https://www.suredividend.com/sure-analysis-research-database/","Global Blood Therapeutics Inc.")</f>
        <v>0</v>
      </c>
      <c r="C1167" s="1" t="s">
        <v>3176</v>
      </c>
      <c r="D1167" s="3">
        <v>68.48999999999999</v>
      </c>
      <c r="E1167" s="4">
        <v>0</v>
      </c>
      <c r="F1167" s="4" t="s">
        <v>3178</v>
      </c>
      <c r="G1167" s="4" t="s">
        <v>3178</v>
      </c>
      <c r="H1167" s="3">
        <v>0</v>
      </c>
      <c r="I1167" s="5">
        <v>0</v>
      </c>
      <c r="J1167" s="6">
        <v>0</v>
      </c>
      <c r="K1167" s="4" t="s">
        <v>3178</v>
      </c>
    </row>
    <row r="1168" spans="1:14">
      <c r="A1168" s="8" t="s">
        <v>1180</v>
      </c>
      <c r="B1168" s="2">
        <f>HYPERLINK("https://www.suredividend.com/sure-analysis-research-database/","Greenbrier Cos., Inc.")</f>
        <v>0</v>
      </c>
      <c r="C1168" s="1" t="s">
        <v>3179</v>
      </c>
      <c r="D1168" s="3">
        <v>50.94</v>
      </c>
      <c r="E1168" s="4">
        <v>0.023331103370804</v>
      </c>
      <c r="F1168" s="4">
        <v>0.1111111111111112</v>
      </c>
      <c r="G1168" s="4">
        <v>0.03713728933664817</v>
      </c>
      <c r="H1168" s="3">
        <v>1.188486405708775</v>
      </c>
      <c r="I1168" s="5">
        <v>1585.810236</v>
      </c>
      <c r="J1168" s="6">
        <v>14.32529572195122</v>
      </c>
      <c r="K1168" s="4">
        <v>0.3579778330448117</v>
      </c>
      <c r="L1168" s="7">
        <v>1.451657291626131</v>
      </c>
      <c r="M1168" s="3">
        <v>57.66</v>
      </c>
      <c r="N1168" s="3">
        <v>28.92</v>
      </c>
    </row>
    <row r="1169" spans="1:14">
      <c r="A1169" s="8" t="s">
        <v>1181</v>
      </c>
      <c r="B1169" s="2">
        <f>HYPERLINK("https://www.suredividend.com/sure-analysis-research-database/","Greene County Bancorp Inc")</f>
        <v>0</v>
      </c>
      <c r="C1169" s="1" t="s">
        <v>3180</v>
      </c>
      <c r="D1169" s="3">
        <v>30.82</v>
      </c>
      <c r="E1169" s="4">
        <v>0.01029650290672</v>
      </c>
      <c r="F1169" s="4">
        <v>0.1428571428571428</v>
      </c>
      <c r="G1169" s="4">
        <v>-0.06170487402194635</v>
      </c>
      <c r="H1169" s="3">
        <v>0.317338219585133</v>
      </c>
      <c r="I1169" s="5">
        <v>524.766839</v>
      </c>
      <c r="J1169" s="6">
        <v>0</v>
      </c>
      <c r="K1169" s="4" t="s">
        <v>3178</v>
      </c>
      <c r="L1169" s="7">
        <v>1.160279456170926</v>
      </c>
      <c r="M1169" s="3">
        <v>36.14</v>
      </c>
      <c r="N1169" s="3">
        <v>21.95</v>
      </c>
    </row>
    <row r="1170" spans="1:14">
      <c r="A1170" s="8" t="s">
        <v>1182</v>
      </c>
      <c r="B1170" s="2">
        <f>HYPERLINK("https://www.suredividend.com/sure-analysis-research-database/","Gannett Co Inc.")</f>
        <v>0</v>
      </c>
      <c r="C1170" s="1" t="s">
        <v>3187</v>
      </c>
      <c r="D1170" s="3">
        <v>4</v>
      </c>
      <c r="E1170" s="4">
        <v>0</v>
      </c>
      <c r="F1170" s="4" t="s">
        <v>3178</v>
      </c>
      <c r="G1170" s="4" t="s">
        <v>3178</v>
      </c>
      <c r="H1170" s="3">
        <v>0</v>
      </c>
      <c r="I1170" s="5">
        <v>590.190436</v>
      </c>
      <c r="J1170" s="6" t="s">
        <v>3178</v>
      </c>
      <c r="K1170" s="4">
        <v>-0</v>
      </c>
      <c r="L1170" s="7">
        <v>1.423160137201867</v>
      </c>
      <c r="M1170" s="3">
        <v>4.28</v>
      </c>
      <c r="N1170" s="3">
        <v>1.66</v>
      </c>
    </row>
    <row r="1171" spans="1:14">
      <c r="A1171" s="8" t="s">
        <v>1183</v>
      </c>
      <c r="B1171" s="2">
        <f>HYPERLINK("https://www.suredividend.com/sure-analysis-research-database/","Genesco Inc.")</f>
        <v>0</v>
      </c>
      <c r="C1171" s="1" t="s">
        <v>3182</v>
      </c>
      <c r="D1171" s="3">
        <v>26.08</v>
      </c>
      <c r="E1171" s="4">
        <v>0</v>
      </c>
      <c r="F1171" s="4" t="s">
        <v>3178</v>
      </c>
      <c r="G1171" s="4" t="s">
        <v>3178</v>
      </c>
      <c r="H1171" s="3">
        <v>0</v>
      </c>
      <c r="I1171" s="5">
        <v>303.411982</v>
      </c>
      <c r="J1171" s="6" t="s">
        <v>3178</v>
      </c>
      <c r="K1171" s="4">
        <v>-0</v>
      </c>
      <c r="L1171" s="7">
        <v>1.677453325704317</v>
      </c>
      <c r="M1171" s="3">
        <v>37.89</v>
      </c>
      <c r="N1171" s="3">
        <v>20.78</v>
      </c>
    </row>
    <row r="1172" spans="1:14">
      <c r="A1172" s="8" t="s">
        <v>1184</v>
      </c>
      <c r="B1172" s="2">
        <f>HYPERLINK("https://www.suredividend.com/sure-analysis-research-database/","GCP Applied Technologies Inc")</f>
        <v>0</v>
      </c>
      <c r="C1172" s="1" t="s">
        <v>3177</v>
      </c>
      <c r="D1172" s="3">
        <v>32.01</v>
      </c>
      <c r="E1172" s="4">
        <v>0</v>
      </c>
      <c r="F1172" s="4" t="s">
        <v>3178</v>
      </c>
      <c r="G1172" s="4" t="s">
        <v>3178</v>
      </c>
      <c r="H1172" s="3">
        <v>0</v>
      </c>
      <c r="I1172" s="5">
        <v>2369.103281</v>
      </c>
      <c r="J1172" s="6">
        <v>215.37302559</v>
      </c>
      <c r="K1172" s="4">
        <v>0</v>
      </c>
      <c r="L1172" s="7">
        <v>0.140050265907739</v>
      </c>
      <c r="M1172" s="3">
        <v>32.28</v>
      </c>
      <c r="N1172" s="3">
        <v>20.76</v>
      </c>
    </row>
    <row r="1173" spans="1:14">
      <c r="A1173" s="8" t="s">
        <v>1185</v>
      </c>
      <c r="B1173" s="2">
        <f>HYPERLINK("https://www.suredividend.com/sure-analysis-GD/","General Dynamics Corp.")</f>
        <v>0</v>
      </c>
      <c r="C1173" s="1" t="s">
        <v>3179</v>
      </c>
      <c r="D1173" s="3">
        <v>299.14</v>
      </c>
      <c r="E1173" s="4">
        <v>0.01898776492612155</v>
      </c>
      <c r="F1173" s="4">
        <v>0.07575757575757569</v>
      </c>
      <c r="G1173" s="4">
        <v>0.06840923807777366</v>
      </c>
      <c r="H1173" s="3">
        <v>5.338876097252951</v>
      </c>
      <c r="I1173" s="5">
        <v>82073.272088</v>
      </c>
      <c r="J1173" s="6">
        <v>24.25333099520094</v>
      </c>
      <c r="K1173" s="4">
        <v>0.4351162263449838</v>
      </c>
      <c r="L1173" s="7">
        <v>0.375008541792797</v>
      </c>
      <c r="M1173" s="3">
        <v>302.42</v>
      </c>
      <c r="N1173" s="3">
        <v>204.62</v>
      </c>
    </row>
    <row r="1174" spans="1:14">
      <c r="A1174" s="8" t="s">
        <v>1186</v>
      </c>
      <c r="B1174" s="2">
        <f>HYPERLINK("https://www.suredividend.com/sure-analysis-research-database/","Godaddy Inc")</f>
        <v>0</v>
      </c>
      <c r="C1174" s="1" t="s">
        <v>3181</v>
      </c>
      <c r="D1174" s="3">
        <v>139.36</v>
      </c>
      <c r="E1174" s="4">
        <v>0</v>
      </c>
      <c r="F1174" s="4" t="s">
        <v>3178</v>
      </c>
      <c r="G1174" s="4" t="s">
        <v>3178</v>
      </c>
      <c r="H1174" s="3">
        <v>0</v>
      </c>
      <c r="I1174" s="5">
        <v>19641.518528</v>
      </c>
      <c r="J1174" s="6">
        <v>11.36004541834587</v>
      </c>
      <c r="K1174" s="4">
        <v>0</v>
      </c>
      <c r="L1174" s="7">
        <v>1.030863322968317</v>
      </c>
      <c r="M1174" s="3">
        <v>141.27</v>
      </c>
      <c r="N1174" s="3">
        <v>69.18000000000001</v>
      </c>
    </row>
    <row r="1175" spans="1:14">
      <c r="A1175" s="8" t="s">
        <v>1187</v>
      </c>
      <c r="B1175" s="2">
        <f>HYPERLINK("https://www.suredividend.com/sure-analysis-research-database/","Golden Entertainment Inc")</f>
        <v>0</v>
      </c>
      <c r="C1175" s="1" t="s">
        <v>3182</v>
      </c>
      <c r="D1175" s="3">
        <v>29.84</v>
      </c>
      <c r="E1175" s="4">
        <v>0.00837801608579</v>
      </c>
      <c r="F1175" s="4" t="s">
        <v>3178</v>
      </c>
      <c r="G1175" s="4" t="s">
        <v>3178</v>
      </c>
      <c r="H1175" s="3">
        <v>0.25</v>
      </c>
      <c r="I1175" s="5">
        <v>863.830431</v>
      </c>
      <c r="J1175" s="6">
        <v>3.01944650594745</v>
      </c>
      <c r="K1175" s="4">
        <v>0.02685284640171858</v>
      </c>
      <c r="L1175" s="7">
        <v>1.13909832534571</v>
      </c>
      <c r="M1175" s="3">
        <v>42.38</v>
      </c>
      <c r="N1175" s="3">
        <v>28.2</v>
      </c>
    </row>
    <row r="1176" spans="1:14">
      <c r="A1176" s="8" t="s">
        <v>1188</v>
      </c>
      <c r="B1176" s="2">
        <f>HYPERLINK("https://www.suredividend.com/sure-analysis-research-database/","Green Dot Corp.")</f>
        <v>0</v>
      </c>
      <c r="C1176" s="1" t="s">
        <v>3180</v>
      </c>
      <c r="D1176" s="3">
        <v>9.800000000000001</v>
      </c>
      <c r="E1176" s="4">
        <v>0</v>
      </c>
      <c r="F1176" s="4" t="s">
        <v>3178</v>
      </c>
      <c r="G1176" s="4" t="s">
        <v>3178</v>
      </c>
      <c r="H1176" s="3">
        <v>0</v>
      </c>
      <c r="I1176" s="5">
        <v>521.458323</v>
      </c>
      <c r="J1176" s="6">
        <v>77.57487703064565</v>
      </c>
      <c r="K1176" s="4">
        <v>0</v>
      </c>
      <c r="L1176" s="7">
        <v>0.95557843158189</v>
      </c>
      <c r="M1176" s="3">
        <v>21.37</v>
      </c>
      <c r="N1176" s="3">
        <v>7.3</v>
      </c>
    </row>
    <row r="1177" spans="1:14">
      <c r="A1177" s="8" t="s">
        <v>1189</v>
      </c>
      <c r="B1177" s="2">
        <f>HYPERLINK("https://www.suredividend.com/sure-analysis-research-database/","Goodrich Petroleum Corp.")</f>
        <v>0</v>
      </c>
      <c r="C1177" s="1" t="s">
        <v>3185</v>
      </c>
      <c r="D1177" s="3">
        <v>23.02</v>
      </c>
      <c r="E1177" s="4">
        <v>0</v>
      </c>
      <c r="F1177" s="4" t="s">
        <v>3178</v>
      </c>
      <c r="G1177" s="4" t="s">
        <v>3178</v>
      </c>
      <c r="H1177" s="3">
        <v>0</v>
      </c>
      <c r="I1177" s="5">
        <v>331.239177</v>
      </c>
      <c r="J1177" s="6">
        <v>0</v>
      </c>
      <c r="K1177" s="4" t="s">
        <v>3178</v>
      </c>
      <c r="M1177" s="3">
        <v>26.66</v>
      </c>
      <c r="N1177" s="3">
        <v>8.609999999999999</v>
      </c>
    </row>
    <row r="1178" spans="1:14">
      <c r="A1178" s="8" t="s">
        <v>1190</v>
      </c>
      <c r="B1178" s="2">
        <f>HYPERLINK("https://www.suredividend.com/sure-analysis-research-database/","GE Aerospace")</f>
        <v>0</v>
      </c>
      <c r="C1178" s="1" t="s">
        <v>3179</v>
      </c>
      <c r="D1178" s="3">
        <v>161.92</v>
      </c>
      <c r="E1178" s="4">
        <v>0.002906418421821</v>
      </c>
      <c r="F1178" s="4">
        <v>2.5</v>
      </c>
      <c r="G1178" s="4">
        <v>0.9472943612303364</v>
      </c>
      <c r="H1178" s="3">
        <v>0.47060727086134</v>
      </c>
      <c r="I1178" s="5">
        <v>177238.712978</v>
      </c>
      <c r="J1178" s="6">
        <v>52.70256109958965</v>
      </c>
      <c r="K1178" s="4">
        <v>0.1928718323202213</v>
      </c>
      <c r="L1178" s="7">
        <v>1.103895137285798</v>
      </c>
      <c r="M1178" s="3">
        <v>170.8</v>
      </c>
      <c r="N1178" s="3">
        <v>81.40000000000001</v>
      </c>
    </row>
    <row r="1179" spans="1:14">
      <c r="A1179" s="8" t="s">
        <v>1191</v>
      </c>
      <c r="B1179" s="2">
        <f>HYPERLINK("https://www.suredividend.com/sure-analysis-research-database/","Great Elm Capital Group Inc")</f>
        <v>0</v>
      </c>
      <c r="C1179" s="1" t="s">
        <v>3180</v>
      </c>
      <c r="D1179" s="3">
        <v>2.62</v>
      </c>
      <c r="E1179" s="4">
        <v>0</v>
      </c>
      <c r="F1179" s="4" t="s">
        <v>3178</v>
      </c>
      <c r="G1179" s="4" t="s">
        <v>3178</v>
      </c>
      <c r="H1179" s="3">
        <v>0</v>
      </c>
      <c r="I1179" s="5">
        <v>0</v>
      </c>
      <c r="J1179" s="6">
        <v>0</v>
      </c>
      <c r="K1179" s="4">
        <v>-0</v>
      </c>
    </row>
    <row r="1180" spans="1:14">
      <c r="A1180" s="8" t="s">
        <v>1192</v>
      </c>
      <c r="B1180" s="2">
        <f>HYPERLINK("https://www.suredividend.com/sure-analysis-GEF/","Greif Inc")</f>
        <v>0</v>
      </c>
      <c r="C1180" s="1" t="s">
        <v>3182</v>
      </c>
      <c r="D1180" s="3">
        <v>61.29</v>
      </c>
      <c r="E1180" s="4">
        <v>0.03393702072116169</v>
      </c>
      <c r="F1180" s="4">
        <v>0.04000000000000004</v>
      </c>
      <c r="G1180" s="4">
        <v>0.03397522653195018</v>
      </c>
      <c r="H1180" s="3">
        <v>2.035690928214301</v>
      </c>
      <c r="I1180" s="5">
        <v>2909.20866</v>
      </c>
      <c r="J1180" s="6">
        <v>8.645493787994056</v>
      </c>
      <c r="K1180" s="4">
        <v>0.3348175868773522</v>
      </c>
      <c r="L1180" s="7">
        <v>0.704111878801559</v>
      </c>
      <c r="M1180" s="3">
        <v>74.20999999999999</v>
      </c>
      <c r="N1180" s="3">
        <v>59.53</v>
      </c>
    </row>
    <row r="1181" spans="1:14">
      <c r="A1181" s="8" t="s">
        <v>1193</v>
      </c>
      <c r="B1181" s="2">
        <f>HYPERLINK("https://www.suredividend.com/sure-analysis-research-database/","Gen Digital Inc")</f>
        <v>0</v>
      </c>
      <c r="C1181" s="1" t="s">
        <v>3176</v>
      </c>
      <c r="D1181" s="3">
        <v>24.72</v>
      </c>
      <c r="E1181" s="4">
        <v>0.019900107091591</v>
      </c>
      <c r="F1181" s="4" t="s">
        <v>3178</v>
      </c>
      <c r="G1181" s="4" t="s">
        <v>3178</v>
      </c>
      <c r="H1181" s="3">
        <v>0.491930647304148</v>
      </c>
      <c r="I1181" s="5">
        <v>15478.326574</v>
      </c>
      <c r="J1181" s="6">
        <v>25.12715352896104</v>
      </c>
      <c r="K1181" s="4">
        <v>0.512694786142937</v>
      </c>
      <c r="L1181" s="7">
        <v>1.051775545555159</v>
      </c>
      <c r="M1181" s="3">
        <v>25.62</v>
      </c>
      <c r="N1181" s="3">
        <v>15.83</v>
      </c>
    </row>
    <row r="1182" spans="1:14">
      <c r="A1182" s="8" t="s">
        <v>1194</v>
      </c>
      <c r="B1182" s="2">
        <f>HYPERLINK("https://www.suredividend.com/sure-analysis-research-database/","Gencor Industries, Inc.")</f>
        <v>0</v>
      </c>
      <c r="C1182" s="1" t="s">
        <v>3179</v>
      </c>
      <c r="D1182" s="3">
        <v>19.61</v>
      </c>
      <c r="E1182" s="4">
        <v>0</v>
      </c>
      <c r="F1182" s="4" t="s">
        <v>3178</v>
      </c>
      <c r="G1182" s="4" t="s">
        <v>3178</v>
      </c>
      <c r="H1182" s="3">
        <v>0</v>
      </c>
      <c r="I1182" s="5">
        <v>241.96475</v>
      </c>
      <c r="J1182" s="6">
        <v>0</v>
      </c>
      <c r="K1182" s="4" t="s">
        <v>3178</v>
      </c>
      <c r="L1182" s="7">
        <v>0.739799988576283</v>
      </c>
      <c r="M1182" s="3">
        <v>20.45</v>
      </c>
      <c r="N1182" s="3">
        <v>13.46</v>
      </c>
    </row>
    <row r="1183" spans="1:14">
      <c r="A1183" s="8" t="s">
        <v>1195</v>
      </c>
      <c r="B1183" s="2">
        <f>HYPERLINK("https://www.suredividend.com/sure-analysis-research-database/","Geo Group, Inc.")</f>
        <v>0</v>
      </c>
      <c r="C1183" s="1" t="s">
        <v>3183</v>
      </c>
      <c r="D1183" s="3">
        <v>13.79</v>
      </c>
      <c r="E1183" s="4">
        <v>0</v>
      </c>
      <c r="F1183" s="4" t="s">
        <v>3178</v>
      </c>
      <c r="G1183" s="4" t="s">
        <v>3178</v>
      </c>
      <c r="H1183" s="3">
        <v>0</v>
      </c>
      <c r="I1183" s="5">
        <v>1879.661753</v>
      </c>
      <c r="J1183" s="6">
        <v>22.19120637214738</v>
      </c>
      <c r="K1183" s="4">
        <v>0</v>
      </c>
      <c r="L1183" s="7">
        <v>0.8384634015581741</v>
      </c>
      <c r="M1183" s="3">
        <v>16.31</v>
      </c>
      <c r="N1183" s="3">
        <v>6.94</v>
      </c>
    </row>
    <row r="1184" spans="1:14">
      <c r="A1184" s="8" t="s">
        <v>1196</v>
      </c>
      <c r="B1184" s="2">
        <f>HYPERLINK("https://www.suredividend.com/sure-analysis-research-database/","Geospace Technologies Corp")</f>
        <v>0</v>
      </c>
      <c r="C1184" s="1" t="s">
        <v>3185</v>
      </c>
      <c r="D1184" s="3">
        <v>10.09</v>
      </c>
      <c r="E1184" s="4">
        <v>0</v>
      </c>
      <c r="F1184" s="4" t="s">
        <v>3178</v>
      </c>
      <c r="G1184" s="4" t="s">
        <v>3178</v>
      </c>
      <c r="H1184" s="3">
        <v>0</v>
      </c>
      <c r="I1184" s="5">
        <v>134.823488</v>
      </c>
      <c r="J1184" s="6">
        <v>5.396825238171483</v>
      </c>
      <c r="K1184" s="4">
        <v>0</v>
      </c>
      <c r="L1184" s="7">
        <v>0.244404611034012</v>
      </c>
      <c r="M1184" s="3">
        <v>17.09</v>
      </c>
      <c r="N1184" s="3">
        <v>6.6</v>
      </c>
    </row>
    <row r="1185" spans="1:14">
      <c r="A1185" s="8" t="s">
        <v>1197</v>
      </c>
      <c r="B1185" s="2">
        <f>HYPERLINK("https://www.suredividend.com/sure-analysis-research-database/","Geron Corp.")</f>
        <v>0</v>
      </c>
      <c r="C1185" s="1" t="s">
        <v>3176</v>
      </c>
      <c r="D1185" s="3">
        <v>4.59</v>
      </c>
      <c r="E1185" s="4">
        <v>0</v>
      </c>
      <c r="F1185" s="4" t="s">
        <v>3178</v>
      </c>
      <c r="G1185" s="4" t="s">
        <v>3178</v>
      </c>
      <c r="H1185" s="3">
        <v>0</v>
      </c>
      <c r="I1185" s="5">
        <v>2722.478359</v>
      </c>
      <c r="J1185" s="6" t="s">
        <v>3178</v>
      </c>
      <c r="K1185" s="4">
        <v>-0</v>
      </c>
      <c r="M1185" s="3">
        <v>5.15</v>
      </c>
      <c r="N1185" s="3">
        <v>1.64</v>
      </c>
    </row>
    <row r="1186" spans="1:14">
      <c r="A1186" s="8" t="s">
        <v>1198</v>
      </c>
      <c r="B1186" s="2">
        <f>HYPERLINK("https://www.suredividend.com/sure-analysis-research-database/","Guess Inc.")</f>
        <v>0</v>
      </c>
      <c r="C1186" s="1" t="s">
        <v>3182</v>
      </c>
      <c r="D1186" s="3">
        <v>23.13</v>
      </c>
      <c r="E1186" s="4">
        <v>0.036632574951008</v>
      </c>
      <c r="F1186" s="4" t="s">
        <v>3178</v>
      </c>
      <c r="G1186" s="4" t="s">
        <v>3178</v>
      </c>
      <c r="H1186" s="3">
        <v>0.8473114586168161</v>
      </c>
      <c r="I1186" s="5">
        <v>1236.594171</v>
      </c>
      <c r="J1186" s="6">
        <v>6.31463090838993</v>
      </c>
      <c r="K1186" s="4">
        <v>0.301534326909899</v>
      </c>
      <c r="L1186" s="7">
        <v>0.8440793593290841</v>
      </c>
      <c r="M1186" s="3">
        <v>30.76</v>
      </c>
      <c r="N1186" s="3">
        <v>16.04</v>
      </c>
    </row>
    <row r="1187" spans="1:14">
      <c r="A1187" s="8" t="s">
        <v>1199</v>
      </c>
      <c r="B1187" s="2">
        <f>HYPERLINK("https://www.suredividend.com/sure-analysis-research-database/","Gevo Inc")</f>
        <v>0</v>
      </c>
      <c r="C1187" s="1" t="s">
        <v>3177</v>
      </c>
      <c r="D1187" s="3">
        <v>0.6145</v>
      </c>
      <c r="E1187" s="4">
        <v>0</v>
      </c>
      <c r="F1187" s="4" t="s">
        <v>3178</v>
      </c>
      <c r="G1187" s="4" t="s">
        <v>3178</v>
      </c>
      <c r="H1187" s="3">
        <v>0</v>
      </c>
      <c r="I1187" s="5">
        <v>145.165005</v>
      </c>
      <c r="J1187" s="6">
        <v>0</v>
      </c>
      <c r="K1187" s="4" t="s">
        <v>3178</v>
      </c>
      <c r="L1187" s="7">
        <v>2.367350762270249</v>
      </c>
      <c r="M1187" s="3">
        <v>1.86</v>
      </c>
      <c r="N1187" s="3">
        <v>0.5683</v>
      </c>
    </row>
    <row r="1188" spans="1:14">
      <c r="A1188" s="8" t="s">
        <v>1200</v>
      </c>
      <c r="B1188" s="2">
        <f>HYPERLINK("https://www.suredividend.com/sure-analysis-research-database/","Guaranty Federal Bancshares Inc")</f>
        <v>0</v>
      </c>
      <c r="C1188" s="1" t="s">
        <v>3180</v>
      </c>
      <c r="D1188" s="3">
        <v>31.43</v>
      </c>
      <c r="E1188" s="4">
        <v>0</v>
      </c>
      <c r="F1188" s="4" t="s">
        <v>3178</v>
      </c>
      <c r="G1188" s="4" t="s">
        <v>3178</v>
      </c>
      <c r="H1188" s="3">
        <v>0.450000017881393</v>
      </c>
      <c r="I1188" s="5">
        <v>0</v>
      </c>
      <c r="J1188" s="6">
        <v>0</v>
      </c>
      <c r="K1188" s="4" t="s">
        <v>3178</v>
      </c>
    </row>
    <row r="1189" spans="1:14">
      <c r="A1189" s="8" t="s">
        <v>1201</v>
      </c>
      <c r="B1189" s="2">
        <f>HYPERLINK("https://www.suredividend.com/sure-analysis-research-database/","Griffon Corp.")</f>
        <v>0</v>
      </c>
      <c r="C1189" s="1" t="s">
        <v>3179</v>
      </c>
      <c r="D1189" s="3">
        <v>65.56</v>
      </c>
      <c r="E1189" s="4">
        <v>0.008740907370279001</v>
      </c>
      <c r="F1189" s="4">
        <v>0.2</v>
      </c>
      <c r="G1189" s="4">
        <v>0.1486983549970351</v>
      </c>
      <c r="H1189" s="3">
        <v>0.5730538871955121</v>
      </c>
      <c r="I1189" s="5">
        <v>3248.718085</v>
      </c>
      <c r="J1189" s="6">
        <v>16.45003840660286</v>
      </c>
      <c r="K1189" s="4">
        <v>0.1536337499183678</v>
      </c>
      <c r="L1189" s="7">
        <v>1.331821971207915</v>
      </c>
      <c r="M1189" s="3">
        <v>77.81</v>
      </c>
      <c r="N1189" s="3">
        <v>35.5</v>
      </c>
    </row>
    <row r="1190" spans="1:14">
      <c r="A1190" s="8" t="s">
        <v>1202</v>
      </c>
      <c r="B1190" s="2">
        <f>HYPERLINK("https://www.suredividend.com/sure-analysis-research-database/","General Finance Corporation")</f>
        <v>0</v>
      </c>
      <c r="C1190" s="1" t="s">
        <v>3179</v>
      </c>
      <c r="D1190" s="3">
        <v>19.01</v>
      </c>
      <c r="E1190" s="4">
        <v>0</v>
      </c>
      <c r="F1190" s="4" t="s">
        <v>3178</v>
      </c>
      <c r="G1190" s="4" t="s">
        <v>3178</v>
      </c>
      <c r="H1190" s="3">
        <v>0</v>
      </c>
      <c r="I1190" s="5">
        <v>0</v>
      </c>
      <c r="J1190" s="6">
        <v>0</v>
      </c>
      <c r="K1190" s="4" t="s">
        <v>3178</v>
      </c>
    </row>
    <row r="1191" spans="1:14">
      <c r="A1191" s="8" t="s">
        <v>1203</v>
      </c>
      <c r="B1191" s="2">
        <f>HYPERLINK("https://www.suredividend.com/sure-analysis-GGG/","Graco Inc.")</f>
        <v>0</v>
      </c>
      <c r="C1191" s="1" t="s">
        <v>3179</v>
      </c>
      <c r="D1191" s="3">
        <v>78.34999999999999</v>
      </c>
      <c r="E1191" s="4">
        <v>0.01301850670070198</v>
      </c>
      <c r="F1191" s="4">
        <v>0.08510638297872331</v>
      </c>
      <c r="G1191" s="4">
        <v>0.09770094871374502</v>
      </c>
      <c r="H1191" s="3">
        <v>0.975830416787525</v>
      </c>
      <c r="I1191" s="5">
        <v>13251.795885</v>
      </c>
      <c r="J1191" s="6">
        <v>26.52778510921961</v>
      </c>
      <c r="K1191" s="4">
        <v>0.3364932471681121</v>
      </c>
      <c r="L1191" s="7">
        <v>0.9604648914192011</v>
      </c>
      <c r="M1191" s="3">
        <v>94.51000000000001</v>
      </c>
      <c r="N1191" s="3">
        <v>69.38</v>
      </c>
    </row>
    <row r="1192" spans="1:14">
      <c r="A1192" s="8" t="s">
        <v>1204</v>
      </c>
      <c r="B1192" s="2">
        <f>HYPERLINK("https://www.suredividend.com/sure-analysis-research-database/","Guardant Health Inc")</f>
        <v>0</v>
      </c>
      <c r="C1192" s="1" t="s">
        <v>3176</v>
      </c>
      <c r="D1192" s="3">
        <v>28.67</v>
      </c>
      <c r="E1192" s="4">
        <v>0</v>
      </c>
      <c r="F1192" s="4" t="s">
        <v>3178</v>
      </c>
      <c r="G1192" s="4" t="s">
        <v>3178</v>
      </c>
      <c r="H1192" s="3">
        <v>0</v>
      </c>
      <c r="I1192" s="5">
        <v>3508.325365</v>
      </c>
      <c r="J1192" s="6" t="s">
        <v>3178</v>
      </c>
      <c r="K1192" s="4">
        <v>-0</v>
      </c>
      <c r="M1192" s="3">
        <v>41.06</v>
      </c>
      <c r="N1192" s="3">
        <v>15.81</v>
      </c>
    </row>
    <row r="1193" spans="1:14">
      <c r="A1193" s="8" t="s">
        <v>1205</v>
      </c>
      <c r="B1193" s="2">
        <f>HYPERLINK("https://www.suredividend.com/sure-analysis-research-database/","Graham Holdings Co.")</f>
        <v>0</v>
      </c>
      <c r="C1193" s="1" t="s">
        <v>3184</v>
      </c>
      <c r="D1193" s="3">
        <v>711.91</v>
      </c>
      <c r="E1193" s="4">
        <v>0.009433224324511</v>
      </c>
      <c r="F1193" s="4">
        <v>0.04242424242424248</v>
      </c>
      <c r="G1193" s="4">
        <v>0.04352469075580156</v>
      </c>
      <c r="H1193" s="3">
        <v>6.715606728862763</v>
      </c>
      <c r="I1193" s="5">
        <v>2473.005194</v>
      </c>
      <c r="J1193" s="6">
        <v>8.95867063282931</v>
      </c>
      <c r="K1193" s="4">
        <v>0.1112776591360855</v>
      </c>
      <c r="L1193" s="7">
        <v>0.8767984718313071</v>
      </c>
      <c r="M1193" s="3">
        <v>778.84</v>
      </c>
      <c r="N1193" s="3">
        <v>545.61</v>
      </c>
    </row>
    <row r="1194" spans="1:14">
      <c r="A1194" s="8" t="s">
        <v>1206</v>
      </c>
      <c r="B1194" s="2">
        <f>HYPERLINK("https://www.suredividend.com/sure-analysis-research-database/","Greenhill &amp; Co Inc")</f>
        <v>0</v>
      </c>
      <c r="C1194" s="1" t="s">
        <v>3180</v>
      </c>
      <c r="D1194" s="3">
        <v>14.99</v>
      </c>
      <c r="E1194" s="4">
        <v>0.026400140193124</v>
      </c>
      <c r="F1194" s="4" t="s">
        <v>3178</v>
      </c>
      <c r="G1194" s="4" t="s">
        <v>3178</v>
      </c>
      <c r="H1194" s="3">
        <v>0.39573810149494</v>
      </c>
      <c r="I1194" s="5">
        <v>282.041272</v>
      </c>
      <c r="J1194" s="6" t="s">
        <v>3178</v>
      </c>
      <c r="K1194" s="4" t="s">
        <v>3178</v>
      </c>
      <c r="M1194" s="3">
        <v>15.07</v>
      </c>
      <c r="N1194" s="3">
        <v>6.06</v>
      </c>
    </row>
    <row r="1195" spans="1:14">
      <c r="A1195" s="8" t="s">
        <v>1207</v>
      </c>
      <c r="B1195" s="2">
        <f>HYPERLINK("https://www.suredividend.com/sure-analysis-research-database/","Graham Corp.")</f>
        <v>0</v>
      </c>
      <c r="C1195" s="1" t="s">
        <v>3179</v>
      </c>
      <c r="D1195" s="3">
        <v>27.65</v>
      </c>
      <c r="E1195" s="4">
        <v>0</v>
      </c>
      <c r="F1195" s="4" t="s">
        <v>3178</v>
      </c>
      <c r="G1195" s="4" t="s">
        <v>3178</v>
      </c>
      <c r="H1195" s="3">
        <v>0</v>
      </c>
      <c r="I1195" s="5">
        <v>299.403242</v>
      </c>
      <c r="J1195" s="6">
        <v>109.4710206764168</v>
      </c>
      <c r="K1195" s="4">
        <v>0</v>
      </c>
      <c r="L1195" s="7">
        <v>0.945730816528033</v>
      </c>
      <c r="M1195" s="3">
        <v>34.73</v>
      </c>
      <c r="N1195" s="3">
        <v>12.29</v>
      </c>
    </row>
    <row r="1196" spans="1:14">
      <c r="A1196" s="8" t="s">
        <v>1208</v>
      </c>
      <c r="B1196" s="2">
        <f>HYPERLINK("https://www.suredividend.com/sure-analysis-research-database/","Gulf Island Fabrication, Inc.")</f>
        <v>0</v>
      </c>
      <c r="C1196" s="1" t="s">
        <v>3185</v>
      </c>
      <c r="D1196" s="3">
        <v>6.63</v>
      </c>
      <c r="E1196" s="4">
        <v>0</v>
      </c>
      <c r="F1196" s="4" t="s">
        <v>3178</v>
      </c>
      <c r="G1196" s="4" t="s">
        <v>3178</v>
      </c>
      <c r="H1196" s="3">
        <v>0</v>
      </c>
      <c r="I1196" s="5">
        <v>107.953114</v>
      </c>
      <c r="J1196" s="6" t="s">
        <v>3178</v>
      </c>
      <c r="K1196" s="4">
        <v>-0</v>
      </c>
      <c r="L1196" s="7">
        <v>0.56241681424094</v>
      </c>
      <c r="M1196" s="3">
        <v>7.93</v>
      </c>
      <c r="N1196" s="3">
        <v>2.95</v>
      </c>
    </row>
    <row r="1197" spans="1:14">
      <c r="A1197" s="8" t="s">
        <v>1209</v>
      </c>
      <c r="B1197" s="2">
        <f>HYPERLINK("https://www.suredividend.com/sure-analysis-research-database/","G-III Apparel Group Ltd.")</f>
        <v>0</v>
      </c>
      <c r="C1197" s="1" t="s">
        <v>3182</v>
      </c>
      <c r="D1197" s="3">
        <v>26.85</v>
      </c>
      <c r="E1197" s="4">
        <v>0</v>
      </c>
      <c r="F1197" s="4" t="s">
        <v>3178</v>
      </c>
      <c r="G1197" s="4" t="s">
        <v>3178</v>
      </c>
      <c r="H1197" s="3">
        <v>0</v>
      </c>
      <c r="I1197" s="5">
        <v>1207.926162</v>
      </c>
      <c r="J1197" s="6">
        <v>6.856671825473413</v>
      </c>
      <c r="K1197" s="4">
        <v>0</v>
      </c>
      <c r="L1197" s="7">
        <v>1.179532067886245</v>
      </c>
      <c r="M1197" s="3">
        <v>35.68</v>
      </c>
      <c r="N1197" s="3">
        <v>18.47</v>
      </c>
    </row>
    <row r="1198" spans="1:14">
      <c r="A1198" s="8" t="s">
        <v>1210</v>
      </c>
      <c r="B1198" s="2">
        <f>HYPERLINK("https://www.suredividend.com/sure-analysis-GILD/","Gilead Sciences, Inc.")</f>
        <v>0</v>
      </c>
      <c r="C1198" s="1" t="s">
        <v>3176</v>
      </c>
      <c r="D1198" s="3">
        <v>64.7</v>
      </c>
      <c r="E1198" s="4">
        <v>0.04760432766615147</v>
      </c>
      <c r="F1198" s="4">
        <v>0.02666666666666662</v>
      </c>
      <c r="G1198" s="4">
        <v>0.04095039696925684</v>
      </c>
      <c r="H1198" s="3">
        <v>2.934263090732046</v>
      </c>
      <c r="I1198" s="5">
        <v>80606.702622</v>
      </c>
      <c r="J1198" s="6">
        <v>166.5427740130166</v>
      </c>
      <c r="K1198" s="4">
        <v>7.60565860739255</v>
      </c>
      <c r="L1198" s="7">
        <v>0.469465055652487</v>
      </c>
      <c r="M1198" s="3">
        <v>86.09</v>
      </c>
      <c r="N1198" s="3">
        <v>62.07</v>
      </c>
    </row>
    <row r="1199" spans="1:14">
      <c r="A1199" s="8" t="s">
        <v>1211</v>
      </c>
      <c r="B1199" s="2">
        <f>HYPERLINK("https://www.suredividend.com/sure-analysis-GIS/","General Mills, Inc.")</f>
        <v>0</v>
      </c>
      <c r="C1199" s="1" t="s">
        <v>3184</v>
      </c>
      <c r="D1199" s="3">
        <v>67.45999999999999</v>
      </c>
      <c r="E1199" s="4">
        <v>0.03498369404091314</v>
      </c>
      <c r="F1199" s="4">
        <v>0.09259259259259256</v>
      </c>
      <c r="G1199" s="4">
        <v>0.03784186694963654</v>
      </c>
      <c r="H1199" s="3">
        <v>2.328916932796351</v>
      </c>
      <c r="I1199" s="5">
        <v>38310.534</v>
      </c>
      <c r="J1199" s="6">
        <v>15.00020908379013</v>
      </c>
      <c r="K1199" s="4">
        <v>0.5341552598156768</v>
      </c>
      <c r="L1199" s="7">
        <v>-0.044013112191848</v>
      </c>
      <c r="M1199" s="3">
        <v>79.81</v>
      </c>
      <c r="N1199" s="3">
        <v>59.28</v>
      </c>
    </row>
    <row r="1200" spans="1:14">
      <c r="A1200" s="8" t="s">
        <v>1212</v>
      </c>
      <c r="B1200" s="2">
        <f>HYPERLINK("https://www.suredividend.com/sure-analysis-research-database/","Glaukos Corporation")</f>
        <v>0</v>
      </c>
      <c r="C1200" s="1" t="s">
        <v>3176</v>
      </c>
      <c r="D1200" s="3">
        <v>113.91</v>
      </c>
      <c r="E1200" s="4">
        <v>0</v>
      </c>
      <c r="F1200" s="4" t="s">
        <v>3178</v>
      </c>
      <c r="G1200" s="4" t="s">
        <v>3178</v>
      </c>
      <c r="H1200" s="3">
        <v>0</v>
      </c>
      <c r="I1200" s="5">
        <v>5737.362722</v>
      </c>
      <c r="J1200" s="6" t="s">
        <v>3178</v>
      </c>
      <c r="K1200" s="4">
        <v>-0</v>
      </c>
      <c r="L1200" s="7">
        <v>0.747258061139055</v>
      </c>
      <c r="M1200" s="3">
        <v>115.78</v>
      </c>
      <c r="N1200" s="3">
        <v>59.22</v>
      </c>
    </row>
    <row r="1201" spans="1:14">
      <c r="A1201" s="8" t="s">
        <v>1213</v>
      </c>
      <c r="B1201" s="2">
        <f>HYPERLINK("https://www.suredividend.com/sure-analysis-GL/","Globe Life Inc")</f>
        <v>0</v>
      </c>
      <c r="C1201" s="1" t="s">
        <v>3180</v>
      </c>
      <c r="D1201" s="3">
        <v>81.33</v>
      </c>
      <c r="E1201" s="4">
        <v>0.01180376244928071</v>
      </c>
      <c r="F1201" s="4">
        <v>0.06666666666666665</v>
      </c>
      <c r="G1201" s="4">
        <v>0.06827835368843793</v>
      </c>
      <c r="H1201" s="3">
        <v>0.9122479027654701</v>
      </c>
      <c r="I1201" s="5">
        <v>7504.295596</v>
      </c>
      <c r="J1201" s="6">
        <v>7.494088646892932</v>
      </c>
      <c r="K1201" s="4">
        <v>0.08712969462898472</v>
      </c>
      <c r="M1201" s="3">
        <v>131.71</v>
      </c>
      <c r="N1201" s="3">
        <v>52.17</v>
      </c>
    </row>
    <row r="1202" spans="1:14">
      <c r="A1202" s="8" t="s">
        <v>1214</v>
      </c>
      <c r="B1202" s="2">
        <f>HYPERLINK("https://www.suredividend.com/sure-analysis-research-database/","Glen Burnie Bancorp")</f>
        <v>0</v>
      </c>
      <c r="C1202" s="1" t="s">
        <v>3180</v>
      </c>
      <c r="D1202" s="3">
        <v>4.13</v>
      </c>
      <c r="E1202" s="4">
        <v>0.09283311222450401</v>
      </c>
      <c r="F1202" s="4">
        <v>0</v>
      </c>
      <c r="G1202" s="4">
        <v>0</v>
      </c>
      <c r="H1202" s="3">
        <v>0.383400753487204</v>
      </c>
      <c r="I1202" s="5">
        <v>11.950766</v>
      </c>
      <c r="J1202" s="6">
        <v>0</v>
      </c>
      <c r="K1202" s="4" t="s">
        <v>3178</v>
      </c>
      <c r="M1202" s="3">
        <v>7.62</v>
      </c>
      <c r="N1202" s="3">
        <v>3.74</v>
      </c>
    </row>
    <row r="1203" spans="1:14">
      <c r="A1203" s="8" t="s">
        <v>1215</v>
      </c>
      <c r="B1203" s="2">
        <f>HYPERLINK("https://www.suredividend.com/sure-analysis-research-database/","Great Lakes Dredge &amp; Dock Corporation")</f>
        <v>0</v>
      </c>
      <c r="C1203" s="1" t="s">
        <v>3179</v>
      </c>
      <c r="D1203" s="3">
        <v>8.81</v>
      </c>
      <c r="E1203" s="4">
        <v>0</v>
      </c>
      <c r="F1203" s="4" t="s">
        <v>3178</v>
      </c>
      <c r="G1203" s="4" t="s">
        <v>3178</v>
      </c>
      <c r="H1203" s="3">
        <v>0</v>
      </c>
      <c r="I1203" s="5">
        <v>590.3521</v>
      </c>
      <c r="J1203" s="6">
        <v>15.47003748303242</v>
      </c>
      <c r="K1203" s="4">
        <v>0</v>
      </c>
      <c r="L1203" s="7">
        <v>1.076148040558545</v>
      </c>
      <c r="M1203" s="3">
        <v>9.779999999999999</v>
      </c>
      <c r="N1203" s="3">
        <v>6.12</v>
      </c>
    </row>
    <row r="1204" spans="1:14">
      <c r="A1204" s="8" t="s">
        <v>1216</v>
      </c>
      <c r="B1204" s="2">
        <f>HYPERLINK("https://www.suredividend.com/sure-analysis-research-database/","GCI Liberty Inc")</f>
        <v>0</v>
      </c>
      <c r="C1204" s="1" t="s">
        <v>3187</v>
      </c>
      <c r="D1204" s="3">
        <v>91.73</v>
      </c>
      <c r="E1204" s="4">
        <v>0</v>
      </c>
      <c r="F1204" s="4" t="s">
        <v>3178</v>
      </c>
      <c r="G1204" s="4" t="s">
        <v>3178</v>
      </c>
      <c r="H1204" s="3">
        <v>0</v>
      </c>
      <c r="I1204" s="5">
        <v>0</v>
      </c>
      <c r="J1204" s="6">
        <v>0</v>
      </c>
      <c r="K1204" s="4" t="s">
        <v>3178</v>
      </c>
    </row>
    <row r="1205" spans="1:14">
      <c r="A1205" s="8" t="s">
        <v>1217</v>
      </c>
      <c r="B1205" s="2">
        <f>HYPERLINK("https://www.suredividend.com/sure-analysis-GLPI/","Gaming and Leisure Properties Inc")</f>
        <v>0</v>
      </c>
      <c r="C1205" s="1" t="s">
        <v>3183</v>
      </c>
      <c r="D1205" s="3">
        <v>43.69</v>
      </c>
      <c r="E1205" s="4">
        <v>0.06958113984893569</v>
      </c>
      <c r="F1205" s="4" t="s">
        <v>3178</v>
      </c>
      <c r="G1205" s="4" t="s">
        <v>3178</v>
      </c>
      <c r="H1205" s="3">
        <v>3.518568572999627</v>
      </c>
      <c r="I1205" s="5">
        <v>11861.860515</v>
      </c>
      <c r="J1205" s="6">
        <v>16.36170597820345</v>
      </c>
      <c r="K1205" s="4">
        <v>1.298364787084733</v>
      </c>
      <c r="L1205" s="7">
        <v>0.724113642170198</v>
      </c>
      <c r="M1205" s="3">
        <v>47.55</v>
      </c>
      <c r="N1205" s="3">
        <v>40.14</v>
      </c>
    </row>
    <row r="1206" spans="1:14">
      <c r="A1206" s="8" t="s">
        <v>1218</v>
      </c>
      <c r="B1206" s="2">
        <f>HYPERLINK("https://www.suredividend.com/sure-analysis-research-database/","Greenlight Capital Re Ltd")</f>
        <v>0</v>
      </c>
      <c r="C1206" s="1" t="s">
        <v>3180</v>
      </c>
      <c r="D1206" s="3">
        <v>12.58</v>
      </c>
      <c r="E1206" s="4">
        <v>0</v>
      </c>
      <c r="F1206" s="4" t="s">
        <v>3178</v>
      </c>
      <c r="G1206" s="4" t="s">
        <v>3178</v>
      </c>
      <c r="H1206" s="3">
        <v>0</v>
      </c>
      <c r="I1206" s="5">
        <v>444.339992</v>
      </c>
      <c r="J1206" s="6">
        <v>4.115707299975917</v>
      </c>
      <c r="K1206" s="4">
        <v>0</v>
      </c>
      <c r="L1206" s="7">
        <v>0.545160725338376</v>
      </c>
      <c r="M1206" s="3">
        <v>13.61</v>
      </c>
      <c r="N1206" s="3">
        <v>9.67</v>
      </c>
    </row>
    <row r="1207" spans="1:14">
      <c r="A1207" s="8" t="s">
        <v>1219</v>
      </c>
      <c r="B1207" s="2">
        <f>HYPERLINK("https://www.suredividend.com/sure-analysis-research-database/","Glatfelter Corporation")</f>
        <v>0</v>
      </c>
      <c r="C1207" s="1" t="s">
        <v>3177</v>
      </c>
      <c r="D1207" s="3">
        <v>1.62</v>
      </c>
      <c r="E1207" s="4">
        <v>0</v>
      </c>
      <c r="F1207" s="4" t="s">
        <v>3178</v>
      </c>
      <c r="G1207" s="4" t="s">
        <v>3178</v>
      </c>
      <c r="H1207" s="3">
        <v>0</v>
      </c>
      <c r="I1207" s="5">
        <v>73.309099</v>
      </c>
      <c r="J1207" s="6" t="s">
        <v>3178</v>
      </c>
      <c r="K1207" s="4">
        <v>-0</v>
      </c>
      <c r="L1207" s="7">
        <v>2.379772323158819</v>
      </c>
      <c r="M1207" s="3">
        <v>3.71</v>
      </c>
      <c r="N1207" s="3">
        <v>1.25</v>
      </c>
    </row>
    <row r="1208" spans="1:14">
      <c r="A1208" s="8" t="s">
        <v>1220</v>
      </c>
      <c r="B1208" s="2">
        <f>HYPERLINK("https://www.suredividend.com/sure-analysis-research-database/","Glu Mobile Inc")</f>
        <v>0</v>
      </c>
      <c r="C1208" s="1" t="s">
        <v>3187</v>
      </c>
      <c r="D1208" s="3">
        <v>12.5</v>
      </c>
      <c r="E1208" s="4">
        <v>0</v>
      </c>
      <c r="F1208" s="4" t="s">
        <v>3178</v>
      </c>
      <c r="G1208" s="4" t="s">
        <v>3178</v>
      </c>
      <c r="H1208" s="3">
        <v>0</v>
      </c>
      <c r="I1208" s="5">
        <v>0</v>
      </c>
      <c r="J1208" s="6">
        <v>0</v>
      </c>
      <c r="K1208" s="4">
        <v>0</v>
      </c>
    </row>
    <row r="1209" spans="1:14">
      <c r="A1209" s="8" t="s">
        <v>1221</v>
      </c>
      <c r="B1209" s="2">
        <f>HYPERLINK("https://www.suredividend.com/sure-analysis-GLW/","Corning, Inc.")</f>
        <v>0</v>
      </c>
      <c r="C1209" s="1" t="s">
        <v>3181</v>
      </c>
      <c r="D1209" s="3">
        <v>36.93</v>
      </c>
      <c r="E1209" s="4">
        <v>0.03032764689953967</v>
      </c>
      <c r="F1209" s="4">
        <v>0</v>
      </c>
      <c r="G1209" s="4">
        <v>0.06961037572506878</v>
      </c>
      <c r="H1209" s="3">
        <v>1.106173581741347</v>
      </c>
      <c r="I1209" s="5">
        <v>31634.947868</v>
      </c>
      <c r="J1209" s="6">
        <v>51.52271639814333</v>
      </c>
      <c r="K1209" s="4">
        <v>1.548828873902754</v>
      </c>
      <c r="L1209" s="7">
        <v>0.7515782677167361</v>
      </c>
      <c r="M1209" s="3">
        <v>37.52</v>
      </c>
      <c r="N1209" s="3">
        <v>24.61</v>
      </c>
    </row>
    <row r="1210" spans="1:14">
      <c r="A1210" s="8" t="s">
        <v>1222</v>
      </c>
      <c r="B1210" s="2">
        <f>HYPERLINK("https://www.suredividend.com/sure-analysis-research-database/","GlycoMimetics Inc")</f>
        <v>0</v>
      </c>
      <c r="C1210" s="1" t="s">
        <v>3176</v>
      </c>
      <c r="D1210" s="3">
        <v>0.2574</v>
      </c>
      <c r="E1210" s="4">
        <v>0</v>
      </c>
      <c r="F1210" s="4" t="s">
        <v>3178</v>
      </c>
      <c r="G1210" s="4" t="s">
        <v>3178</v>
      </c>
      <c r="H1210" s="3">
        <v>0</v>
      </c>
      <c r="I1210" s="5">
        <v>16.59314</v>
      </c>
      <c r="J1210" s="6">
        <v>0</v>
      </c>
      <c r="K1210" s="4" t="s">
        <v>3178</v>
      </c>
      <c r="L1210" s="7">
        <v>0.5628714907836331</v>
      </c>
      <c r="M1210" s="3">
        <v>3.53</v>
      </c>
      <c r="N1210" s="3">
        <v>0.251</v>
      </c>
    </row>
    <row r="1211" spans="1:14">
      <c r="A1211" s="8" t="s">
        <v>1223</v>
      </c>
      <c r="B1211" s="2">
        <f>HYPERLINK("https://www.suredividend.com/sure-analysis-research-database/","General Motors Company")</f>
        <v>0</v>
      </c>
      <c r="C1211" s="1" t="s">
        <v>3182</v>
      </c>
      <c r="D1211" s="3">
        <v>45.72</v>
      </c>
      <c r="E1211" s="4">
        <v>0.009151917135206</v>
      </c>
      <c r="F1211" s="4" t="s">
        <v>3178</v>
      </c>
      <c r="G1211" s="4" t="s">
        <v>3178</v>
      </c>
      <c r="H1211" s="3">
        <v>0.418425651421637</v>
      </c>
      <c r="I1211" s="5">
        <v>52164.601543</v>
      </c>
      <c r="J1211" s="6">
        <v>4.910533892787348</v>
      </c>
      <c r="K1211" s="4">
        <v>0.05153025263813264</v>
      </c>
      <c r="L1211" s="7">
        <v>0.955125954025918</v>
      </c>
      <c r="M1211" s="3">
        <v>46.08</v>
      </c>
      <c r="N1211" s="3">
        <v>26.08</v>
      </c>
    </row>
    <row r="1212" spans="1:14">
      <c r="A1212" s="8" t="s">
        <v>1224</v>
      </c>
      <c r="B1212" s="2">
        <f>HYPERLINK("https://www.suredividend.com/sure-analysis-research-database/","Gamestop Corporation")</f>
        <v>0</v>
      </c>
      <c r="C1212" s="1" t="s">
        <v>3182</v>
      </c>
      <c r="D1212" s="3">
        <v>28.22</v>
      </c>
      <c r="E1212" s="4">
        <v>0</v>
      </c>
      <c r="F1212" s="4" t="s">
        <v>3178</v>
      </c>
      <c r="G1212" s="4" t="s">
        <v>3178</v>
      </c>
      <c r="H1212" s="3">
        <v>0</v>
      </c>
      <c r="I1212" s="5">
        <v>8593.554400000001</v>
      </c>
      <c r="J1212" s="6">
        <v>1289.633159319403</v>
      </c>
      <c r="K1212" s="4">
        <v>0</v>
      </c>
      <c r="M1212" s="3">
        <v>64.83</v>
      </c>
      <c r="N1212" s="3">
        <v>9.949999999999999</v>
      </c>
    </row>
    <row r="1213" spans="1:14">
      <c r="A1213" s="8" t="s">
        <v>1225</v>
      </c>
      <c r="B1213" s="2">
        <f>HYPERLINK("https://www.suredividend.com/sure-analysis-research-database/","Globus Medical Inc")</f>
        <v>0</v>
      </c>
      <c r="C1213" s="1" t="s">
        <v>3176</v>
      </c>
      <c r="D1213" s="3">
        <v>65.12</v>
      </c>
      <c r="E1213" s="4">
        <v>0</v>
      </c>
      <c r="F1213" s="4" t="s">
        <v>3178</v>
      </c>
      <c r="G1213" s="4" t="s">
        <v>3178</v>
      </c>
      <c r="H1213" s="3">
        <v>0</v>
      </c>
      <c r="I1213" s="5">
        <v>7334.128018</v>
      </c>
      <c r="J1213" s="6">
        <v>110.0774163315173</v>
      </c>
      <c r="K1213" s="4">
        <v>0</v>
      </c>
      <c r="L1213" s="7">
        <v>1.013167880001406</v>
      </c>
      <c r="M1213" s="3">
        <v>67.89</v>
      </c>
      <c r="N1213" s="3">
        <v>43.39</v>
      </c>
    </row>
    <row r="1214" spans="1:14">
      <c r="A1214" s="8" t="s">
        <v>1226</v>
      </c>
      <c r="B1214" s="2">
        <f>HYPERLINK("https://www.suredividend.com/sure-analysis-GMRE/","Global Medical REIT Inc")</f>
        <v>0</v>
      </c>
      <c r="C1214" s="1" t="s">
        <v>3183</v>
      </c>
      <c r="D1214" s="3">
        <v>9.01</v>
      </c>
      <c r="E1214" s="4">
        <v>0.09322974472807991</v>
      </c>
      <c r="F1214" s="4">
        <v>0</v>
      </c>
      <c r="G1214" s="4">
        <v>0.009805797673485328</v>
      </c>
      <c r="H1214" s="3">
        <v>0.8132532611550831</v>
      </c>
      <c r="I1214" s="5">
        <v>590.944708</v>
      </c>
      <c r="J1214" s="6">
        <v>0</v>
      </c>
      <c r="K1214" s="4" t="s">
        <v>3178</v>
      </c>
      <c r="L1214" s="7">
        <v>1.178945448055961</v>
      </c>
      <c r="M1214" s="3">
        <v>11.19</v>
      </c>
      <c r="N1214" s="3">
        <v>7.98</v>
      </c>
    </row>
    <row r="1215" spans="1:14">
      <c r="A1215" s="8" t="s">
        <v>1227</v>
      </c>
      <c r="B1215" s="2">
        <f>HYPERLINK("https://www.suredividend.com/sure-analysis-research-database/","GMS Inc")</f>
        <v>0</v>
      </c>
      <c r="C1215" s="1" t="s">
        <v>3179</v>
      </c>
      <c r="D1215" s="3">
        <v>89.36</v>
      </c>
      <c r="E1215" s="4">
        <v>0</v>
      </c>
      <c r="F1215" s="4" t="s">
        <v>3178</v>
      </c>
      <c r="G1215" s="4" t="s">
        <v>3178</v>
      </c>
      <c r="H1215" s="3">
        <v>0</v>
      </c>
      <c r="I1215" s="5">
        <v>3556.528</v>
      </c>
      <c r="J1215" s="6">
        <v>12.04439101207308</v>
      </c>
      <c r="K1215" s="4">
        <v>0</v>
      </c>
      <c r="L1215" s="7">
        <v>1.189938275715593</v>
      </c>
      <c r="M1215" s="3">
        <v>101.04</v>
      </c>
      <c r="N1215" s="3">
        <v>56.58</v>
      </c>
    </row>
    <row r="1216" spans="1:14">
      <c r="A1216" s="8" t="s">
        <v>1228</v>
      </c>
      <c r="B1216" s="2">
        <f>HYPERLINK("https://www.suredividend.com/sure-analysis-research-database/","Genocea Biosciences Inc")</f>
        <v>0</v>
      </c>
      <c r="C1216" s="1" t="s">
        <v>3176</v>
      </c>
      <c r="D1216" s="3">
        <v>0.051</v>
      </c>
      <c r="E1216" s="4">
        <v>0</v>
      </c>
      <c r="F1216" s="4" t="s">
        <v>3178</v>
      </c>
      <c r="G1216" s="4" t="s">
        <v>3178</v>
      </c>
      <c r="H1216" s="3">
        <v>0</v>
      </c>
      <c r="I1216" s="5">
        <v>0</v>
      </c>
      <c r="J1216" s="6">
        <v>0</v>
      </c>
      <c r="K1216" s="4" t="s">
        <v>3178</v>
      </c>
    </row>
    <row r="1217" spans="1:14">
      <c r="A1217" s="8" t="s">
        <v>1229</v>
      </c>
      <c r="B1217" s="2">
        <f>HYPERLINK("https://www.suredividend.com/sure-analysis-research-database/","Genie Energy Ltd")</f>
        <v>0</v>
      </c>
      <c r="C1217" s="1" t="s">
        <v>3186</v>
      </c>
      <c r="D1217" s="3">
        <v>14.75</v>
      </c>
      <c r="E1217" s="4">
        <v>0.020209266016051</v>
      </c>
      <c r="F1217" s="4" t="s">
        <v>3178</v>
      </c>
      <c r="G1217" s="4" t="s">
        <v>3178</v>
      </c>
      <c r="H1217" s="3">
        <v>0.298086673736762</v>
      </c>
      <c r="I1217" s="5">
        <v>376.955396</v>
      </c>
      <c r="J1217" s="6">
        <v>0</v>
      </c>
      <c r="K1217" s="4" t="s">
        <v>3178</v>
      </c>
      <c r="L1217" s="7">
        <v>0.6864975718712261</v>
      </c>
      <c r="M1217" s="3">
        <v>30.63</v>
      </c>
      <c r="N1217" s="3">
        <v>12.73</v>
      </c>
    </row>
    <row r="1218" spans="1:14">
      <c r="A1218" s="8" t="s">
        <v>1230</v>
      </c>
      <c r="B1218" s="2">
        <f>HYPERLINK("https://www.suredividend.com/sure-analysis-research-database/","Genco Shipping &amp; Trading Limited")</f>
        <v>0</v>
      </c>
      <c r="C1218" s="1" t="s">
        <v>3179</v>
      </c>
      <c r="D1218" s="3">
        <v>21.74</v>
      </c>
      <c r="E1218" s="4">
        <v>0.051043313783387</v>
      </c>
      <c r="F1218" s="4">
        <v>1.8</v>
      </c>
      <c r="G1218" s="4">
        <v>0.05262380150450574</v>
      </c>
      <c r="H1218" s="3">
        <v>1.109681641650836</v>
      </c>
      <c r="I1218" s="5">
        <v>929.556637</v>
      </c>
      <c r="J1218" s="6">
        <v>0</v>
      </c>
      <c r="K1218" s="4" t="s">
        <v>3178</v>
      </c>
      <c r="L1218" s="7">
        <v>0.7100233432692761</v>
      </c>
      <c r="M1218" s="3">
        <v>23.11</v>
      </c>
      <c r="N1218" s="3">
        <v>12.04</v>
      </c>
    </row>
    <row r="1219" spans="1:14">
      <c r="A1219" s="8" t="s">
        <v>1231</v>
      </c>
      <c r="B1219" s="2">
        <f>HYPERLINK("https://www.suredividend.com/sure-analysis-GNL/","Global Net Lease Inc")</f>
        <v>0</v>
      </c>
      <c r="C1219" s="1" t="s">
        <v>3183</v>
      </c>
      <c r="D1219" s="3">
        <v>7.41</v>
      </c>
      <c r="E1219" s="4">
        <v>0.1484480431848853</v>
      </c>
      <c r="F1219" s="4">
        <v>-0.3125</v>
      </c>
      <c r="G1219" s="4">
        <v>-0.123801276080158</v>
      </c>
      <c r="H1219" s="3">
        <v>1.302004900487287</v>
      </c>
      <c r="I1219" s="5">
        <v>1707.143632</v>
      </c>
      <c r="J1219" s="6" t="s">
        <v>3178</v>
      </c>
      <c r="K1219" s="4" t="s">
        <v>3178</v>
      </c>
      <c r="L1219" s="7">
        <v>1.467226370678975</v>
      </c>
      <c r="M1219" s="3">
        <v>10.32</v>
      </c>
      <c r="N1219" s="3">
        <v>6.52</v>
      </c>
    </row>
    <row r="1220" spans="1:14">
      <c r="A1220" s="8" t="s">
        <v>1232</v>
      </c>
      <c r="B1220" s="2">
        <f>HYPERLINK("https://www.suredividend.com/sure-analysis-research-database/","GenMark Diagnostics Inc")</f>
        <v>0</v>
      </c>
      <c r="C1220" s="1" t="s">
        <v>3176</v>
      </c>
      <c r="D1220" s="3">
        <v>24.04</v>
      </c>
      <c r="E1220" s="4">
        <v>0</v>
      </c>
      <c r="F1220" s="4" t="s">
        <v>3178</v>
      </c>
      <c r="G1220" s="4" t="s">
        <v>3178</v>
      </c>
      <c r="H1220" s="3">
        <v>0</v>
      </c>
      <c r="I1220" s="5">
        <v>0</v>
      </c>
      <c r="J1220" s="6">
        <v>0</v>
      </c>
      <c r="K1220" s="4" t="s">
        <v>3178</v>
      </c>
    </row>
    <row r="1221" spans="1:14">
      <c r="A1221" s="8" t="s">
        <v>1233</v>
      </c>
      <c r="B1221" s="2">
        <f>HYPERLINK("https://www.suredividend.com/sure-analysis-research-database/","Generac Holdings Inc")</f>
        <v>0</v>
      </c>
      <c r="C1221" s="1" t="s">
        <v>3179</v>
      </c>
      <c r="D1221" s="3">
        <v>138.25</v>
      </c>
      <c r="E1221" s="4">
        <v>0</v>
      </c>
      <c r="F1221" s="4" t="s">
        <v>3178</v>
      </c>
      <c r="G1221" s="4" t="s">
        <v>3178</v>
      </c>
      <c r="H1221" s="3">
        <v>0</v>
      </c>
      <c r="I1221" s="5">
        <v>8379.946883000001</v>
      </c>
      <c r="J1221" s="6">
        <v>37.54103280157333</v>
      </c>
      <c r="K1221" s="4">
        <v>0</v>
      </c>
      <c r="L1221" s="7">
        <v>1.869043987266534</v>
      </c>
      <c r="M1221" s="3">
        <v>156.95</v>
      </c>
      <c r="N1221" s="3">
        <v>79.86</v>
      </c>
    </row>
    <row r="1222" spans="1:14">
      <c r="A1222" s="8" t="s">
        <v>1234</v>
      </c>
      <c r="B1222" s="2">
        <f>HYPERLINK("https://www.suredividend.com/sure-analysis-research-database/","Gentex Corp.")</f>
        <v>0</v>
      </c>
      <c r="C1222" s="1" t="s">
        <v>3182</v>
      </c>
      <c r="D1222" s="3">
        <v>34.09</v>
      </c>
      <c r="E1222" s="4">
        <v>0.013978501574176</v>
      </c>
      <c r="F1222" s="4">
        <v>0</v>
      </c>
      <c r="G1222" s="4">
        <v>0.008548252303932413</v>
      </c>
      <c r="H1222" s="3">
        <v>0.476527118663667</v>
      </c>
      <c r="I1222" s="5">
        <v>7881.078787</v>
      </c>
      <c r="J1222" s="6">
        <v>18.21872253268383</v>
      </c>
      <c r="K1222" s="4">
        <v>0.2521307506156968</v>
      </c>
      <c r="L1222" s="7">
        <v>0.850833428991375</v>
      </c>
      <c r="M1222" s="3">
        <v>37.45</v>
      </c>
      <c r="N1222" s="3">
        <v>26.43</v>
      </c>
    </row>
    <row r="1223" spans="1:14">
      <c r="A1223" s="8" t="s">
        <v>1235</v>
      </c>
      <c r="B1223" s="2">
        <f>HYPERLINK("https://www.suredividend.com/sure-analysis-research-database/","Guaranty Bancshares, Inc. (TX)")</f>
        <v>0</v>
      </c>
      <c r="C1223" s="1" t="s">
        <v>3180</v>
      </c>
      <c r="D1223" s="3">
        <v>28.72</v>
      </c>
      <c r="E1223" s="4">
        <v>0.032026972951732</v>
      </c>
      <c r="F1223" s="4">
        <v>0.04347826086956519</v>
      </c>
      <c r="G1223" s="4">
        <v>0.05922384104881218</v>
      </c>
      <c r="H1223" s="3">
        <v>0.919814663173757</v>
      </c>
      <c r="I1223" s="5">
        <v>330.769963</v>
      </c>
      <c r="J1223" s="6">
        <v>0</v>
      </c>
      <c r="K1223" s="4" t="s">
        <v>3178</v>
      </c>
      <c r="L1223" s="7">
        <v>0.9770614127537071</v>
      </c>
      <c r="M1223" s="3">
        <v>34.5</v>
      </c>
      <c r="N1223" s="3">
        <v>25.36</v>
      </c>
    </row>
    <row r="1224" spans="1:14">
      <c r="A1224" s="8" t="s">
        <v>1236</v>
      </c>
      <c r="B1224" s="2">
        <f>HYPERLINK("https://www.suredividend.com/sure-analysis-research-database/","Genworth Financial Inc")</f>
        <v>0</v>
      </c>
      <c r="C1224" s="1" t="s">
        <v>3180</v>
      </c>
      <c r="D1224" s="3">
        <v>6.25</v>
      </c>
      <c r="E1224" s="4">
        <v>0</v>
      </c>
      <c r="F1224" s="4" t="s">
        <v>3178</v>
      </c>
      <c r="G1224" s="4" t="s">
        <v>3178</v>
      </c>
      <c r="H1224" s="3">
        <v>0</v>
      </c>
      <c r="I1224" s="5">
        <v>2735.758569</v>
      </c>
      <c r="J1224" s="6">
        <v>17.88077495915033</v>
      </c>
      <c r="K1224" s="4">
        <v>0</v>
      </c>
      <c r="L1224" s="7">
        <v>0.7563929450533621</v>
      </c>
      <c r="M1224" s="3">
        <v>6.93</v>
      </c>
      <c r="N1224" s="3">
        <v>4.83</v>
      </c>
    </row>
    <row r="1225" spans="1:14">
      <c r="A1225" s="8" t="s">
        <v>1237</v>
      </c>
      <c r="B1225" s="2">
        <f>HYPERLINK("https://www.suredividend.com/sure-analysis-research-database/","Gogo Inc")</f>
        <v>0</v>
      </c>
      <c r="C1225" s="1" t="s">
        <v>3187</v>
      </c>
      <c r="D1225" s="3">
        <v>9.81</v>
      </c>
      <c r="E1225" s="4">
        <v>0</v>
      </c>
      <c r="F1225" s="4" t="s">
        <v>3178</v>
      </c>
      <c r="G1225" s="4" t="s">
        <v>3178</v>
      </c>
      <c r="H1225" s="3">
        <v>0</v>
      </c>
      <c r="I1225" s="5">
        <v>1246.897264</v>
      </c>
      <c r="J1225" s="6">
        <v>8.007354683500408</v>
      </c>
      <c r="K1225" s="4">
        <v>0</v>
      </c>
      <c r="L1225" s="7">
        <v>0.813077830707819</v>
      </c>
      <c r="M1225" s="3">
        <v>17.94</v>
      </c>
      <c r="N1225" s="3">
        <v>7.53</v>
      </c>
    </row>
    <row r="1226" spans="1:14">
      <c r="A1226" s="8" t="s">
        <v>1238</v>
      </c>
      <c r="B1226" s="2">
        <f>HYPERLINK("https://www.suredividend.com/sure-analysis-research-database/","Acushnet Holdings Corp")</f>
        <v>0</v>
      </c>
      <c r="C1226" s="1" t="s">
        <v>3182</v>
      </c>
      <c r="D1226" s="3">
        <v>65.38</v>
      </c>
      <c r="E1226" s="4">
        <v>0.012481834343282</v>
      </c>
      <c r="F1226" s="4">
        <v>0.1025641025641024</v>
      </c>
      <c r="G1226" s="4">
        <v>0.08958743119932766</v>
      </c>
      <c r="H1226" s="3">
        <v>0.8160623293638281</v>
      </c>
      <c r="I1226" s="5">
        <v>4123.487833</v>
      </c>
      <c r="J1226" s="6">
        <v>21.37452483360634</v>
      </c>
      <c r="K1226" s="4">
        <v>0.2814008032289063</v>
      </c>
      <c r="L1226" s="7">
        <v>1.317944563702095</v>
      </c>
      <c r="M1226" s="3">
        <v>69.64</v>
      </c>
      <c r="N1226" s="3">
        <v>48.92</v>
      </c>
    </row>
    <row r="1227" spans="1:14">
      <c r="A1227" s="8" t="s">
        <v>1239</v>
      </c>
      <c r="B1227" s="2">
        <f>HYPERLINK("https://www.suredividend.com/sure-analysis-GOOD/","Gladstone Commercial Corp")</f>
        <v>0</v>
      </c>
      <c r="C1227" s="1" t="s">
        <v>3183</v>
      </c>
      <c r="D1227" s="3">
        <v>14.35</v>
      </c>
      <c r="E1227" s="4">
        <v>0.08362369337979093</v>
      </c>
      <c r="F1227" s="4">
        <v>0</v>
      </c>
      <c r="G1227" s="4">
        <v>-0.04425839339455884</v>
      </c>
      <c r="H1227" s="3">
        <v>1.108439910475934</v>
      </c>
      <c r="I1227" s="5">
        <v>574.77932</v>
      </c>
      <c r="J1227" s="6" t="s">
        <v>3178</v>
      </c>
      <c r="K1227" s="4" t="s">
        <v>3178</v>
      </c>
      <c r="L1227" s="7">
        <v>0.9795853334297221</v>
      </c>
      <c r="M1227" s="3">
        <v>15.03</v>
      </c>
      <c r="N1227" s="3">
        <v>9.91</v>
      </c>
    </row>
    <row r="1228" spans="1:14">
      <c r="A1228" s="8" t="s">
        <v>1240</v>
      </c>
      <c r="B1228" s="2">
        <f>HYPERLINK("https://www.suredividend.com/sure-analysis-research-database/","Alphabet Inc")</f>
        <v>0</v>
      </c>
      <c r="C1228" s="1" t="s">
        <v>3187</v>
      </c>
      <c r="D1228" s="3">
        <v>175.95</v>
      </c>
      <c r="E1228" s="4">
        <v>0</v>
      </c>
      <c r="F1228" s="4" t="s">
        <v>3178</v>
      </c>
      <c r="G1228" s="4" t="s">
        <v>3178</v>
      </c>
      <c r="H1228" s="3">
        <v>0</v>
      </c>
      <c r="I1228" s="5">
        <v>2013089.19</v>
      </c>
      <c r="J1228" s="6">
        <v>24.42891524888964</v>
      </c>
      <c r="K1228" s="4">
        <v>0</v>
      </c>
      <c r="L1228" s="7">
        <v>1.344434004722403</v>
      </c>
      <c r="M1228" s="3">
        <v>179.95</v>
      </c>
      <c r="N1228" s="3">
        <v>115.83</v>
      </c>
    </row>
    <row r="1229" spans="1:14">
      <c r="A1229" s="8" t="s">
        <v>1241</v>
      </c>
      <c r="B1229" s="2">
        <f>HYPERLINK("https://www.suredividend.com/sure-analysis-GOOGL/","Alphabet Inc")</f>
        <v>0</v>
      </c>
      <c r="C1229" s="1" t="s">
        <v>3187</v>
      </c>
      <c r="D1229" s="3">
        <v>174.46</v>
      </c>
      <c r="E1229" s="4">
        <v>0.004585578356070159</v>
      </c>
      <c r="F1229" s="4" t="s">
        <v>3178</v>
      </c>
      <c r="G1229" s="4" t="s">
        <v>3178</v>
      </c>
      <c r="H1229" s="3">
        <v>0</v>
      </c>
      <c r="I1229" s="5">
        <v>2199766.14</v>
      </c>
      <c r="J1229" s="6">
        <v>24.42891524888964</v>
      </c>
      <c r="K1229" s="4">
        <v>0</v>
      </c>
      <c r="L1229" s="7">
        <v>1.349468178596216</v>
      </c>
      <c r="M1229" s="3">
        <v>178.77</v>
      </c>
      <c r="N1229" s="3">
        <v>115.35</v>
      </c>
    </row>
    <row r="1230" spans="1:14">
      <c r="A1230" s="8" t="s">
        <v>1242</v>
      </c>
      <c r="B1230" s="2">
        <f>HYPERLINK("https://www.suredividend.com/sure-analysis-research-database/","Gold Resource Corp")</f>
        <v>0</v>
      </c>
      <c r="C1230" s="1" t="s">
        <v>3177</v>
      </c>
      <c r="D1230" s="3">
        <v>0.47</v>
      </c>
      <c r="E1230" s="4">
        <v>0</v>
      </c>
      <c r="F1230" s="4">
        <v>0</v>
      </c>
      <c r="G1230" s="4">
        <v>0.2457311887618547</v>
      </c>
      <c r="H1230" s="3">
        <v>0</v>
      </c>
      <c r="I1230" s="5">
        <v>42.671975</v>
      </c>
      <c r="J1230" s="6" t="s">
        <v>3178</v>
      </c>
      <c r="K1230" s="4">
        <v>-0</v>
      </c>
      <c r="L1230" s="7">
        <v>1.453101536448969</v>
      </c>
      <c r="M1230" s="3">
        <v>0.8549</v>
      </c>
      <c r="N1230" s="3">
        <v>0.2153</v>
      </c>
    </row>
    <row r="1231" spans="1:14">
      <c r="A1231" s="8" t="s">
        <v>1243</v>
      </c>
      <c r="B1231" s="2">
        <f>HYPERLINK("https://www.suredividend.com/sure-analysis-research-database/","Gossamer Bio Inc")</f>
        <v>0</v>
      </c>
      <c r="C1231" s="1" t="s">
        <v>3176</v>
      </c>
      <c r="D1231" s="3">
        <v>0.5484</v>
      </c>
      <c r="E1231" s="4">
        <v>0</v>
      </c>
      <c r="F1231" s="4" t="s">
        <v>3178</v>
      </c>
      <c r="G1231" s="4" t="s">
        <v>3178</v>
      </c>
      <c r="H1231" s="3">
        <v>0</v>
      </c>
      <c r="I1231" s="5">
        <v>124.058309</v>
      </c>
      <c r="J1231" s="6">
        <v>0</v>
      </c>
      <c r="K1231" s="4" t="s">
        <v>3178</v>
      </c>
      <c r="L1231" s="7">
        <v>1.276475285994242</v>
      </c>
      <c r="M1231" s="3">
        <v>1.88</v>
      </c>
      <c r="N1231" s="3">
        <v>0.4525</v>
      </c>
    </row>
    <row r="1232" spans="1:14">
      <c r="A1232" s="8" t="s">
        <v>1244</v>
      </c>
      <c r="B1232" s="2">
        <f>HYPERLINK("https://www.suredividend.com/sure-analysis-GPC/","Genuine Parts Co.")</f>
        <v>0</v>
      </c>
      <c r="C1232" s="1" t="s">
        <v>3182</v>
      </c>
      <c r="D1232" s="3">
        <v>145.19</v>
      </c>
      <c r="E1232" s="4">
        <v>0.02755010675666368</v>
      </c>
      <c r="F1232" s="4">
        <v>0.05263157894736836</v>
      </c>
      <c r="G1232" s="4">
        <v>0.05572797651211414</v>
      </c>
      <c r="H1232" s="3">
        <v>3.860860525190893</v>
      </c>
      <c r="I1232" s="5">
        <v>20224.771139</v>
      </c>
      <c r="J1232" s="6">
        <v>16.03281523462874</v>
      </c>
      <c r="K1232" s="4">
        <v>0.4304192335775801</v>
      </c>
      <c r="L1232" s="7">
        <v>0.8637135750499321</v>
      </c>
      <c r="M1232" s="3">
        <v>166.03</v>
      </c>
      <c r="N1232" s="3">
        <v>123.76</v>
      </c>
    </row>
    <row r="1233" spans="1:14">
      <c r="A1233" s="8" t="s">
        <v>1245</v>
      </c>
      <c r="B1233" s="2">
        <f>HYPERLINK("https://www.suredividend.com/sure-analysis-research-database/","Group 1 Automotive, Inc.")</f>
        <v>0</v>
      </c>
      <c r="C1233" s="1" t="s">
        <v>3182</v>
      </c>
      <c r="D1233" s="3">
        <v>303.69</v>
      </c>
      <c r="E1233" s="4">
        <v>0.006044309203313</v>
      </c>
      <c r="F1233" s="4" t="s">
        <v>3178</v>
      </c>
      <c r="G1233" s="4" t="s">
        <v>3178</v>
      </c>
      <c r="H1233" s="3">
        <v>1.835596261954266</v>
      </c>
      <c r="I1233" s="5">
        <v>4109.926055</v>
      </c>
      <c r="J1233" s="6">
        <v>7.124156794695788</v>
      </c>
      <c r="K1233" s="4">
        <v>0.0433025775407942</v>
      </c>
      <c r="L1233" s="7">
        <v>1.202492593582116</v>
      </c>
      <c r="M1233" s="3">
        <v>323.46</v>
      </c>
      <c r="N1233" s="3">
        <v>227.72</v>
      </c>
    </row>
    <row r="1234" spans="1:14">
      <c r="A1234" s="8" t="s">
        <v>1246</v>
      </c>
      <c r="B1234" s="2">
        <f>HYPERLINK("https://www.suredividend.com/sure-analysis-research-database/","Graphic Packaging Holding Co")</f>
        <v>0</v>
      </c>
      <c r="C1234" s="1" t="s">
        <v>3182</v>
      </c>
      <c r="D1234" s="3">
        <v>27.31</v>
      </c>
      <c r="E1234" s="4">
        <v>0.014561703307893</v>
      </c>
      <c r="F1234" s="4">
        <v>0</v>
      </c>
      <c r="G1234" s="4">
        <v>0.05922384104881218</v>
      </c>
      <c r="H1234" s="3">
        <v>0.397680117338559</v>
      </c>
      <c r="I1234" s="5">
        <v>8392.196491000001</v>
      </c>
      <c r="J1234" s="6">
        <v>12.32334286480176</v>
      </c>
      <c r="K1234" s="4">
        <v>0.180763689699345</v>
      </c>
      <c r="L1234" s="7">
        <v>0.8267772982789441</v>
      </c>
      <c r="M1234" s="3">
        <v>29.5</v>
      </c>
      <c r="N1234" s="3">
        <v>19.92</v>
      </c>
    </row>
    <row r="1235" spans="1:14">
      <c r="A1235" s="8" t="s">
        <v>1247</v>
      </c>
      <c r="B1235" s="2">
        <f>HYPERLINK("https://www.suredividend.com/sure-analysis-research-database/","Granite Point Mortgage Trust Inc")</f>
        <v>0</v>
      </c>
      <c r="C1235" s="1" t="s">
        <v>3183</v>
      </c>
      <c r="D1235" s="3">
        <v>3.09</v>
      </c>
      <c r="E1235" s="4">
        <v>0.230362377837143</v>
      </c>
      <c r="F1235" s="4" t="s">
        <v>3178</v>
      </c>
      <c r="G1235" s="4" t="s">
        <v>3178</v>
      </c>
      <c r="H1235" s="3">
        <v>0.711819747516772</v>
      </c>
      <c r="I1235" s="5">
        <v>157.697532</v>
      </c>
      <c r="J1235" s="6" t="s">
        <v>3178</v>
      </c>
      <c r="K1235" s="4" t="s">
        <v>3178</v>
      </c>
      <c r="L1235" s="7">
        <v>1.543477846328198</v>
      </c>
      <c r="M1235" s="3">
        <v>6.01</v>
      </c>
      <c r="N1235" s="3">
        <v>2.86</v>
      </c>
    </row>
    <row r="1236" spans="1:14">
      <c r="A1236" s="8" t="s">
        <v>1248</v>
      </c>
      <c r="B1236" s="2">
        <f>HYPERLINK("https://www.suredividend.com/sure-analysis-research-database/","Global Payments, Inc.")</f>
        <v>0</v>
      </c>
      <c r="C1236" s="1" t="s">
        <v>3179</v>
      </c>
      <c r="D1236" s="3">
        <v>97.70999999999999</v>
      </c>
      <c r="E1236" s="4">
        <v>0.010205102219075</v>
      </c>
      <c r="F1236" s="4">
        <v>0</v>
      </c>
      <c r="G1236" s="4">
        <v>0.9036539387158786</v>
      </c>
      <c r="H1236" s="3">
        <v>0.9971405378258181</v>
      </c>
      <c r="I1236" s="5">
        <v>24940.456004</v>
      </c>
      <c r="J1236" s="6">
        <v>19.03007597683775</v>
      </c>
      <c r="K1236" s="4">
        <v>0.1982386755120911</v>
      </c>
      <c r="L1236" s="7">
        <v>1.088865357380171</v>
      </c>
      <c r="M1236" s="3">
        <v>141.51</v>
      </c>
      <c r="N1236" s="3">
        <v>94.56999999999999</v>
      </c>
    </row>
    <row r="1237" spans="1:14">
      <c r="A1237" s="8" t="s">
        <v>1249</v>
      </c>
      <c r="B1237" s="2">
        <f>HYPERLINK("https://www.suredividend.com/sure-analysis-research-database/","Gulfport Energy Corp.")</f>
        <v>0</v>
      </c>
      <c r="C1237" s="1" t="s">
        <v>3185</v>
      </c>
      <c r="D1237" s="3">
        <v>158.89</v>
      </c>
      <c r="E1237" s="4">
        <v>0</v>
      </c>
      <c r="F1237" s="4" t="s">
        <v>3178</v>
      </c>
      <c r="G1237" s="4" t="s">
        <v>3178</v>
      </c>
      <c r="H1237" s="3">
        <v>0</v>
      </c>
      <c r="I1237" s="5">
        <v>2879.36168</v>
      </c>
      <c r="J1237" s="6" t="s">
        <v>3178</v>
      </c>
      <c r="K1237" s="4">
        <v>-0</v>
      </c>
      <c r="L1237" s="7">
        <v>0.626650508548782</v>
      </c>
      <c r="M1237" s="3">
        <v>165.19</v>
      </c>
      <c r="N1237" s="3">
        <v>93.67</v>
      </c>
    </row>
    <row r="1238" spans="1:14">
      <c r="A1238" s="8" t="s">
        <v>1250</v>
      </c>
      <c r="B1238" s="2">
        <f>HYPERLINK("https://www.suredividend.com/sure-analysis-research-database/","Green Plains Inc")</f>
        <v>0</v>
      </c>
      <c r="C1238" s="1" t="s">
        <v>3177</v>
      </c>
      <c r="D1238" s="3">
        <v>16.67</v>
      </c>
      <c r="E1238" s="4">
        <v>0</v>
      </c>
      <c r="F1238" s="4" t="s">
        <v>3178</v>
      </c>
      <c r="G1238" s="4" t="s">
        <v>3178</v>
      </c>
      <c r="H1238" s="3">
        <v>0</v>
      </c>
      <c r="I1238" s="5">
        <v>1077.194079</v>
      </c>
      <c r="J1238" s="6" t="s">
        <v>3178</v>
      </c>
      <c r="K1238" s="4">
        <v>-0</v>
      </c>
      <c r="L1238" s="7">
        <v>1.082909851539234</v>
      </c>
      <c r="M1238" s="3">
        <v>36.02</v>
      </c>
      <c r="N1238" s="3">
        <v>16.6</v>
      </c>
    </row>
    <row r="1239" spans="1:14">
      <c r="A1239" s="8" t="s">
        <v>1251</v>
      </c>
      <c r="B1239" s="2">
        <f>HYPERLINK("https://www.suredividend.com/sure-analysis-research-database/","GoPro Inc.")</f>
        <v>0</v>
      </c>
      <c r="C1239" s="1" t="s">
        <v>3181</v>
      </c>
      <c r="D1239" s="3">
        <v>1.46</v>
      </c>
      <c r="E1239" s="4">
        <v>0</v>
      </c>
      <c r="F1239" s="4" t="s">
        <v>3178</v>
      </c>
      <c r="G1239" s="4" t="s">
        <v>3178</v>
      </c>
      <c r="H1239" s="3">
        <v>0</v>
      </c>
      <c r="I1239" s="5">
        <v>184.019451</v>
      </c>
      <c r="J1239" s="6" t="s">
        <v>3178</v>
      </c>
      <c r="K1239" s="4">
        <v>-0</v>
      </c>
      <c r="L1239" s="7">
        <v>1.787309239484105</v>
      </c>
      <c r="M1239" s="3">
        <v>4.45</v>
      </c>
      <c r="N1239" s="3">
        <v>1.44</v>
      </c>
    </row>
    <row r="1240" spans="1:14">
      <c r="A1240" s="8" t="s">
        <v>1252</v>
      </c>
      <c r="B1240" s="2">
        <f>HYPERLINK("https://www.suredividend.com/sure-analysis-GPS/","Gap, Inc.")</f>
        <v>0</v>
      </c>
      <c r="C1240" s="1" t="s">
        <v>3182</v>
      </c>
      <c r="D1240" s="3">
        <v>25.47</v>
      </c>
      <c r="E1240" s="4">
        <v>0.02355712603062426</v>
      </c>
      <c r="F1240" s="4" t="s">
        <v>3178</v>
      </c>
      <c r="G1240" s="4" t="s">
        <v>3178</v>
      </c>
      <c r="H1240" s="3">
        <v>0.592925785720384</v>
      </c>
      <c r="I1240" s="5">
        <v>9552.946658999999</v>
      </c>
      <c r="J1240" s="6">
        <v>14.08989182681416</v>
      </c>
      <c r="K1240" s="4">
        <v>0.3331043740002158</v>
      </c>
      <c r="L1240" s="7">
        <v>1.445753765127834</v>
      </c>
      <c r="M1240" s="3">
        <v>30.75</v>
      </c>
      <c r="N1240" s="3">
        <v>8.140000000000001</v>
      </c>
    </row>
    <row r="1241" spans="1:14">
      <c r="A1241" s="8" t="s">
        <v>1253</v>
      </c>
      <c r="B1241" s="2">
        <f>HYPERLINK("https://www.suredividend.com/sure-analysis-research-database/","GP Strategies Corp.")</f>
        <v>0</v>
      </c>
      <c r="C1241" s="1" t="s">
        <v>3184</v>
      </c>
      <c r="D1241" s="3">
        <v>20.85</v>
      </c>
      <c r="E1241" s="4">
        <v>0</v>
      </c>
      <c r="F1241" s="4" t="s">
        <v>3178</v>
      </c>
      <c r="G1241" s="4" t="s">
        <v>3178</v>
      </c>
      <c r="H1241" s="3">
        <v>0</v>
      </c>
      <c r="I1241" s="5">
        <v>365.93566</v>
      </c>
      <c r="J1241" s="6">
        <v>27.78343788246906</v>
      </c>
      <c r="K1241" s="4">
        <v>0</v>
      </c>
      <c r="L1241" s="7">
        <v>0.9706602751034221</v>
      </c>
      <c r="M1241" s="3">
        <v>20.93</v>
      </c>
      <c r="N1241" s="3">
        <v>9.359999999999999</v>
      </c>
    </row>
    <row r="1242" spans="1:14">
      <c r="A1242" s="8" t="s">
        <v>1254</v>
      </c>
      <c r="B1242" s="2">
        <f>HYPERLINK("https://www.suredividend.com/sure-analysis-research-database/","W.R. Grace &amp; Co.")</f>
        <v>0</v>
      </c>
      <c r="C1242" s="1" t="s">
        <v>3177</v>
      </c>
      <c r="D1242" s="3">
        <v>69.98999999999999</v>
      </c>
      <c r="E1242" s="4">
        <v>0.008977416385107</v>
      </c>
      <c r="F1242" s="4" t="s">
        <v>3178</v>
      </c>
      <c r="G1242" s="4" t="s">
        <v>3178</v>
      </c>
      <c r="H1242" s="3">
        <v>0.6283293727936521</v>
      </c>
      <c r="I1242" s="5">
        <v>4638.240869</v>
      </c>
      <c r="J1242" s="6">
        <v>60.00311603479948</v>
      </c>
      <c r="K1242" s="4">
        <v>0.5370336519603864</v>
      </c>
      <c r="M1242" s="3">
        <v>70</v>
      </c>
      <c r="N1242" s="3">
        <v>38.28</v>
      </c>
    </row>
    <row r="1243" spans="1:14">
      <c r="A1243" s="8" t="s">
        <v>1255</v>
      </c>
      <c r="B1243" s="2">
        <f>HYPERLINK("https://www.suredividend.com/sure-analysis-research-database/","Green Brick Partners Inc")</f>
        <v>0</v>
      </c>
      <c r="C1243" s="1" t="s">
        <v>3182</v>
      </c>
      <c r="D1243" s="3">
        <v>53.68</v>
      </c>
      <c r="E1243" s="4">
        <v>0</v>
      </c>
      <c r="F1243" s="4" t="s">
        <v>3178</v>
      </c>
      <c r="G1243" s="4" t="s">
        <v>3178</v>
      </c>
      <c r="H1243" s="3">
        <v>0</v>
      </c>
      <c r="I1243" s="5">
        <v>2411.877614</v>
      </c>
      <c r="J1243" s="6">
        <v>8.016291360046797</v>
      </c>
      <c r="K1243" s="4">
        <v>0</v>
      </c>
      <c r="L1243" s="7">
        <v>1.661945894873347</v>
      </c>
      <c r="M1243" s="3">
        <v>61.62</v>
      </c>
      <c r="N1243" s="3">
        <v>37.31</v>
      </c>
    </row>
    <row r="1244" spans="1:14">
      <c r="A1244" s="8" t="s">
        <v>1256</v>
      </c>
      <c r="B1244" s="2">
        <f>HYPERLINK("https://www.suredividend.com/sure-analysis-GRC/","Gorman-Rupp Co.")</f>
        <v>0</v>
      </c>
      <c r="C1244" s="1" t="s">
        <v>3179</v>
      </c>
      <c r="D1244" s="3">
        <v>36.26</v>
      </c>
      <c r="E1244" s="4">
        <v>0.01985659128516271</v>
      </c>
      <c r="F1244" s="4">
        <v>0.02857142857142847</v>
      </c>
      <c r="G1244" s="4">
        <v>0.05922384104881218</v>
      </c>
      <c r="H1244" s="3">
        <v>0.7092547382370371</v>
      </c>
      <c r="I1244" s="5">
        <v>950.410352</v>
      </c>
      <c r="J1244" s="6">
        <v>26.17128878865482</v>
      </c>
      <c r="K1244" s="4">
        <v>0.5102552073647748</v>
      </c>
      <c r="L1244" s="7">
        <v>1.136796228123077</v>
      </c>
      <c r="M1244" s="3">
        <v>39.78</v>
      </c>
      <c r="N1244" s="3">
        <v>26.18</v>
      </c>
    </row>
    <row r="1245" spans="1:14">
      <c r="A1245" s="8" t="s">
        <v>1257</v>
      </c>
      <c r="B1245" s="2">
        <f>HYPERLINK("https://www.suredividend.com/sure-analysis-research-database/","Griid Infrastructure Inc.")</f>
        <v>0</v>
      </c>
      <c r="C1245" s="1" t="s">
        <v>3183</v>
      </c>
      <c r="D1245" s="3">
        <v>62.5</v>
      </c>
      <c r="E1245" s="4">
        <v>0</v>
      </c>
      <c r="F1245" s="4" t="s">
        <v>3178</v>
      </c>
      <c r="G1245" s="4" t="s">
        <v>3178</v>
      </c>
      <c r="H1245" s="3">
        <v>0</v>
      </c>
      <c r="I1245" s="5">
        <v>0</v>
      </c>
      <c r="J1245" s="6">
        <v>0</v>
      </c>
      <c r="K1245" s="4" t="s">
        <v>3178</v>
      </c>
    </row>
    <row r="1246" spans="1:14">
      <c r="A1246" s="8" t="s">
        <v>1258</v>
      </c>
      <c r="B1246" s="2">
        <f>HYPERLINK("https://www.suredividend.com/sure-analysis-GRMN/","Garmin Ltd")</f>
        <v>0</v>
      </c>
      <c r="C1246" s="1" t="s">
        <v>3181</v>
      </c>
      <c r="D1246" s="3">
        <v>163.26</v>
      </c>
      <c r="E1246" s="4">
        <v>0.01837559720690923</v>
      </c>
      <c r="F1246" s="4">
        <v>0</v>
      </c>
      <c r="G1246" s="4">
        <v>0.05072629509487814</v>
      </c>
      <c r="H1246" s="3">
        <v>2.895913678001306</v>
      </c>
      <c r="I1246" s="5">
        <v>31358.608241</v>
      </c>
      <c r="J1246" s="6">
        <v>23.00249271287419</v>
      </c>
      <c r="K1246" s="4">
        <v>0.4084504482371377</v>
      </c>
      <c r="L1246" s="7">
        <v>0.767997588062149</v>
      </c>
      <c r="M1246" s="3">
        <v>171.64</v>
      </c>
      <c r="N1246" s="3">
        <v>98.55</v>
      </c>
    </row>
    <row r="1247" spans="1:14">
      <c r="A1247" s="8" t="s">
        <v>1259</v>
      </c>
      <c r="B1247" s="2">
        <f>HYPERLINK("https://www.suredividend.com/sure-analysis-GROW/","U.S. Global Investors, Inc.")</f>
        <v>0</v>
      </c>
      <c r="C1247" s="1" t="s">
        <v>3180</v>
      </c>
      <c r="D1247" s="3">
        <v>2.6</v>
      </c>
      <c r="E1247" s="4">
        <v>0.03461538461538461</v>
      </c>
      <c r="F1247" s="4">
        <v>0</v>
      </c>
      <c r="G1247" s="4">
        <v>0</v>
      </c>
      <c r="H1247" s="3">
        <v>0.08759210280702301</v>
      </c>
      <c r="I1247" s="5">
        <v>30.795167</v>
      </c>
      <c r="J1247" s="6">
        <v>19.85503997421018</v>
      </c>
      <c r="K1247" s="4">
        <v>0.8021254835807967</v>
      </c>
      <c r="L1247" s="7">
        <v>0.512141895263589</v>
      </c>
      <c r="M1247" s="3">
        <v>3.14</v>
      </c>
      <c r="N1247" s="3">
        <v>2.39</v>
      </c>
    </row>
    <row r="1248" spans="1:14">
      <c r="A1248" s="8" t="s">
        <v>1260</v>
      </c>
      <c r="B1248" s="2">
        <f>HYPERLINK("https://www.suredividend.com/sure-analysis-research-database/","Groupon Inc")</f>
        <v>0</v>
      </c>
      <c r="C1248" s="1" t="s">
        <v>3187</v>
      </c>
      <c r="D1248" s="3">
        <v>14.18</v>
      </c>
      <c r="E1248" s="4">
        <v>0</v>
      </c>
      <c r="F1248" s="4" t="s">
        <v>3178</v>
      </c>
      <c r="G1248" s="4" t="s">
        <v>3178</v>
      </c>
      <c r="H1248" s="3">
        <v>0</v>
      </c>
      <c r="I1248" s="5">
        <v>560.687863</v>
      </c>
      <c r="J1248" s="6" t="s">
        <v>3178</v>
      </c>
      <c r="K1248" s="4">
        <v>-0</v>
      </c>
      <c r="L1248" s="7">
        <v>1.042767161347345</v>
      </c>
      <c r="M1248" s="3">
        <v>19.56</v>
      </c>
      <c r="N1248" s="3">
        <v>4.18</v>
      </c>
    </row>
    <row r="1249" spans="1:14">
      <c r="A1249" s="8" t="s">
        <v>1261</v>
      </c>
      <c r="B1249" s="2">
        <f>HYPERLINK("https://www.suredividend.com/sure-analysis-research-database/","Gritstone Bio Inc")</f>
        <v>0</v>
      </c>
      <c r="C1249" s="1" t="s">
        <v>3176</v>
      </c>
      <c r="D1249" s="3">
        <v>0.7456</v>
      </c>
      <c r="E1249" s="4">
        <v>0</v>
      </c>
      <c r="F1249" s="4" t="s">
        <v>3178</v>
      </c>
      <c r="G1249" s="4" t="s">
        <v>3178</v>
      </c>
      <c r="H1249" s="3">
        <v>0</v>
      </c>
      <c r="I1249" s="5">
        <v>80.949325</v>
      </c>
      <c r="J1249" s="6" t="s">
        <v>3178</v>
      </c>
      <c r="K1249" s="4">
        <v>-0</v>
      </c>
      <c r="L1249" s="7">
        <v>1.936595797786914</v>
      </c>
      <c r="M1249" s="3">
        <v>3.33</v>
      </c>
      <c r="N1249" s="3">
        <v>0.6716000000000001</v>
      </c>
    </row>
    <row r="1250" spans="1:14">
      <c r="A1250" s="8" t="s">
        <v>1262</v>
      </c>
      <c r="B1250" s="2">
        <f>HYPERLINK("https://www.suredividend.com/sure-analysis-research-database/","Just Eat Takeaway.com N.V.")</f>
        <v>0</v>
      </c>
      <c r="C1250" s="1" t="s">
        <v>3187</v>
      </c>
      <c r="D1250" s="3">
        <v>6.72</v>
      </c>
      <c r="E1250" s="4">
        <v>0</v>
      </c>
      <c r="F1250" s="4" t="s">
        <v>3178</v>
      </c>
      <c r="G1250" s="4" t="s">
        <v>3178</v>
      </c>
      <c r="H1250" s="3">
        <v>0</v>
      </c>
      <c r="I1250" s="5">
        <v>0</v>
      </c>
      <c r="J1250" s="6">
        <v>0</v>
      </c>
      <c r="K1250" s="4" t="s">
        <v>3178</v>
      </c>
    </row>
    <row r="1251" spans="1:14">
      <c r="A1251" s="8" t="s">
        <v>1263</v>
      </c>
      <c r="B1251" s="2">
        <f>HYPERLINK("https://www.suredividend.com/sure-analysis-GS/","Goldman Sachs Group, Inc.")</f>
        <v>0</v>
      </c>
      <c r="C1251" s="1" t="s">
        <v>3180</v>
      </c>
      <c r="D1251" s="3">
        <v>454.91</v>
      </c>
      <c r="E1251" s="4">
        <v>0.02418060715306324</v>
      </c>
      <c r="F1251" s="4">
        <v>0.1000000000000001</v>
      </c>
      <c r="G1251" s="4">
        <v>0.1708049129648923</v>
      </c>
      <c r="H1251" s="3">
        <v>10.88979946731846</v>
      </c>
      <c r="I1251" s="5">
        <v>146691.86942</v>
      </c>
      <c r="J1251" s="6">
        <v>16.76286932010856</v>
      </c>
      <c r="K1251" s="4">
        <v>0.4267162800673377</v>
      </c>
      <c r="L1251" s="7">
        <v>1.047706862113518</v>
      </c>
      <c r="M1251" s="3">
        <v>468.64</v>
      </c>
      <c r="N1251" s="3">
        <v>283.27</v>
      </c>
    </row>
    <row r="1252" spans="1:14">
      <c r="A1252" s="8" t="s">
        <v>1264</v>
      </c>
      <c r="B1252" s="2">
        <f>HYPERLINK("https://www.suredividend.com/sure-analysis-research-database/","Globalstar Inc.")</f>
        <v>0</v>
      </c>
      <c r="C1252" s="1" t="s">
        <v>3187</v>
      </c>
      <c r="D1252" s="3">
        <v>1.09</v>
      </c>
      <c r="E1252" s="4">
        <v>0</v>
      </c>
      <c r="F1252" s="4" t="s">
        <v>3178</v>
      </c>
      <c r="G1252" s="4" t="s">
        <v>3178</v>
      </c>
      <c r="H1252" s="3">
        <v>0</v>
      </c>
      <c r="I1252" s="5">
        <v>2071</v>
      </c>
      <c r="J1252" s="6" t="s">
        <v>3178</v>
      </c>
      <c r="K1252" s="4">
        <v>-0</v>
      </c>
      <c r="L1252" s="7">
        <v>1.333766672452959</v>
      </c>
      <c r="M1252" s="3">
        <v>2.13</v>
      </c>
      <c r="N1252" s="3">
        <v>0.9612000000000001</v>
      </c>
    </row>
    <row r="1253" spans="1:14">
      <c r="A1253" s="8" t="s">
        <v>1265</v>
      </c>
      <c r="B1253" s="2">
        <f>HYPERLINK("https://www.suredividend.com/sure-analysis-research-database/","Great Southern Bancorp, Inc.")</f>
        <v>0</v>
      </c>
      <c r="C1253" s="1" t="s">
        <v>3180</v>
      </c>
      <c r="D1253" s="3">
        <v>51.96</v>
      </c>
      <c r="E1253" s="4">
        <v>0.030124914230587</v>
      </c>
      <c r="F1253" s="4">
        <v>0</v>
      </c>
      <c r="G1253" s="4">
        <v>0.03303780411393231</v>
      </c>
      <c r="H1253" s="3">
        <v>1.56529054342133</v>
      </c>
      <c r="I1253" s="5">
        <v>605.746095</v>
      </c>
      <c r="J1253" s="6">
        <v>9.97096500074073</v>
      </c>
      <c r="K1253" s="4">
        <v>0.3081280597286082</v>
      </c>
      <c r="L1253" s="7">
        <v>0.8877785928975681</v>
      </c>
      <c r="M1253" s="3">
        <v>60.5</v>
      </c>
      <c r="N1253" s="3">
        <v>43.66</v>
      </c>
    </row>
    <row r="1254" spans="1:14">
      <c r="A1254" s="8" t="s">
        <v>1266</v>
      </c>
      <c r="B1254" s="2">
        <f>HYPERLINK("https://www.suredividend.com/sure-analysis-research-database/","Goosehead Insurance Inc")</f>
        <v>0</v>
      </c>
      <c r="C1254" s="1" t="s">
        <v>3180</v>
      </c>
      <c r="D1254" s="3">
        <v>61.54</v>
      </c>
      <c r="E1254" s="4">
        <v>0</v>
      </c>
      <c r="F1254" s="4" t="s">
        <v>3178</v>
      </c>
      <c r="G1254" s="4" t="s">
        <v>3178</v>
      </c>
      <c r="H1254" s="3">
        <v>0</v>
      </c>
      <c r="I1254" s="5">
        <v>1553.155874</v>
      </c>
      <c r="J1254" s="6">
        <v>96.86036009229812</v>
      </c>
      <c r="K1254" s="4">
        <v>0</v>
      </c>
      <c r="L1254" s="7">
        <v>0.9637479764129671</v>
      </c>
      <c r="M1254" s="3">
        <v>92.76000000000001</v>
      </c>
      <c r="N1254" s="3">
        <v>50.47</v>
      </c>
    </row>
    <row r="1255" spans="1:14">
      <c r="A1255" s="8" t="s">
        <v>1267</v>
      </c>
      <c r="B1255" s="2">
        <f>HYPERLINK("https://www.suredividend.com/sure-analysis-research-database/","GSI Technology Inc")</f>
        <v>0</v>
      </c>
      <c r="C1255" s="1" t="s">
        <v>3181</v>
      </c>
      <c r="D1255" s="3">
        <v>2.54</v>
      </c>
      <c r="E1255" s="4">
        <v>0</v>
      </c>
      <c r="F1255" s="4" t="s">
        <v>3178</v>
      </c>
      <c r="G1255" s="4" t="s">
        <v>3178</v>
      </c>
      <c r="H1255" s="3">
        <v>0</v>
      </c>
      <c r="I1255" s="5">
        <v>64.249419</v>
      </c>
      <c r="J1255" s="6" t="s">
        <v>3178</v>
      </c>
      <c r="K1255" s="4">
        <v>-0</v>
      </c>
      <c r="L1255" s="7">
        <v>2.295651075818403</v>
      </c>
      <c r="M1255" s="3">
        <v>9.800000000000001</v>
      </c>
      <c r="N1255" s="3">
        <v>1.88</v>
      </c>
    </row>
    <row r="1256" spans="1:14">
      <c r="A1256" s="8" t="s">
        <v>1268</v>
      </c>
      <c r="B1256" s="2">
        <f>HYPERLINK("https://www.suredividend.com/sure-analysis-research-database/","GreenSky Inc")</f>
        <v>0</v>
      </c>
      <c r="C1256" s="1" t="s">
        <v>3181</v>
      </c>
      <c r="D1256" s="3">
        <v>10.2</v>
      </c>
      <c r="E1256" s="4">
        <v>0</v>
      </c>
      <c r="F1256" s="4" t="s">
        <v>3178</v>
      </c>
      <c r="G1256" s="4" t="s">
        <v>3178</v>
      </c>
      <c r="H1256" s="3">
        <v>0</v>
      </c>
      <c r="I1256" s="5">
        <v>0</v>
      </c>
      <c r="J1256" s="6">
        <v>0</v>
      </c>
      <c r="K1256" s="4">
        <v>0</v>
      </c>
    </row>
    <row r="1257" spans="1:14">
      <c r="A1257" s="8" t="s">
        <v>1269</v>
      </c>
      <c r="B1257" s="2">
        <f>HYPERLINK("https://www.suredividend.com/sure-analysis-research-database/","Goodyear Tire &amp; Rubber Co.")</f>
        <v>0</v>
      </c>
      <c r="C1257" s="1" t="s">
        <v>3182</v>
      </c>
      <c r="D1257" s="3">
        <v>12.07</v>
      </c>
      <c r="E1257" s="4">
        <v>0</v>
      </c>
      <c r="F1257" s="4" t="s">
        <v>3178</v>
      </c>
      <c r="G1257" s="4" t="s">
        <v>3178</v>
      </c>
      <c r="H1257" s="3">
        <v>0</v>
      </c>
      <c r="I1257" s="5">
        <v>3436.172174</v>
      </c>
      <c r="J1257" s="6" t="s">
        <v>3178</v>
      </c>
      <c r="K1257" s="4">
        <v>-0</v>
      </c>
      <c r="L1257" s="7">
        <v>1.397279692942304</v>
      </c>
      <c r="M1257" s="3">
        <v>16.51</v>
      </c>
      <c r="N1257" s="3">
        <v>11.26</v>
      </c>
    </row>
    <row r="1258" spans="1:14">
      <c r="A1258" s="8" t="s">
        <v>1270</v>
      </c>
      <c r="B1258" s="2">
        <f>HYPERLINK("https://www.suredividend.com/sure-analysis-research-database/","Gates Industrial Corporation plc")</f>
        <v>0</v>
      </c>
      <c r="C1258" s="1" t="s">
        <v>3179</v>
      </c>
      <c r="D1258" s="3">
        <v>16.48</v>
      </c>
      <c r="E1258" s="4">
        <v>0</v>
      </c>
      <c r="F1258" s="4" t="s">
        <v>3178</v>
      </c>
      <c r="G1258" s="4" t="s">
        <v>3178</v>
      </c>
      <c r="H1258" s="3">
        <v>0</v>
      </c>
      <c r="I1258" s="5">
        <v>4307.546701</v>
      </c>
      <c r="J1258" s="6">
        <v>17.47483448795132</v>
      </c>
      <c r="K1258" s="4">
        <v>0</v>
      </c>
      <c r="L1258" s="7">
        <v>0.970035236809869</v>
      </c>
      <c r="M1258" s="3">
        <v>17.99</v>
      </c>
      <c r="N1258" s="3">
        <v>10.68</v>
      </c>
    </row>
    <row r="1259" spans="1:14">
      <c r="A1259" s="8" t="s">
        <v>1271</v>
      </c>
      <c r="B1259" s="2">
        <f>HYPERLINK("https://www.suredividend.com/sure-analysis-research-database/","G1 Therapeutics Inc")</f>
        <v>0</v>
      </c>
      <c r="C1259" s="1" t="s">
        <v>3176</v>
      </c>
      <c r="D1259" s="3">
        <v>3.01</v>
      </c>
      <c r="E1259" s="4">
        <v>0</v>
      </c>
      <c r="F1259" s="4" t="s">
        <v>3178</v>
      </c>
      <c r="G1259" s="4" t="s">
        <v>3178</v>
      </c>
      <c r="H1259" s="3">
        <v>0</v>
      </c>
      <c r="I1259" s="5">
        <v>157.366987</v>
      </c>
      <c r="J1259" s="6">
        <v>0</v>
      </c>
      <c r="K1259" s="4" t="s">
        <v>3178</v>
      </c>
      <c r="L1259" s="7">
        <v>2.010934880335594</v>
      </c>
      <c r="M1259" s="3">
        <v>6.14</v>
      </c>
      <c r="N1259" s="3">
        <v>1.08</v>
      </c>
    </row>
    <row r="1260" spans="1:14">
      <c r="A1260" s="8" t="s">
        <v>1272</v>
      </c>
      <c r="B1260" s="2">
        <f>HYPERLINK("https://www.suredividend.com/sure-analysis-research-database/","Good Times Restaurants Inc.")</f>
        <v>0</v>
      </c>
      <c r="C1260" s="1" t="s">
        <v>3182</v>
      </c>
      <c r="D1260" s="3">
        <v>2.48</v>
      </c>
      <c r="E1260" s="4">
        <v>0</v>
      </c>
      <c r="F1260" s="4" t="s">
        <v>3178</v>
      </c>
      <c r="G1260" s="4" t="s">
        <v>3178</v>
      </c>
      <c r="H1260" s="3">
        <v>0</v>
      </c>
      <c r="I1260" s="5">
        <v>27.285168</v>
      </c>
      <c r="J1260" s="6">
        <v>0</v>
      </c>
      <c r="K1260" s="4" t="s">
        <v>3178</v>
      </c>
      <c r="L1260" s="7">
        <v>0.405772804405381</v>
      </c>
      <c r="M1260" s="3">
        <v>3.57</v>
      </c>
      <c r="N1260" s="3">
        <v>2.15</v>
      </c>
    </row>
    <row r="1261" spans="1:14">
      <c r="A1261" s="8" t="s">
        <v>1273</v>
      </c>
      <c r="B1261" s="2">
        <f>HYPERLINK("https://www.suredividend.com/sure-analysis-research-database/","Chart Industries Inc")</f>
        <v>0</v>
      </c>
      <c r="C1261" s="1" t="s">
        <v>3179</v>
      </c>
      <c r="D1261" s="3">
        <v>145.4</v>
      </c>
      <c r="E1261" s="4">
        <v>0</v>
      </c>
      <c r="F1261" s="4" t="s">
        <v>3178</v>
      </c>
      <c r="G1261" s="4" t="s">
        <v>3178</v>
      </c>
      <c r="H1261" s="3">
        <v>0</v>
      </c>
      <c r="I1261" s="5">
        <v>6223.271361</v>
      </c>
      <c r="J1261" s="6">
        <v>134.4119084535637</v>
      </c>
      <c r="K1261" s="4">
        <v>0</v>
      </c>
      <c r="L1261" s="7">
        <v>2.009881147176832</v>
      </c>
      <c r="M1261" s="3">
        <v>184.65</v>
      </c>
      <c r="N1261" s="3">
        <v>109.48</v>
      </c>
    </row>
    <row r="1262" spans="1:14">
      <c r="A1262" s="8" t="s">
        <v>1274</v>
      </c>
      <c r="B1262" s="2">
        <f>HYPERLINK("https://www.suredividend.com/sure-analysis-research-database/","Gray Television, Inc.")</f>
        <v>0</v>
      </c>
      <c r="C1262" s="1" t="s">
        <v>3187</v>
      </c>
      <c r="D1262" s="3">
        <v>5.52</v>
      </c>
      <c r="E1262" s="4">
        <v>0.05696978680373101</v>
      </c>
      <c r="F1262" s="4" t="s">
        <v>3178</v>
      </c>
      <c r="G1262" s="4" t="s">
        <v>3178</v>
      </c>
      <c r="H1262" s="3">
        <v>0.314473223156598</v>
      </c>
      <c r="I1262" s="5">
        <v>570.053591</v>
      </c>
      <c r="J1262" s="6" t="s">
        <v>3178</v>
      </c>
      <c r="K1262" s="4" t="s">
        <v>3178</v>
      </c>
      <c r="L1262" s="7">
        <v>1.536149755935584</v>
      </c>
      <c r="M1262" s="3">
        <v>10.34</v>
      </c>
      <c r="N1262" s="3">
        <v>5.37</v>
      </c>
    </row>
    <row r="1263" spans="1:14">
      <c r="A1263" s="8" t="s">
        <v>1275</v>
      </c>
      <c r="B1263" s="2">
        <f>HYPERLINK("https://www.suredividend.com/sure-analysis-research-database/","Triple-S Management Corp")</f>
        <v>0</v>
      </c>
      <c r="C1263" s="1" t="s">
        <v>3176</v>
      </c>
      <c r="D1263" s="3">
        <v>35.99</v>
      </c>
      <c r="E1263" s="4">
        <v>0</v>
      </c>
      <c r="F1263" s="4" t="s">
        <v>3178</v>
      </c>
      <c r="G1263" s="4" t="s">
        <v>3178</v>
      </c>
      <c r="H1263" s="3">
        <v>0</v>
      </c>
      <c r="I1263" s="5">
        <v>856.3680859999999</v>
      </c>
      <c r="J1263" s="6">
        <v>10.54757406461307</v>
      </c>
      <c r="K1263" s="4">
        <v>0</v>
      </c>
      <c r="L1263" s="7">
        <v>0.465929988422036</v>
      </c>
      <c r="M1263" s="3">
        <v>36.33</v>
      </c>
      <c r="N1263" s="3">
        <v>22.01</v>
      </c>
    </row>
    <row r="1264" spans="1:14">
      <c r="A1264" s="8" t="s">
        <v>1276</v>
      </c>
      <c r="B1264" s="2">
        <f>HYPERLINK("https://www.suredividend.com/sure-analysis-research-database/","GTT Communications Inc")</f>
        <v>0</v>
      </c>
      <c r="C1264" s="1" t="s">
        <v>3187</v>
      </c>
      <c r="D1264" s="3">
        <v>2.36</v>
      </c>
      <c r="E1264" s="4">
        <v>0</v>
      </c>
      <c r="F1264" s="4" t="s">
        <v>3178</v>
      </c>
      <c r="G1264" s="4" t="s">
        <v>3178</v>
      </c>
      <c r="H1264" s="3">
        <v>0</v>
      </c>
      <c r="I1264" s="5">
        <v>138.81411</v>
      </c>
      <c r="J1264" s="6">
        <v>0</v>
      </c>
      <c r="K1264" s="4" t="s">
        <v>3178</v>
      </c>
      <c r="M1264" s="3">
        <v>8.359999999999999</v>
      </c>
      <c r="N1264" s="3">
        <v>1.37</v>
      </c>
    </row>
    <row r="1265" spans="1:14">
      <c r="A1265" s="8" t="s">
        <v>1277</v>
      </c>
      <c r="B1265" s="2">
        <f>HYPERLINK("https://www.suredividend.com/sure-analysis-research-database/","Garrett Motion Inc")</f>
        <v>0</v>
      </c>
      <c r="C1265" s="1" t="s">
        <v>3182</v>
      </c>
      <c r="D1265" s="3">
        <v>8.98</v>
      </c>
      <c r="E1265" s="4">
        <v>0</v>
      </c>
      <c r="F1265" s="4" t="s">
        <v>3178</v>
      </c>
      <c r="G1265" s="4" t="s">
        <v>3178</v>
      </c>
      <c r="H1265" s="3">
        <v>0</v>
      </c>
      <c r="I1265" s="5">
        <v>2029.392059</v>
      </c>
      <c r="J1265" s="6">
        <v>338.23200981</v>
      </c>
      <c r="K1265" s="4">
        <v>0</v>
      </c>
      <c r="L1265" s="7">
        <v>0.7778842969045641</v>
      </c>
      <c r="M1265" s="3">
        <v>10.09</v>
      </c>
      <c r="N1265" s="3">
        <v>6.43</v>
      </c>
    </row>
    <row r="1266" spans="1:14">
      <c r="A1266" s="8" t="s">
        <v>1278</v>
      </c>
      <c r="B1266" s="2">
        <f>HYPERLINK("https://www.suredividend.com/sure-analysis-GTY/","Getty Realty Corp.")</f>
        <v>0</v>
      </c>
      <c r="C1266" s="1" t="s">
        <v>3183</v>
      </c>
      <c r="D1266" s="3">
        <v>27.28</v>
      </c>
      <c r="E1266" s="4">
        <v>0.06598240469208211</v>
      </c>
      <c r="F1266" s="4">
        <v>0.04651162790697683</v>
      </c>
      <c r="G1266" s="4">
        <v>0.05154749679728043</v>
      </c>
      <c r="H1266" s="3">
        <v>1.718951976159346</v>
      </c>
      <c r="I1266" s="5">
        <v>1472.223661</v>
      </c>
      <c r="J1266" s="6">
        <v>24.34876390976449</v>
      </c>
      <c r="K1266" s="4">
        <v>1.469189723213116</v>
      </c>
      <c r="L1266" s="7">
        <v>0.6375002474615401</v>
      </c>
      <c r="M1266" s="3">
        <v>33.46</v>
      </c>
      <c r="N1266" s="3">
        <v>25.13</v>
      </c>
    </row>
    <row r="1267" spans="1:14">
      <c r="A1267" s="8" t="s">
        <v>1279</v>
      </c>
      <c r="B1267" s="2">
        <f>HYPERLINK("https://www.suredividend.com/sure-analysis-research-database/","GTY Technology Holdings Inc")</f>
        <v>0</v>
      </c>
      <c r="C1267" s="1" t="s">
        <v>3181</v>
      </c>
      <c r="D1267" s="3">
        <v>6.3</v>
      </c>
      <c r="E1267" s="4">
        <v>0</v>
      </c>
      <c r="F1267" s="4" t="s">
        <v>3178</v>
      </c>
      <c r="G1267" s="4" t="s">
        <v>3178</v>
      </c>
      <c r="H1267" s="3">
        <v>0</v>
      </c>
      <c r="I1267" s="5">
        <v>0</v>
      </c>
      <c r="J1267" s="6">
        <v>0</v>
      </c>
      <c r="K1267" s="4" t="s">
        <v>3178</v>
      </c>
    </row>
    <row r="1268" spans="1:14">
      <c r="A1268" s="8" t="s">
        <v>1280</v>
      </c>
      <c r="B1268" s="2">
        <f>HYPERLINK("https://www.suredividend.com/sure-analysis-research-database/","Visionary Holdings Inc.")</f>
        <v>0</v>
      </c>
      <c r="C1268" s="1" t="s">
        <v>3179</v>
      </c>
      <c r="D1268" s="3">
        <v>5.25</v>
      </c>
      <c r="E1268" s="4">
        <v>0</v>
      </c>
      <c r="F1268" s="4" t="s">
        <v>3178</v>
      </c>
      <c r="G1268" s="4" t="s">
        <v>3178</v>
      </c>
      <c r="H1268" s="3">
        <v>0</v>
      </c>
      <c r="I1268" s="5">
        <v>206.0625</v>
      </c>
      <c r="J1268" s="6">
        <v>0</v>
      </c>
      <c r="K1268" s="4" t="s">
        <v>3178</v>
      </c>
      <c r="M1268" s="3">
        <v>8.85</v>
      </c>
      <c r="N1268" s="3">
        <v>0.106</v>
      </c>
    </row>
    <row r="1269" spans="1:14">
      <c r="A1269" s="8" t="s">
        <v>1281</v>
      </c>
      <c r="B1269" s="2">
        <f>HYPERLINK("https://www.suredividend.com/sure-analysis-research-database/","Granite Construction Inc.")</f>
        <v>0</v>
      </c>
      <c r="C1269" s="1" t="s">
        <v>3179</v>
      </c>
      <c r="D1269" s="3">
        <v>59.16</v>
      </c>
      <c r="E1269" s="4">
        <v>0.008756130988768001</v>
      </c>
      <c r="F1269" s="4">
        <v>0</v>
      </c>
      <c r="G1269" s="4">
        <v>0</v>
      </c>
      <c r="H1269" s="3">
        <v>0.518012709295548</v>
      </c>
      <c r="I1269" s="5">
        <v>2611.977479</v>
      </c>
      <c r="J1269" s="6">
        <v>73.28986443727376</v>
      </c>
      <c r="K1269" s="4">
        <v>0.7648201820397874</v>
      </c>
      <c r="L1269" s="7">
        <v>1.146325785912836</v>
      </c>
      <c r="M1269" s="3">
        <v>64.33</v>
      </c>
      <c r="N1269" s="3">
        <v>33.58</v>
      </c>
    </row>
    <row r="1270" spans="1:14">
      <c r="A1270" s="8" t="s">
        <v>1282</v>
      </c>
      <c r="B1270" s="2">
        <f>HYPERLINK("https://www.suredividend.com/sure-analysis-research-database/","GSE Systems, Inc.")</f>
        <v>0</v>
      </c>
      <c r="C1270" s="1" t="s">
        <v>3181</v>
      </c>
      <c r="D1270" s="3">
        <v>3.72</v>
      </c>
      <c r="E1270" s="4">
        <v>0</v>
      </c>
      <c r="F1270" s="4" t="s">
        <v>3178</v>
      </c>
      <c r="G1270" s="4" t="s">
        <v>3178</v>
      </c>
      <c r="H1270" s="3">
        <v>0</v>
      </c>
      <c r="I1270" s="5">
        <v>12.052175</v>
      </c>
      <c r="J1270" s="6">
        <v>0</v>
      </c>
      <c r="K1270" s="4" t="s">
        <v>3178</v>
      </c>
      <c r="L1270" s="7">
        <v>0.605023518990736</v>
      </c>
      <c r="M1270" s="3">
        <v>5.2</v>
      </c>
      <c r="N1270" s="3">
        <v>1.21</v>
      </c>
    </row>
    <row r="1271" spans="1:14">
      <c r="A1271" s="8" t="s">
        <v>1283</v>
      </c>
      <c r="B1271" s="2">
        <f>HYPERLINK("https://www.suredividend.com/sure-analysis-research-database/","Great Western Bancorp Inc")</f>
        <v>0</v>
      </c>
      <c r="C1271" s="1" t="s">
        <v>3180</v>
      </c>
      <c r="D1271" s="3">
        <v>30.88</v>
      </c>
      <c r="E1271" s="4">
        <v>0.003881755025846</v>
      </c>
      <c r="F1271" s="4" t="s">
        <v>3178</v>
      </c>
      <c r="G1271" s="4" t="s">
        <v>3178</v>
      </c>
      <c r="H1271" s="3">
        <v>0.119868595198139</v>
      </c>
      <c r="I1271" s="5">
        <v>1704.55108</v>
      </c>
      <c r="J1271" s="6">
        <v>4.193072547796397</v>
      </c>
      <c r="K1271" s="4">
        <v>0.01635315077737231</v>
      </c>
      <c r="L1271" s="7">
        <v>0.997626022818289</v>
      </c>
      <c r="M1271" s="3">
        <v>37.9</v>
      </c>
      <c r="N1271" s="3">
        <v>23.81</v>
      </c>
    </row>
    <row r="1272" spans="1:14">
      <c r="A1272" s="8" t="s">
        <v>1284</v>
      </c>
      <c r="B1272" s="2">
        <f>HYPERLINK("https://www.suredividend.com/sure-analysis-research-database/","GWG Holdings Inc")</f>
        <v>0</v>
      </c>
      <c r="C1272" s="1" t="s">
        <v>3180</v>
      </c>
      <c r="D1272" s="3">
        <v>2.89</v>
      </c>
      <c r="E1272" s="4">
        <v>0</v>
      </c>
      <c r="F1272" s="4" t="s">
        <v>3178</v>
      </c>
      <c r="G1272" s="4" t="s">
        <v>3178</v>
      </c>
      <c r="H1272" s="3">
        <v>0</v>
      </c>
      <c r="I1272" s="5">
        <v>0</v>
      </c>
      <c r="J1272" s="6">
        <v>0</v>
      </c>
      <c r="K1272" s="4" t="s">
        <v>3178</v>
      </c>
    </row>
    <row r="1273" spans="1:14">
      <c r="A1273" s="8" t="s">
        <v>1285</v>
      </c>
      <c r="B1273" s="2">
        <f>HYPERLINK("https://www.suredividend.com/sure-analysis-research-database/","Guidewire Software Inc")</f>
        <v>0</v>
      </c>
      <c r="C1273" s="1" t="s">
        <v>3181</v>
      </c>
      <c r="D1273" s="3">
        <v>129.98</v>
      </c>
      <c r="E1273" s="4">
        <v>0</v>
      </c>
      <c r="F1273" s="4" t="s">
        <v>3178</v>
      </c>
      <c r="G1273" s="4" t="s">
        <v>3178</v>
      </c>
      <c r="H1273" s="3">
        <v>0</v>
      </c>
      <c r="I1273" s="5">
        <v>10744.576384</v>
      </c>
      <c r="J1273" s="6" t="s">
        <v>3178</v>
      </c>
      <c r="K1273" s="4">
        <v>-0</v>
      </c>
      <c r="L1273" s="7">
        <v>1.565830541477097</v>
      </c>
      <c r="M1273" s="3">
        <v>132.36</v>
      </c>
      <c r="N1273" s="3">
        <v>68.45</v>
      </c>
    </row>
    <row r="1274" spans="1:14">
      <c r="A1274" s="8" t="s">
        <v>1286</v>
      </c>
      <c r="B1274" s="2">
        <f>HYPERLINK("https://www.suredividend.com/sure-analysis-GWRS/","Global Water Resources Inc")</f>
        <v>0</v>
      </c>
      <c r="C1274" s="1" t="s">
        <v>3186</v>
      </c>
      <c r="D1274" s="3">
        <v>12.22</v>
      </c>
      <c r="E1274" s="4">
        <v>0.02454991816693944</v>
      </c>
      <c r="F1274" s="4">
        <v>0</v>
      </c>
      <c r="G1274" s="4">
        <v>0.004035643692742674</v>
      </c>
      <c r="H1274" s="3">
        <v>0.292948423121512</v>
      </c>
      <c r="I1274" s="5">
        <v>295.432101</v>
      </c>
      <c r="J1274" s="6">
        <v>47.59660075076527</v>
      </c>
      <c r="K1274" s="4">
        <v>1.142099115483478</v>
      </c>
      <c r="L1274" s="7">
        <v>0.6292552592953971</v>
      </c>
      <c r="M1274" s="3">
        <v>13.35</v>
      </c>
      <c r="N1274" s="3">
        <v>9.039999999999999</v>
      </c>
    </row>
    <row r="1275" spans="1:14">
      <c r="A1275" s="8" t="s">
        <v>1287</v>
      </c>
      <c r="B1275" s="2">
        <f>HYPERLINK("https://www.suredividend.com/sure-analysis-GWW/","W.W. Grainger Inc.")</f>
        <v>0</v>
      </c>
      <c r="C1275" s="1" t="s">
        <v>3179</v>
      </c>
      <c r="D1275" s="3">
        <v>892.25</v>
      </c>
      <c r="E1275" s="4">
        <v>0.009190249369571307</v>
      </c>
      <c r="F1275" s="4">
        <v>0.1021505376344085</v>
      </c>
      <c r="G1275" s="4">
        <v>0.07319409349172168</v>
      </c>
      <c r="H1275" s="3">
        <v>7.606361447169434</v>
      </c>
      <c r="I1275" s="5">
        <v>43781.641261</v>
      </c>
      <c r="J1275" s="6">
        <v>24.06907161146234</v>
      </c>
      <c r="K1275" s="4">
        <v>0.2083363858441368</v>
      </c>
      <c r="L1275" s="7">
        <v>0.8491752744863981</v>
      </c>
      <c r="M1275" s="3">
        <v>1031.96</v>
      </c>
      <c r="N1275" s="3">
        <v>670.05</v>
      </c>
    </row>
    <row r="1276" spans="1:14">
      <c r="A1276" s="8" t="s">
        <v>1288</v>
      </c>
      <c r="B1276" s="2">
        <f>HYPERLINK("https://www.suredividend.com/sure-analysis-research-database/","Hyatt Hotels Corporation")</f>
        <v>0</v>
      </c>
      <c r="C1276" s="1" t="s">
        <v>3182</v>
      </c>
      <c r="D1276" s="3">
        <v>145.15</v>
      </c>
      <c r="E1276" s="4">
        <v>0.004127119427836</v>
      </c>
      <c r="F1276" s="4" t="s">
        <v>3178</v>
      </c>
      <c r="G1276" s="4" t="s">
        <v>3178</v>
      </c>
      <c r="H1276" s="3">
        <v>0.5990513849504631</v>
      </c>
      <c r="I1276" s="5">
        <v>6557.756671</v>
      </c>
      <c r="J1276" s="6">
        <v>9.587363553581872</v>
      </c>
      <c r="K1276" s="4">
        <v>0.09374826055562803</v>
      </c>
      <c r="L1276" s="7">
        <v>1.116226417821327</v>
      </c>
      <c r="M1276" s="3">
        <v>161.33</v>
      </c>
      <c r="N1276" s="3">
        <v>96.45</v>
      </c>
    </row>
    <row r="1277" spans="1:14">
      <c r="A1277" s="8" t="s">
        <v>1289</v>
      </c>
      <c r="B1277" s="2">
        <f>HYPERLINK("https://www.suredividend.com/sure-analysis-research-database/","Hawaiian Holdings, Inc.")</f>
        <v>0</v>
      </c>
      <c r="C1277" s="1" t="s">
        <v>3179</v>
      </c>
      <c r="D1277" s="3">
        <v>13.36</v>
      </c>
      <c r="E1277" s="4">
        <v>0</v>
      </c>
      <c r="F1277" s="4" t="s">
        <v>3178</v>
      </c>
      <c r="G1277" s="4" t="s">
        <v>3178</v>
      </c>
      <c r="H1277" s="3">
        <v>0</v>
      </c>
      <c r="I1277" s="5">
        <v>692.701384</v>
      </c>
      <c r="J1277" s="6" t="s">
        <v>3178</v>
      </c>
      <c r="K1277" s="4">
        <v>-0</v>
      </c>
      <c r="L1277" s="7">
        <v>0.9177257360041291</v>
      </c>
      <c r="M1277" s="3">
        <v>14.89</v>
      </c>
      <c r="N1277" s="3">
        <v>3.7</v>
      </c>
    </row>
    <row r="1278" spans="1:14">
      <c r="A1278" s="8" t="s">
        <v>1290</v>
      </c>
      <c r="B1278" s="2">
        <f>HYPERLINK("https://www.suredividend.com/sure-analysis-research-database/","Haemonetics Corp.")</f>
        <v>0</v>
      </c>
      <c r="C1278" s="1" t="s">
        <v>3176</v>
      </c>
      <c r="D1278" s="3">
        <v>85.61</v>
      </c>
      <c r="E1278" s="4">
        <v>0</v>
      </c>
      <c r="F1278" s="4" t="s">
        <v>3178</v>
      </c>
      <c r="G1278" s="4" t="s">
        <v>3178</v>
      </c>
      <c r="H1278" s="3">
        <v>0</v>
      </c>
      <c r="I1278" s="5">
        <v>4352.53585</v>
      </c>
      <c r="J1278" s="6">
        <v>37.02458233059426</v>
      </c>
      <c r="K1278" s="4">
        <v>0</v>
      </c>
      <c r="L1278" s="7">
        <v>0.9127687704848401</v>
      </c>
      <c r="M1278" s="3">
        <v>97.97</v>
      </c>
      <c r="N1278" s="3">
        <v>70.73999999999999</v>
      </c>
    </row>
    <row r="1279" spans="1:14">
      <c r="A1279" s="8" t="s">
        <v>1291</v>
      </c>
      <c r="B1279" s="2">
        <f>HYPERLINK("https://www.suredividend.com/sure-analysis-research-database/","Hanmi Financial Corp.")</f>
        <v>0</v>
      </c>
      <c r="C1279" s="1" t="s">
        <v>3180</v>
      </c>
      <c r="D1279" s="3">
        <v>15.57</v>
      </c>
      <c r="E1279" s="4">
        <v>0.061308279462084</v>
      </c>
      <c r="F1279" s="4">
        <v>0</v>
      </c>
      <c r="G1279" s="4">
        <v>0.008197818497166498</v>
      </c>
      <c r="H1279" s="3">
        <v>0.9545699112246571</v>
      </c>
      <c r="I1279" s="5">
        <v>473.126555</v>
      </c>
      <c r="J1279" s="6">
        <v>6.460035709662884</v>
      </c>
      <c r="K1279" s="4">
        <v>0.3944503765391145</v>
      </c>
      <c r="L1279" s="7">
        <v>1.232387477450814</v>
      </c>
      <c r="M1279" s="3">
        <v>19.08</v>
      </c>
      <c r="N1279" s="3">
        <v>12.62</v>
      </c>
    </row>
    <row r="1280" spans="1:14">
      <c r="A1280" s="8" t="s">
        <v>1292</v>
      </c>
      <c r="B1280" s="2">
        <f>HYPERLINK("https://www.suredividend.com/sure-analysis-research-database/","Hain Celestial Group Inc")</f>
        <v>0</v>
      </c>
      <c r="C1280" s="1" t="s">
        <v>3184</v>
      </c>
      <c r="D1280" s="3">
        <v>7.55</v>
      </c>
      <c r="E1280" s="4">
        <v>0</v>
      </c>
      <c r="F1280" s="4" t="s">
        <v>3178</v>
      </c>
      <c r="G1280" s="4" t="s">
        <v>3178</v>
      </c>
      <c r="H1280" s="3">
        <v>0</v>
      </c>
      <c r="I1280" s="5">
        <v>678.322781</v>
      </c>
      <c r="J1280" s="6" t="s">
        <v>3178</v>
      </c>
      <c r="K1280" s="4">
        <v>-0</v>
      </c>
      <c r="L1280" s="7">
        <v>0.610455637664817</v>
      </c>
      <c r="M1280" s="3">
        <v>13.24</v>
      </c>
      <c r="N1280" s="3">
        <v>5.69</v>
      </c>
    </row>
    <row r="1281" spans="1:14">
      <c r="A1281" s="8" t="s">
        <v>1293</v>
      </c>
      <c r="B1281" s="2">
        <f>HYPERLINK("https://www.suredividend.com/sure-analysis-HAL/","Halliburton Co.")</f>
        <v>0</v>
      </c>
      <c r="C1281" s="1" t="s">
        <v>3185</v>
      </c>
      <c r="D1281" s="3">
        <v>34.08</v>
      </c>
      <c r="E1281" s="4">
        <v>0.01995305164319249</v>
      </c>
      <c r="F1281" s="4">
        <v>0.0625</v>
      </c>
      <c r="G1281" s="4">
        <v>-0.01136658936104351</v>
      </c>
      <c r="H1281" s="3">
        <v>0.655303882352948</v>
      </c>
      <c r="I1281" s="5">
        <v>30171.066668</v>
      </c>
      <c r="J1281" s="6">
        <v>11.63558298039337</v>
      </c>
      <c r="K1281" s="4">
        <v>0.2267487482190131</v>
      </c>
      <c r="L1281" s="7">
        <v>0.564111891353939</v>
      </c>
      <c r="M1281" s="3">
        <v>43.23</v>
      </c>
      <c r="N1281" s="3">
        <v>29.49</v>
      </c>
    </row>
    <row r="1282" spans="1:14">
      <c r="A1282" s="8" t="s">
        <v>1294</v>
      </c>
      <c r="B1282" s="2">
        <f>HYPERLINK("https://www.suredividend.com/sure-analysis-research-database/","Hallmark Financial Services, Inc")</f>
        <v>0</v>
      </c>
      <c r="C1282" s="1" t="s">
        <v>3180</v>
      </c>
      <c r="D1282" s="3">
        <v>0.0001</v>
      </c>
      <c r="E1282" s="4">
        <v>0</v>
      </c>
      <c r="F1282" s="4" t="s">
        <v>3178</v>
      </c>
      <c r="G1282" s="4" t="s">
        <v>3178</v>
      </c>
      <c r="H1282" s="3">
        <v>0</v>
      </c>
      <c r="I1282" s="5">
        <v>0.000209</v>
      </c>
      <c r="J1282" s="6" t="s">
        <v>3178</v>
      </c>
      <c r="K1282" s="4">
        <v>-0</v>
      </c>
      <c r="M1282" s="3">
        <v>1.27</v>
      </c>
      <c r="N1282" s="3">
        <v>0.0001</v>
      </c>
    </row>
    <row r="1283" spans="1:14">
      <c r="A1283" s="8" t="s">
        <v>1295</v>
      </c>
      <c r="B1283" s="2">
        <f>HYPERLINK("https://www.suredividend.com/sure-analysis-research-database/","Halozyme Therapeutics Inc.")</f>
        <v>0</v>
      </c>
      <c r="C1283" s="1" t="s">
        <v>3176</v>
      </c>
      <c r="D1283" s="3">
        <v>50.85</v>
      </c>
      <c r="E1283" s="4">
        <v>0</v>
      </c>
      <c r="F1283" s="4" t="s">
        <v>3178</v>
      </c>
      <c r="G1283" s="4" t="s">
        <v>3178</v>
      </c>
      <c r="H1283" s="3">
        <v>0</v>
      </c>
      <c r="I1283" s="5">
        <v>6471.8829</v>
      </c>
      <c r="J1283" s="6">
        <v>20.30063456314578</v>
      </c>
      <c r="K1283" s="4">
        <v>0</v>
      </c>
      <c r="L1283" s="7">
        <v>0.9985795635335381</v>
      </c>
      <c r="M1283" s="3">
        <v>53</v>
      </c>
      <c r="N1283" s="3">
        <v>32.78</v>
      </c>
    </row>
    <row r="1284" spans="1:14">
      <c r="A1284" s="8" t="s">
        <v>1296</v>
      </c>
      <c r="B1284" s="2">
        <f>HYPERLINK("https://www.suredividend.com/sure-analysis-HAS/","Hasbro, Inc.")</f>
        <v>0</v>
      </c>
      <c r="C1284" s="1" t="s">
        <v>3182</v>
      </c>
      <c r="D1284" s="3">
        <v>58.45</v>
      </c>
      <c r="E1284" s="4">
        <v>0.04790419161676646</v>
      </c>
      <c r="F1284" s="4">
        <v>0</v>
      </c>
      <c r="G1284" s="4">
        <v>0.005814345444414393</v>
      </c>
      <c r="H1284" s="3">
        <v>2.718371238594306</v>
      </c>
      <c r="I1284" s="5">
        <v>8137.173096</v>
      </c>
      <c r="J1284" s="6" t="s">
        <v>3178</v>
      </c>
      <c r="K1284" s="4" t="s">
        <v>3178</v>
      </c>
      <c r="L1284" s="7">
        <v>1.034465668954744</v>
      </c>
      <c r="M1284" s="3">
        <v>68.59</v>
      </c>
      <c r="N1284" s="3">
        <v>41.04</v>
      </c>
    </row>
    <row r="1285" spans="1:14">
      <c r="A1285" s="8" t="s">
        <v>1297</v>
      </c>
      <c r="B1285" s="2">
        <f>HYPERLINK("https://www.suredividend.com/sure-analysis-HASI/","Hannon Armstrong Sustainable Infrastructure capital Inc")</f>
        <v>0</v>
      </c>
      <c r="C1285" s="1" t="s">
        <v>3183</v>
      </c>
      <c r="D1285" s="3">
        <v>31.25</v>
      </c>
      <c r="E1285" s="4">
        <v>0.05312</v>
      </c>
      <c r="F1285" s="4">
        <v>0.05063291139240511</v>
      </c>
      <c r="G1285" s="4">
        <v>0.04376002056809547</v>
      </c>
      <c r="H1285" s="3">
        <v>1.563516597850221</v>
      </c>
      <c r="I1285" s="5">
        <v>3563.560594</v>
      </c>
      <c r="J1285" s="6">
        <v>14.3834053550887</v>
      </c>
      <c r="K1285" s="4">
        <v>0.7480940659570436</v>
      </c>
      <c r="L1285" s="7">
        <v>2.129807195082411</v>
      </c>
      <c r="M1285" s="3">
        <v>33.99</v>
      </c>
      <c r="N1285" s="3">
        <v>12.84</v>
      </c>
    </row>
    <row r="1286" spans="1:14">
      <c r="A1286" s="8" t="s">
        <v>1298</v>
      </c>
      <c r="B1286" s="2">
        <f>HYPERLINK("https://www.suredividend.com/sure-analysis-research-database/","Haynes International Inc.")</f>
        <v>0</v>
      </c>
      <c r="C1286" s="1" t="s">
        <v>3179</v>
      </c>
      <c r="D1286" s="3">
        <v>58.83</v>
      </c>
      <c r="E1286" s="4">
        <v>0.014787258520919</v>
      </c>
      <c r="F1286" s="4">
        <v>0</v>
      </c>
      <c r="G1286" s="4">
        <v>0</v>
      </c>
      <c r="H1286" s="3">
        <v>0.869934418785672</v>
      </c>
      <c r="I1286" s="5">
        <v>752.017536</v>
      </c>
      <c r="J1286" s="6">
        <v>19.71729251074987</v>
      </c>
      <c r="K1286" s="4">
        <v>0.2929072117123475</v>
      </c>
      <c r="L1286" s="7">
        <v>0.7756676810856921</v>
      </c>
      <c r="M1286" s="3">
        <v>60.41</v>
      </c>
      <c r="N1286" s="3">
        <v>40.18</v>
      </c>
    </row>
    <row r="1287" spans="1:14">
      <c r="A1287" s="8" t="s">
        <v>1299</v>
      </c>
      <c r="B1287" s="2">
        <f>HYPERLINK("https://www.suredividend.com/sure-analysis-HBAN/","Huntington Bancshares, Inc.")</f>
        <v>0</v>
      </c>
      <c r="C1287" s="1" t="s">
        <v>3180</v>
      </c>
      <c r="D1287" s="3">
        <v>13.4</v>
      </c>
      <c r="E1287" s="4">
        <v>0.04626865671641791</v>
      </c>
      <c r="F1287" s="4">
        <v>0</v>
      </c>
      <c r="G1287" s="4">
        <v>0.02056514630321193</v>
      </c>
      <c r="H1287" s="3">
        <v>0.5977685487216471</v>
      </c>
      <c r="I1287" s="5">
        <v>19420.00557</v>
      </c>
      <c r="J1287" s="6">
        <v>11.93608209575907</v>
      </c>
      <c r="K1287" s="4">
        <v>0.5385302240735559</v>
      </c>
      <c r="L1287" s="7">
        <v>1.094853990644058</v>
      </c>
      <c r="M1287" s="3">
        <v>14.3</v>
      </c>
      <c r="N1287" s="3">
        <v>8.82</v>
      </c>
    </row>
    <row r="1288" spans="1:14">
      <c r="A1288" s="8" t="s">
        <v>1300</v>
      </c>
      <c r="B1288" s="2">
        <f>HYPERLINK("https://www.suredividend.com/sure-analysis-research-database/","Hamilton Beach Brands Holding Co")</f>
        <v>0</v>
      </c>
      <c r="C1288" s="1" t="s">
        <v>3181</v>
      </c>
      <c r="D1288" s="3">
        <v>18.75</v>
      </c>
      <c r="E1288" s="4">
        <v>0.023510961676055</v>
      </c>
      <c r="F1288" s="4">
        <v>0.04545454545454541</v>
      </c>
      <c r="G1288" s="4">
        <v>0.05024607263868264</v>
      </c>
      <c r="H1288" s="3">
        <v>0.440830531426032</v>
      </c>
      <c r="I1288" s="5">
        <v>197.517694</v>
      </c>
      <c r="J1288" s="6">
        <v>6.844706440378418</v>
      </c>
      <c r="K1288" s="4">
        <v>0.2150392836224547</v>
      </c>
      <c r="L1288" s="7">
        <v>0.495561941741411</v>
      </c>
      <c r="M1288" s="3">
        <v>25.09</v>
      </c>
      <c r="N1288" s="3">
        <v>8.949999999999999</v>
      </c>
    </row>
    <row r="1289" spans="1:14">
      <c r="A1289" s="8" t="s">
        <v>1301</v>
      </c>
      <c r="B1289" s="2">
        <f>HYPERLINK("https://www.suredividend.com/sure-analysis-research-database/","Home Bancorp Inc")</f>
        <v>0</v>
      </c>
      <c r="C1289" s="1" t="s">
        <v>3180</v>
      </c>
      <c r="D1289" s="3">
        <v>36.23</v>
      </c>
      <c r="E1289" s="4">
        <v>0.027049278357551</v>
      </c>
      <c r="F1289" s="4">
        <v>0</v>
      </c>
      <c r="G1289" s="4">
        <v>0.03548578845590522</v>
      </c>
      <c r="H1289" s="3">
        <v>0.9799953548940861</v>
      </c>
      <c r="I1289" s="5">
        <v>294.489541</v>
      </c>
      <c r="J1289" s="6">
        <v>7.725531646160706</v>
      </c>
      <c r="K1289" s="4">
        <v>0.20675007487217</v>
      </c>
      <c r="L1289" s="7">
        <v>0.9196586863110031</v>
      </c>
      <c r="M1289" s="3">
        <v>42.86</v>
      </c>
      <c r="N1289" s="3">
        <v>30.2</v>
      </c>
    </row>
    <row r="1290" spans="1:14">
      <c r="A1290" s="8" t="s">
        <v>1302</v>
      </c>
      <c r="B1290" s="2">
        <f>HYPERLINK("https://www.suredividend.com/sure-analysis-research-database/","Hanesbrands Inc")</f>
        <v>0</v>
      </c>
      <c r="C1290" s="1" t="s">
        <v>3182</v>
      </c>
      <c r="D1290" s="3">
        <v>5.18</v>
      </c>
      <c r="E1290" s="4">
        <v>0</v>
      </c>
      <c r="F1290" s="4" t="s">
        <v>3178</v>
      </c>
      <c r="G1290" s="4" t="s">
        <v>3178</v>
      </c>
      <c r="H1290" s="3">
        <v>0</v>
      </c>
      <c r="I1290" s="5">
        <v>1821.097941</v>
      </c>
      <c r="J1290" s="6" t="s">
        <v>3178</v>
      </c>
      <c r="K1290" s="4">
        <v>-0</v>
      </c>
      <c r="L1290" s="7">
        <v>1.682684124661333</v>
      </c>
      <c r="M1290" s="3">
        <v>5.86</v>
      </c>
      <c r="N1290" s="3">
        <v>3.54</v>
      </c>
    </row>
    <row r="1291" spans="1:14">
      <c r="A1291" s="8" t="s">
        <v>1303</v>
      </c>
      <c r="B1291" s="2">
        <f>HYPERLINK("https://www.suredividend.com/sure-analysis-research-database/","Harvard Bioscience Inc.")</f>
        <v>0</v>
      </c>
      <c r="C1291" s="1" t="s">
        <v>3176</v>
      </c>
      <c r="D1291" s="3">
        <v>2.94</v>
      </c>
      <c r="E1291" s="4">
        <v>0</v>
      </c>
      <c r="F1291" s="4" t="s">
        <v>3178</v>
      </c>
      <c r="G1291" s="4" t="s">
        <v>3178</v>
      </c>
      <c r="H1291" s="3">
        <v>0</v>
      </c>
      <c r="I1291" s="5">
        <v>127.6831</v>
      </c>
      <c r="J1291" s="6">
        <v>0</v>
      </c>
      <c r="K1291" s="4" t="s">
        <v>3178</v>
      </c>
      <c r="L1291" s="7">
        <v>0.7830936176705811</v>
      </c>
      <c r="M1291" s="3">
        <v>6.2</v>
      </c>
      <c r="N1291" s="3">
        <v>2.92</v>
      </c>
    </row>
    <row r="1292" spans="1:14">
      <c r="A1292" s="8" t="s">
        <v>1304</v>
      </c>
      <c r="B1292" s="2">
        <f>HYPERLINK("https://www.suredividend.com/sure-analysis-research-database/","Howard Bancorp Inc")</f>
        <v>0</v>
      </c>
      <c r="C1292" s="1" t="s">
        <v>3180</v>
      </c>
      <c r="D1292" s="3">
        <v>23.3</v>
      </c>
      <c r="E1292" s="4">
        <v>0</v>
      </c>
      <c r="F1292" s="4" t="s">
        <v>3178</v>
      </c>
      <c r="G1292" s="4" t="s">
        <v>3178</v>
      </c>
      <c r="H1292" s="3">
        <v>0</v>
      </c>
      <c r="I1292" s="5">
        <v>0</v>
      </c>
      <c r="J1292" s="6">
        <v>0</v>
      </c>
      <c r="K1292" s="4" t="s">
        <v>3178</v>
      </c>
    </row>
    <row r="1293" spans="1:14">
      <c r="A1293" s="8" t="s">
        <v>1305</v>
      </c>
      <c r="B1293" s="2">
        <f>HYPERLINK("https://www.suredividend.com/sure-analysis-HBNC/","Horizon Bancorp Inc (IN)")</f>
        <v>0</v>
      </c>
      <c r="C1293" s="1" t="s">
        <v>3180</v>
      </c>
      <c r="D1293" s="3">
        <v>11.85</v>
      </c>
      <c r="E1293" s="4">
        <v>0.0540084388185654</v>
      </c>
      <c r="F1293" s="4">
        <v>0</v>
      </c>
      <c r="G1293" s="4">
        <v>0.05922384104881218</v>
      </c>
      <c r="H1293" s="3">
        <v>0.621748055729725</v>
      </c>
      <c r="I1293" s="5">
        <v>522.772704</v>
      </c>
      <c r="J1293" s="6">
        <v>18.6831315535542</v>
      </c>
      <c r="K1293" s="4">
        <v>0.974221334581205</v>
      </c>
      <c r="L1293" s="7">
        <v>1.389321042362247</v>
      </c>
      <c r="M1293" s="3">
        <v>14.27</v>
      </c>
      <c r="N1293" s="3">
        <v>8.890000000000001</v>
      </c>
    </row>
    <row r="1294" spans="1:14">
      <c r="A1294" s="8" t="s">
        <v>1306</v>
      </c>
      <c r="B1294" s="2">
        <f>HYPERLINK("https://www.suredividend.com/sure-analysis-research-database/","Huttig Building Products, Inc.")</f>
        <v>0</v>
      </c>
      <c r="C1294" s="1" t="s">
        <v>3179</v>
      </c>
      <c r="D1294" s="3">
        <v>10.7</v>
      </c>
      <c r="E1294" s="4">
        <v>0</v>
      </c>
      <c r="F1294" s="4" t="s">
        <v>3178</v>
      </c>
      <c r="G1294" s="4" t="s">
        <v>3178</v>
      </c>
      <c r="H1294" s="3">
        <v>0</v>
      </c>
      <c r="I1294" s="5">
        <v>0</v>
      </c>
      <c r="J1294" s="6">
        <v>0</v>
      </c>
      <c r="K1294" s="4" t="s">
        <v>3178</v>
      </c>
    </row>
    <row r="1295" spans="1:14">
      <c r="A1295" s="8" t="s">
        <v>1307</v>
      </c>
      <c r="B1295" s="2">
        <f>HYPERLINK("https://www.suredividend.com/sure-analysis-research-database/","HCA Healthcare Inc")</f>
        <v>0</v>
      </c>
      <c r="C1295" s="1" t="s">
        <v>3176</v>
      </c>
      <c r="D1295" s="3">
        <v>337.44</v>
      </c>
      <c r="E1295" s="4">
        <v>0.007267105512608001</v>
      </c>
      <c r="F1295" s="4" t="s">
        <v>3178</v>
      </c>
      <c r="G1295" s="4" t="s">
        <v>3178</v>
      </c>
      <c r="H1295" s="3">
        <v>2.452212084174448</v>
      </c>
      <c r="I1295" s="5">
        <v>88380.29390400001</v>
      </c>
      <c r="J1295" s="6">
        <v>16.15727493674589</v>
      </c>
      <c r="K1295" s="4">
        <v>0.1224881160926298</v>
      </c>
      <c r="L1295" s="7">
        <v>0.806109102486384</v>
      </c>
      <c r="M1295" s="3">
        <v>340</v>
      </c>
      <c r="N1295" s="3">
        <v>215.03</v>
      </c>
    </row>
    <row r="1296" spans="1:14">
      <c r="A1296" s="8" t="s">
        <v>1308</v>
      </c>
      <c r="B1296" s="2">
        <f>HYPERLINK("https://www.suredividend.com/sure-analysis-research-database/","Warrior Met Coal Inc")</f>
        <v>0</v>
      </c>
      <c r="C1296" s="1" t="s">
        <v>3177</v>
      </c>
      <c r="D1296" s="3">
        <v>67.59</v>
      </c>
      <c r="E1296" s="4">
        <v>0.004401835202713001</v>
      </c>
      <c r="F1296" s="4">
        <v>0.1428571428571428</v>
      </c>
      <c r="G1296" s="4">
        <v>0.09856054330611763</v>
      </c>
      <c r="H1296" s="3">
        <v>0.297520041351395</v>
      </c>
      <c r="I1296" s="5">
        <v>3535.004786</v>
      </c>
      <c r="J1296" s="6">
        <v>8.157559026563378</v>
      </c>
      <c r="K1296" s="4">
        <v>0.03575962035473498</v>
      </c>
      <c r="L1296" s="7">
        <v>0.6610203811988711</v>
      </c>
      <c r="M1296" s="3">
        <v>73.08</v>
      </c>
      <c r="N1296" s="3">
        <v>34.21</v>
      </c>
    </row>
    <row r="1297" spans="1:14">
      <c r="A1297" s="8" t="s">
        <v>1309</v>
      </c>
      <c r="B1297" s="2">
        <f>HYPERLINK("https://www.suredividend.com/sure-analysis-research-database/","Heritage-Crystal Clean Inc")</f>
        <v>0</v>
      </c>
      <c r="C1297" s="1" t="s">
        <v>3179</v>
      </c>
      <c r="D1297" s="3">
        <v>45.51</v>
      </c>
      <c r="E1297" s="4">
        <v>0</v>
      </c>
      <c r="F1297" s="4" t="s">
        <v>3178</v>
      </c>
      <c r="G1297" s="4" t="s">
        <v>3178</v>
      </c>
      <c r="H1297" s="3">
        <v>0</v>
      </c>
      <c r="I1297" s="5">
        <v>0</v>
      </c>
      <c r="J1297" s="6">
        <v>0</v>
      </c>
      <c r="K1297" s="4" t="s">
        <v>3178</v>
      </c>
    </row>
    <row r="1298" spans="1:14">
      <c r="A1298" s="8" t="s">
        <v>1310</v>
      </c>
      <c r="B1298" s="2">
        <f>HYPERLINK("https://www.suredividend.com/sure-analysis-research-database/","HC2 Holdings Inc")</f>
        <v>0</v>
      </c>
      <c r="C1298" s="1" t="s">
        <v>3187</v>
      </c>
      <c r="D1298" s="3">
        <v>3.68</v>
      </c>
      <c r="E1298" s="4">
        <v>0</v>
      </c>
      <c r="F1298" s="4" t="s">
        <v>3178</v>
      </c>
      <c r="G1298" s="4" t="s">
        <v>3178</v>
      </c>
      <c r="H1298" s="3">
        <v>0</v>
      </c>
      <c r="I1298" s="5">
        <v>286.376798</v>
      </c>
      <c r="J1298" s="6">
        <v>0</v>
      </c>
      <c r="K1298" s="4" t="s">
        <v>3178</v>
      </c>
      <c r="L1298" s="7">
        <v>1.077262531562803</v>
      </c>
      <c r="M1298" s="3">
        <v>4.75</v>
      </c>
      <c r="N1298" s="3">
        <v>2.06</v>
      </c>
    </row>
    <row r="1299" spans="1:14">
      <c r="A1299" s="8" t="s">
        <v>1311</v>
      </c>
      <c r="B1299" s="2">
        <f>HYPERLINK("https://www.suredividend.com/sure-analysis-research-database/","HCI Group Inc")</f>
        <v>0</v>
      </c>
      <c r="C1299" s="1" t="s">
        <v>3180</v>
      </c>
      <c r="D1299" s="3">
        <v>95.86</v>
      </c>
      <c r="E1299" s="4">
        <v>0.016586233511378</v>
      </c>
      <c r="F1299" s="4">
        <v>0</v>
      </c>
      <c r="G1299" s="4">
        <v>0</v>
      </c>
      <c r="H1299" s="3">
        <v>1.589956344400712</v>
      </c>
      <c r="I1299" s="5">
        <v>1004.26895</v>
      </c>
      <c r="J1299" s="6">
        <v>9.296376404080425</v>
      </c>
      <c r="K1299" s="4">
        <v>0.168964542444284</v>
      </c>
      <c r="L1299" s="7">
        <v>0.415789083601747</v>
      </c>
      <c r="M1299" s="3">
        <v>119.43</v>
      </c>
      <c r="N1299" s="3">
        <v>48.2</v>
      </c>
    </row>
    <row r="1300" spans="1:14">
      <c r="A1300" s="8" t="s">
        <v>1312</v>
      </c>
      <c r="B1300" s="2">
        <f>HYPERLINK("https://www.suredividend.com/sure-analysis-research-database/","Hackett Group Inc (The)")</f>
        <v>0</v>
      </c>
      <c r="C1300" s="1" t="s">
        <v>3181</v>
      </c>
      <c r="D1300" s="3">
        <v>22.08</v>
      </c>
      <c r="E1300" s="4">
        <v>0.019674841611866</v>
      </c>
      <c r="F1300" s="4" t="s">
        <v>3178</v>
      </c>
      <c r="G1300" s="4" t="s">
        <v>3178</v>
      </c>
      <c r="H1300" s="3">
        <v>0.434420502790004</v>
      </c>
      <c r="I1300" s="5">
        <v>609.715177</v>
      </c>
      <c r="J1300" s="6">
        <v>17.56041522306385</v>
      </c>
      <c r="K1300" s="4">
        <v>0.3475364022320032</v>
      </c>
      <c r="L1300" s="7">
        <v>0.81243410168576</v>
      </c>
      <c r="M1300" s="3">
        <v>26.45</v>
      </c>
      <c r="N1300" s="3">
        <v>19.71</v>
      </c>
    </row>
    <row r="1301" spans="1:14">
      <c r="A1301" s="8" t="s">
        <v>1313</v>
      </c>
      <c r="B1301" s="2">
        <f>HYPERLINK("https://www.suredividend.com/sure-analysis-research-database/","HashiCorp Inc")</f>
        <v>0</v>
      </c>
      <c r="C1301" s="1" t="s">
        <v>3178</v>
      </c>
      <c r="D1301" s="3">
        <v>33.78</v>
      </c>
      <c r="E1301" s="4">
        <v>0</v>
      </c>
      <c r="F1301" s="4" t="s">
        <v>3178</v>
      </c>
      <c r="G1301" s="4" t="s">
        <v>3178</v>
      </c>
      <c r="H1301" s="3">
        <v>0</v>
      </c>
      <c r="I1301" s="5">
        <v>6228.487737</v>
      </c>
      <c r="J1301" s="6" t="s">
        <v>3178</v>
      </c>
      <c r="K1301" s="4">
        <v>-0</v>
      </c>
      <c r="L1301" s="7">
        <v>1.760753132341621</v>
      </c>
      <c r="M1301" s="3">
        <v>33.85</v>
      </c>
      <c r="N1301" s="3">
        <v>18.91</v>
      </c>
    </row>
    <row r="1302" spans="1:14">
      <c r="A1302" s="8" t="s">
        <v>1314</v>
      </c>
      <c r="B1302" s="2">
        <f>HYPERLINK("https://www.suredividend.com/sure-analysis-research-database/","Healthcare Services Group, Inc.")</f>
        <v>0</v>
      </c>
      <c r="C1302" s="1" t="s">
        <v>3176</v>
      </c>
      <c r="D1302" s="3">
        <v>10.43</v>
      </c>
      <c r="E1302" s="4">
        <v>0</v>
      </c>
      <c r="F1302" s="4" t="s">
        <v>3178</v>
      </c>
      <c r="G1302" s="4" t="s">
        <v>3178</v>
      </c>
      <c r="H1302" s="3">
        <v>0</v>
      </c>
      <c r="I1302" s="5">
        <v>768.132474</v>
      </c>
      <c r="J1302" s="6">
        <v>18.72991327936407</v>
      </c>
      <c r="K1302" s="4">
        <v>0</v>
      </c>
      <c r="L1302" s="7">
        <v>1.124575949625521</v>
      </c>
      <c r="M1302" s="3">
        <v>15.14</v>
      </c>
      <c r="N1302" s="3">
        <v>8.75</v>
      </c>
    </row>
    <row r="1303" spans="1:14">
      <c r="A1303" s="8" t="s">
        <v>1315</v>
      </c>
      <c r="B1303" s="2">
        <f>HYPERLINK("https://www.suredividend.com/sure-analysis-HD/","Home Depot, Inc.")</f>
        <v>0</v>
      </c>
      <c r="C1303" s="1" t="s">
        <v>3182</v>
      </c>
      <c r="D1303" s="3">
        <v>327.03</v>
      </c>
      <c r="E1303" s="4">
        <v>0.02752041097147051</v>
      </c>
      <c r="F1303" s="4">
        <v>0.07655502392344515</v>
      </c>
      <c r="G1303" s="4">
        <v>0.1059327574582323</v>
      </c>
      <c r="H1303" s="3">
        <v>8.597166990739922</v>
      </c>
      <c r="I1303" s="5">
        <v>324287.587248</v>
      </c>
      <c r="J1303" s="6">
        <v>21.80817668107465</v>
      </c>
      <c r="K1303" s="4">
        <v>0.5762176267251958</v>
      </c>
      <c r="L1303" s="7">
        <v>0.9944580020746021</v>
      </c>
      <c r="M1303" s="3">
        <v>394.13</v>
      </c>
      <c r="N1303" s="3">
        <v>268.94</v>
      </c>
    </row>
    <row r="1304" spans="1:14">
      <c r="A1304" s="8" t="s">
        <v>1316</v>
      </c>
      <c r="B1304" s="2">
        <f>HYPERLINK("https://www.suredividend.com/sure-analysis-research-database/","HD Supply Holdings Inc")</f>
        <v>0</v>
      </c>
      <c r="C1304" s="1" t="s">
        <v>3179</v>
      </c>
      <c r="D1304" s="3">
        <v>55.99</v>
      </c>
      <c r="E1304" s="4">
        <v>0</v>
      </c>
      <c r="F1304" s="4" t="s">
        <v>3178</v>
      </c>
      <c r="G1304" s="4" t="s">
        <v>3178</v>
      </c>
      <c r="H1304" s="3">
        <v>0</v>
      </c>
      <c r="I1304" s="5">
        <v>0</v>
      </c>
      <c r="J1304" s="6">
        <v>0</v>
      </c>
      <c r="K1304" s="4">
        <v>0</v>
      </c>
    </row>
    <row r="1305" spans="1:14">
      <c r="A1305" s="8" t="s">
        <v>1317</v>
      </c>
      <c r="B1305" s="2">
        <f>HYPERLINK("https://www.suredividend.com/sure-analysis-research-database/","Hudson Technologies, Inc.")</f>
        <v>0</v>
      </c>
      <c r="C1305" s="1" t="s">
        <v>3177</v>
      </c>
      <c r="D1305" s="3">
        <v>9.390000000000001</v>
      </c>
      <c r="E1305" s="4">
        <v>0</v>
      </c>
      <c r="F1305" s="4" t="s">
        <v>3178</v>
      </c>
      <c r="G1305" s="4" t="s">
        <v>3178</v>
      </c>
      <c r="H1305" s="3">
        <v>0</v>
      </c>
      <c r="I1305" s="5">
        <v>427.347586</v>
      </c>
      <c r="J1305" s="6">
        <v>0</v>
      </c>
      <c r="K1305" s="4" t="s">
        <v>3178</v>
      </c>
      <c r="L1305" s="7">
        <v>0.517015868316416</v>
      </c>
      <c r="M1305" s="3">
        <v>15.24</v>
      </c>
      <c r="N1305" s="3">
        <v>7.9</v>
      </c>
    </row>
    <row r="1306" spans="1:14">
      <c r="A1306" s="8" t="s">
        <v>1318</v>
      </c>
      <c r="B1306" s="2">
        <f>HYPERLINK("https://www.suredividend.com/sure-analysis-research-database/","Hawaiian Electric Industries, Inc.")</f>
        <v>0</v>
      </c>
      <c r="C1306" s="1" t="s">
        <v>3186</v>
      </c>
      <c r="D1306" s="3">
        <v>10.28</v>
      </c>
      <c r="E1306" s="4">
        <v>0.03501945664446601</v>
      </c>
      <c r="F1306" s="4" t="s">
        <v>3178</v>
      </c>
      <c r="G1306" s="4" t="s">
        <v>3178</v>
      </c>
      <c r="H1306" s="3">
        <v>0.360000014305114</v>
      </c>
      <c r="I1306" s="5">
        <v>1133.911417</v>
      </c>
      <c r="J1306" s="6">
        <v>5.691240710908562</v>
      </c>
      <c r="K1306" s="4">
        <v>0.1988950355276873</v>
      </c>
      <c r="L1306" s="7">
        <v>0.6888547858295431</v>
      </c>
      <c r="M1306" s="3">
        <v>39.17</v>
      </c>
      <c r="N1306" s="3">
        <v>8.74</v>
      </c>
    </row>
    <row r="1307" spans="1:14">
      <c r="A1307" s="8" t="s">
        <v>1319</v>
      </c>
      <c r="B1307" s="2">
        <f>HYPERLINK("https://www.suredividend.com/sure-analysis-research-database/","Turtle Beach Corp")</f>
        <v>0</v>
      </c>
      <c r="C1307" s="1" t="s">
        <v>3181</v>
      </c>
      <c r="D1307" s="3">
        <v>15.425</v>
      </c>
      <c r="E1307" s="4">
        <v>0</v>
      </c>
      <c r="F1307" s="4" t="s">
        <v>3178</v>
      </c>
      <c r="G1307" s="4" t="s">
        <v>3178</v>
      </c>
      <c r="H1307" s="3">
        <v>0</v>
      </c>
      <c r="I1307" s="5">
        <v>331.988326</v>
      </c>
      <c r="J1307" s="6" t="s">
        <v>3178</v>
      </c>
      <c r="K1307" s="4">
        <v>-0</v>
      </c>
      <c r="L1307" s="7">
        <v>1.11973220878915</v>
      </c>
      <c r="M1307" s="3">
        <v>18.45</v>
      </c>
      <c r="N1307" s="3">
        <v>7.97</v>
      </c>
    </row>
    <row r="1308" spans="1:14">
      <c r="A1308" s="8" t="s">
        <v>1320</v>
      </c>
      <c r="B1308" s="2">
        <f>HYPERLINK("https://www.suredividend.com/sure-analysis-research-database/","H&amp;E Equipment Services Inc")</f>
        <v>0</v>
      </c>
      <c r="C1308" s="1" t="s">
        <v>3179</v>
      </c>
      <c r="D1308" s="3">
        <v>45.03</v>
      </c>
      <c r="E1308" s="4">
        <v>0.024021240286944</v>
      </c>
      <c r="F1308" s="4">
        <v>0</v>
      </c>
      <c r="G1308" s="4">
        <v>0</v>
      </c>
      <c r="H1308" s="3">
        <v>1.081676450121091</v>
      </c>
      <c r="I1308" s="5">
        <v>1644.826706</v>
      </c>
      <c r="J1308" s="6">
        <v>9.70353437943932</v>
      </c>
      <c r="K1308" s="4">
        <v>0.2321194098972298</v>
      </c>
      <c r="L1308" s="7">
        <v>1.849189270533398</v>
      </c>
      <c r="M1308" s="3">
        <v>65.40000000000001</v>
      </c>
      <c r="N1308" s="3">
        <v>36.79</v>
      </c>
    </row>
    <row r="1309" spans="1:14">
      <c r="A1309" s="8" t="s">
        <v>1321</v>
      </c>
      <c r="B1309" s="2">
        <f>HYPERLINK("https://www.suredividend.com/sure-analysis-HEI/","Heico Corp.")</f>
        <v>0</v>
      </c>
      <c r="C1309" s="1" t="s">
        <v>3179</v>
      </c>
      <c r="D1309" s="3">
        <v>222.52</v>
      </c>
      <c r="E1309" s="4">
        <v>0.0008987956138774043</v>
      </c>
      <c r="F1309" s="4" t="s">
        <v>3178</v>
      </c>
      <c r="G1309" s="4" t="s">
        <v>3178</v>
      </c>
      <c r="H1309" s="3">
        <v>0.19994376922784</v>
      </c>
      <c r="I1309" s="5">
        <v>26991.44784</v>
      </c>
      <c r="J1309" s="6">
        <v>60.88850453334476</v>
      </c>
      <c r="K1309" s="4">
        <v>0.06287539912825157</v>
      </c>
      <c r="L1309" s="7">
        <v>0.75163803810156</v>
      </c>
      <c r="M1309" s="3">
        <v>229.3</v>
      </c>
      <c r="N1309" s="3">
        <v>155.33</v>
      </c>
    </row>
    <row r="1310" spans="1:14">
      <c r="A1310" s="8" t="s">
        <v>1322</v>
      </c>
      <c r="B1310" s="2">
        <f>HYPERLINK("https://www.suredividend.com/sure-analysis-research-database/","Helen of Troy Ltd")</f>
        <v>0</v>
      </c>
      <c r="C1310" s="1" t="s">
        <v>3184</v>
      </c>
      <c r="D1310" s="3">
        <v>101.05</v>
      </c>
      <c r="E1310" s="4">
        <v>0</v>
      </c>
      <c r="F1310" s="4" t="s">
        <v>3178</v>
      </c>
      <c r="G1310" s="4" t="s">
        <v>3178</v>
      </c>
      <c r="H1310" s="3">
        <v>0</v>
      </c>
      <c r="I1310" s="5">
        <v>2406.003329</v>
      </c>
      <c r="J1310" s="6">
        <v>14.27099024520446</v>
      </c>
      <c r="K1310" s="4">
        <v>0</v>
      </c>
      <c r="L1310" s="7">
        <v>1.120580442003448</v>
      </c>
      <c r="M1310" s="3">
        <v>143.68</v>
      </c>
      <c r="N1310" s="3">
        <v>87.5</v>
      </c>
    </row>
    <row r="1311" spans="1:14">
      <c r="A1311" s="8" t="s">
        <v>1323</v>
      </c>
      <c r="B1311" s="2">
        <f>HYPERLINK("https://www.suredividend.com/sure-analysis-research-database/","Hepion Pharmaceuticals Inc")</f>
        <v>0</v>
      </c>
      <c r="C1311" s="1" t="s">
        <v>3176</v>
      </c>
      <c r="D1311" s="3">
        <v>1.1</v>
      </c>
      <c r="E1311" s="4">
        <v>0</v>
      </c>
      <c r="F1311" s="4" t="s">
        <v>3178</v>
      </c>
      <c r="G1311" s="4" t="s">
        <v>3178</v>
      </c>
      <c r="H1311" s="3">
        <v>0</v>
      </c>
      <c r="I1311" s="5">
        <v>6.020439</v>
      </c>
      <c r="J1311" s="6">
        <v>0</v>
      </c>
      <c r="K1311" s="4" t="s">
        <v>3178</v>
      </c>
      <c r="L1311" s="7">
        <v>0.407277355990121</v>
      </c>
      <c r="M1311" s="3">
        <v>12.88</v>
      </c>
      <c r="N1311" s="3">
        <v>1.06</v>
      </c>
    </row>
    <row r="1312" spans="1:14">
      <c r="A1312" s="8" t="s">
        <v>1324</v>
      </c>
      <c r="B1312" s="2">
        <f>HYPERLINK("https://www.suredividend.com/sure-analysis-research-database/","Hess Corporation")</f>
        <v>0</v>
      </c>
      <c r="C1312" s="1" t="s">
        <v>3185</v>
      </c>
      <c r="D1312" s="3">
        <v>147.54</v>
      </c>
      <c r="E1312" s="4">
        <v>0.011809457179005</v>
      </c>
      <c r="F1312" s="4">
        <v>0</v>
      </c>
      <c r="G1312" s="4">
        <v>0.1184269147201447</v>
      </c>
      <c r="H1312" s="3">
        <v>1.742367312190445</v>
      </c>
      <c r="I1312" s="5">
        <v>45458.404663</v>
      </c>
      <c r="J1312" s="6">
        <v>22.63864774066733</v>
      </c>
      <c r="K1312" s="4">
        <v>0.2672342503359578</v>
      </c>
      <c r="L1312" s="7">
        <v>0.5035879182965251</v>
      </c>
      <c r="M1312" s="3">
        <v>166.75</v>
      </c>
      <c r="N1312" s="3">
        <v>128.01</v>
      </c>
    </row>
    <row r="1313" spans="1:14">
      <c r="A1313" s="8" t="s">
        <v>1325</v>
      </c>
      <c r="B1313" s="2">
        <f>HYPERLINK("https://www.suredividend.com/sure-analysis-research-database/","Home Federal Bancorp Inc (Louisiana)")</f>
        <v>0</v>
      </c>
      <c r="C1313" s="1" t="s">
        <v>3180</v>
      </c>
      <c r="D1313" s="3">
        <v>11.53</v>
      </c>
      <c r="E1313" s="4">
        <v>0.031772067757051</v>
      </c>
      <c r="F1313" s="4">
        <v>0.04166666666666674</v>
      </c>
      <c r="G1313" s="4">
        <v>-0.0481730306420608</v>
      </c>
      <c r="H1313" s="3">
        <v>0.366331941238809</v>
      </c>
      <c r="I1313" s="5">
        <v>36.3195</v>
      </c>
      <c r="J1313" s="6">
        <v>0</v>
      </c>
      <c r="K1313" s="4" t="s">
        <v>3178</v>
      </c>
      <c r="M1313" s="3">
        <v>15.94</v>
      </c>
      <c r="N1313" s="3">
        <v>10.6</v>
      </c>
    </row>
    <row r="1314" spans="1:14">
      <c r="A1314" s="8" t="s">
        <v>1326</v>
      </c>
      <c r="B1314" s="2">
        <f>HYPERLINK("https://www.suredividend.com/sure-analysis-research-database/","Heritage Financial Corp.")</f>
        <v>0</v>
      </c>
      <c r="C1314" s="1" t="s">
        <v>3180</v>
      </c>
      <c r="D1314" s="3">
        <v>17.37</v>
      </c>
      <c r="E1314" s="4">
        <v>0.05040821799198501</v>
      </c>
      <c r="F1314" s="4">
        <v>0.04545454545454541</v>
      </c>
      <c r="G1314" s="4">
        <v>0.1812601880431084</v>
      </c>
      <c r="H1314" s="3">
        <v>0.875590746520794</v>
      </c>
      <c r="I1314" s="5">
        <v>602.562573</v>
      </c>
      <c r="J1314" s="6">
        <v>12.80794483930621</v>
      </c>
      <c r="K1314" s="4">
        <v>0.6534259302393985</v>
      </c>
      <c r="L1314" s="7">
        <v>0.8909254044638311</v>
      </c>
      <c r="M1314" s="3">
        <v>21.73</v>
      </c>
      <c r="N1314" s="3">
        <v>14.37</v>
      </c>
    </row>
    <row r="1315" spans="1:14">
      <c r="A1315" s="8" t="s">
        <v>1327</v>
      </c>
      <c r="B1315" s="2">
        <f>HYPERLINK("https://www.suredividend.com/sure-analysis-research-database/","Hilton Grand Vacations Inc")</f>
        <v>0</v>
      </c>
      <c r="C1315" s="1" t="s">
        <v>3182</v>
      </c>
      <c r="D1315" s="3">
        <v>40.46</v>
      </c>
      <c r="E1315" s="4">
        <v>0</v>
      </c>
      <c r="F1315" s="4" t="s">
        <v>3178</v>
      </c>
      <c r="G1315" s="4" t="s">
        <v>3178</v>
      </c>
      <c r="H1315" s="3">
        <v>0</v>
      </c>
      <c r="I1315" s="5">
        <v>4195.833333</v>
      </c>
      <c r="J1315" s="6">
        <v>17.62955182</v>
      </c>
      <c r="K1315" s="4">
        <v>0</v>
      </c>
      <c r="L1315" s="7">
        <v>1.32282690355362</v>
      </c>
      <c r="M1315" s="3">
        <v>49.02</v>
      </c>
      <c r="N1315" s="3">
        <v>33.14</v>
      </c>
    </row>
    <row r="1316" spans="1:14">
      <c r="A1316" s="8" t="s">
        <v>1328</v>
      </c>
      <c r="B1316" s="2">
        <f>HYPERLINK("https://www.suredividend.com/sure-analysis-research-database/","Howard Hughes Corporation")</f>
        <v>0</v>
      </c>
      <c r="C1316" s="1" t="s">
        <v>3183</v>
      </c>
      <c r="D1316" s="3">
        <v>78.76000000000001</v>
      </c>
      <c r="E1316" s="4">
        <v>0</v>
      </c>
      <c r="F1316" s="4" t="s">
        <v>3178</v>
      </c>
      <c r="G1316" s="4" t="s">
        <v>3178</v>
      </c>
      <c r="H1316" s="3">
        <v>0</v>
      </c>
      <c r="I1316" s="5">
        <v>3940.09009</v>
      </c>
      <c r="J1316" s="6">
        <v>33.12141233534243</v>
      </c>
      <c r="K1316" s="4">
        <v>0</v>
      </c>
      <c r="L1316" s="7">
        <v>1.301058975410211</v>
      </c>
      <c r="M1316" s="3">
        <v>89.58</v>
      </c>
      <c r="N1316" s="3">
        <v>50.9</v>
      </c>
    </row>
    <row r="1317" spans="1:14">
      <c r="A1317" s="8" t="s">
        <v>1329</v>
      </c>
      <c r="B1317" s="2">
        <f>HYPERLINK("https://www.suredividend.com/sure-analysis-research-database/","Harte-Hanks, Inc.")</f>
        <v>0</v>
      </c>
      <c r="C1317" s="1" t="s">
        <v>3187</v>
      </c>
      <c r="D1317" s="3">
        <v>7.33</v>
      </c>
      <c r="E1317" s="4">
        <v>0</v>
      </c>
      <c r="F1317" s="4" t="s">
        <v>3178</v>
      </c>
      <c r="G1317" s="4" t="s">
        <v>3178</v>
      </c>
      <c r="H1317" s="3">
        <v>0</v>
      </c>
      <c r="I1317" s="5">
        <v>53.075834</v>
      </c>
      <c r="J1317" s="6" t="s">
        <v>3178</v>
      </c>
      <c r="K1317" s="4">
        <v>-0</v>
      </c>
      <c r="L1317" s="7">
        <v>0.3804722164425201</v>
      </c>
      <c r="M1317" s="3">
        <v>8</v>
      </c>
      <c r="N1317" s="3">
        <v>5</v>
      </c>
    </row>
    <row r="1318" spans="1:14">
      <c r="A1318" s="8" t="s">
        <v>1330</v>
      </c>
      <c r="B1318" s="2">
        <f>HYPERLINK("https://www.suredividend.com/sure-analysis-HI/","Hillenbrand Inc")</f>
        <v>0</v>
      </c>
      <c r="C1318" s="1" t="s">
        <v>3179</v>
      </c>
      <c r="D1318" s="3">
        <v>43.28</v>
      </c>
      <c r="E1318" s="4">
        <v>0.0205637707948244</v>
      </c>
      <c r="F1318" s="4">
        <v>0.01136363636363646</v>
      </c>
      <c r="G1318" s="4">
        <v>0.01163103470916038</v>
      </c>
      <c r="H1318" s="3">
        <v>0.878502899225253</v>
      </c>
      <c r="I1318" s="5">
        <v>3038.058557</v>
      </c>
      <c r="J1318" s="6">
        <v>35.8261622245283</v>
      </c>
      <c r="K1318" s="4">
        <v>0.7320857493543775</v>
      </c>
      <c r="L1318" s="7">
        <v>1.225742024427593</v>
      </c>
      <c r="M1318" s="3">
        <v>52.87</v>
      </c>
      <c r="N1318" s="3">
        <v>36.82</v>
      </c>
    </row>
    <row r="1319" spans="1:14">
      <c r="A1319" s="8" t="s">
        <v>1331</v>
      </c>
      <c r="B1319" s="2">
        <f>HYPERLINK("https://www.suredividend.com/sure-analysis-research-database/","Hibbett Inc")</f>
        <v>0</v>
      </c>
      <c r="C1319" s="1" t="s">
        <v>3182</v>
      </c>
      <c r="D1319" s="3">
        <v>86.05</v>
      </c>
      <c r="E1319" s="4">
        <v>0.00865388175716</v>
      </c>
      <c r="F1319" s="4" t="s">
        <v>3178</v>
      </c>
      <c r="G1319" s="4" t="s">
        <v>3178</v>
      </c>
      <c r="H1319" s="3">
        <v>0.7446665252036551</v>
      </c>
      <c r="I1319" s="5">
        <v>1028.125658</v>
      </c>
      <c r="J1319" s="6">
        <v>9.966514067256051</v>
      </c>
      <c r="K1319" s="4">
        <v>0.09114645351329928</v>
      </c>
      <c r="L1319" s="7">
        <v>1.372985208958916</v>
      </c>
      <c r="M1319" s="3">
        <v>87.13</v>
      </c>
      <c r="N1319" s="3">
        <v>34.26</v>
      </c>
    </row>
    <row r="1320" spans="1:14">
      <c r="A1320" s="8" t="s">
        <v>1332</v>
      </c>
      <c r="B1320" s="2">
        <f>HYPERLINK("https://www.suredividend.com/sure-analysis-HIFS/","Hingham Institution For Savings")</f>
        <v>0</v>
      </c>
      <c r="C1320" s="1" t="s">
        <v>3180</v>
      </c>
      <c r="D1320" s="3">
        <v>171.12</v>
      </c>
      <c r="E1320" s="4">
        <v>0.01472650771388499</v>
      </c>
      <c r="F1320" s="4">
        <v>0</v>
      </c>
      <c r="G1320" s="4">
        <v>0.08447177119769855</v>
      </c>
      <c r="H1320" s="3">
        <v>2.493643042147186</v>
      </c>
      <c r="I1320" s="5">
        <v>360.37872</v>
      </c>
      <c r="J1320" s="6">
        <v>0</v>
      </c>
      <c r="K1320" s="4" t="s">
        <v>3178</v>
      </c>
      <c r="L1320" s="7">
        <v>1.094686377337473</v>
      </c>
      <c r="M1320" s="3">
        <v>225.07</v>
      </c>
      <c r="N1320" s="3">
        <v>145.04</v>
      </c>
    </row>
    <row r="1321" spans="1:14">
      <c r="A1321" s="8" t="s">
        <v>1333</v>
      </c>
      <c r="B1321" s="2">
        <f>HYPERLINK("https://www.suredividend.com/sure-analysis-HIG/","Hartford Financial Services Group Inc.")</f>
        <v>0</v>
      </c>
      <c r="C1321" s="1" t="s">
        <v>3180</v>
      </c>
      <c r="D1321" s="3">
        <v>100.85</v>
      </c>
      <c r="E1321" s="4">
        <v>0.01864154685176004</v>
      </c>
      <c r="F1321" s="4">
        <v>0.1058823529411765</v>
      </c>
      <c r="G1321" s="4">
        <v>0.09394457937452749</v>
      </c>
      <c r="H1321" s="3">
        <v>1.821858530255124</v>
      </c>
      <c r="I1321" s="5">
        <v>29826.929266</v>
      </c>
      <c r="J1321" s="6">
        <v>11.04292086864124</v>
      </c>
      <c r="K1321" s="4">
        <v>0.2075009715552533</v>
      </c>
      <c r="L1321" s="7">
        <v>0.332435499959195</v>
      </c>
      <c r="M1321" s="3">
        <v>103.17</v>
      </c>
      <c r="N1321" s="3">
        <v>67.59999999999999</v>
      </c>
    </row>
    <row r="1322" spans="1:14">
      <c r="A1322" s="8" t="s">
        <v>1334</v>
      </c>
      <c r="B1322" s="2">
        <f>HYPERLINK("https://www.suredividend.com/sure-analysis-HII/","Huntington Ingalls Industries Inc")</f>
        <v>0</v>
      </c>
      <c r="C1322" s="1" t="s">
        <v>3179</v>
      </c>
      <c r="D1322" s="3">
        <v>249.21</v>
      </c>
      <c r="E1322" s="4">
        <v>0.02086593635889411</v>
      </c>
      <c r="F1322" s="4">
        <v>0.04838709677419351</v>
      </c>
      <c r="G1322" s="4">
        <v>0.08614793340566318</v>
      </c>
      <c r="H1322" s="3">
        <v>5.102056109891423</v>
      </c>
      <c r="I1322" s="5">
        <v>9827.182661000001</v>
      </c>
      <c r="J1322" s="6">
        <v>13.93926618638298</v>
      </c>
      <c r="K1322" s="4">
        <v>0.2880889954766472</v>
      </c>
      <c r="L1322" s="7">
        <v>0.564286229014355</v>
      </c>
      <c r="M1322" s="3">
        <v>297.95</v>
      </c>
      <c r="N1322" s="3">
        <v>196.11</v>
      </c>
    </row>
    <row r="1323" spans="1:14">
      <c r="A1323" s="8" t="s">
        <v>1335</v>
      </c>
      <c r="B1323" s="2">
        <f>HYPERLINK("https://www.suredividend.com/sure-analysis-research-database/","Hill International Inc")</f>
        <v>0</v>
      </c>
      <c r="C1323" s="1" t="s">
        <v>3179</v>
      </c>
      <c r="D1323" s="3">
        <v>3.39</v>
      </c>
      <c r="E1323" s="4">
        <v>0</v>
      </c>
      <c r="F1323" s="4" t="s">
        <v>3178</v>
      </c>
      <c r="G1323" s="4" t="s">
        <v>3178</v>
      </c>
      <c r="H1323" s="3">
        <v>0</v>
      </c>
      <c r="I1323" s="5">
        <v>194.3533</v>
      </c>
      <c r="J1323" s="6" t="s">
        <v>3178</v>
      </c>
      <c r="K1323" s="4">
        <v>-0</v>
      </c>
      <c r="L1323" s="7">
        <v>0.187264605026225</v>
      </c>
      <c r="M1323" s="3">
        <v>3.4</v>
      </c>
      <c r="N1323" s="3">
        <v>1.18</v>
      </c>
    </row>
    <row r="1324" spans="1:14">
      <c r="A1324" s="8" t="s">
        <v>1336</v>
      </c>
      <c r="B1324" s="2">
        <f>HYPERLINK("https://www.suredividend.com/sure-analysis-HIW/","Highwoods Properties, Inc.")</f>
        <v>0</v>
      </c>
      <c r="C1324" s="1" t="s">
        <v>3183</v>
      </c>
      <c r="D1324" s="3">
        <v>25.21</v>
      </c>
      <c r="E1324" s="4">
        <v>0.07933359777865925</v>
      </c>
      <c r="F1324" s="4">
        <v>0</v>
      </c>
      <c r="G1324" s="4">
        <v>0.01031145931793609</v>
      </c>
      <c r="H1324" s="3">
        <v>1.938647442543544</v>
      </c>
      <c r="I1324" s="5">
        <v>2672.154421</v>
      </c>
      <c r="J1324" s="6">
        <v>20.80145119508018</v>
      </c>
      <c r="K1324" s="4">
        <v>1.629115497935751</v>
      </c>
      <c r="L1324" s="7">
        <v>1.591082744810323</v>
      </c>
      <c r="M1324" s="3">
        <v>27.92</v>
      </c>
      <c r="N1324" s="3">
        <v>15.95</v>
      </c>
    </row>
    <row r="1325" spans="1:14">
      <c r="A1325" s="8" t="s">
        <v>1337</v>
      </c>
      <c r="B1325" s="2">
        <f>HYPERLINK("https://www.suredividend.com/sure-analysis-research-database/","Hecla Mining Co.")</f>
        <v>0</v>
      </c>
      <c r="C1325" s="1" t="s">
        <v>3177</v>
      </c>
      <c r="D1325" s="3">
        <v>5.34</v>
      </c>
      <c r="E1325" s="4">
        <v>0.004672795537157001</v>
      </c>
      <c r="F1325" s="4">
        <v>0</v>
      </c>
      <c r="G1325" s="4">
        <v>0.2011244339814313</v>
      </c>
      <c r="H1325" s="3">
        <v>0.02495272816842</v>
      </c>
      <c r="I1325" s="5">
        <v>3344.389689</v>
      </c>
      <c r="J1325" s="6" t="s">
        <v>3178</v>
      </c>
      <c r="K1325" s="4" t="s">
        <v>3178</v>
      </c>
      <c r="L1325" s="7">
        <v>1.754411253106235</v>
      </c>
      <c r="M1325" s="3">
        <v>6.28</v>
      </c>
      <c r="N1325" s="3">
        <v>3.32</v>
      </c>
    </row>
    <row r="1326" spans="1:14">
      <c r="A1326" s="8" t="s">
        <v>1338</v>
      </c>
      <c r="B1326" s="2">
        <f>HYPERLINK("https://www.suredividend.com/sure-analysis-research-database/","Herbalife Ltd")</f>
        <v>0</v>
      </c>
      <c r="C1326" s="1" t="s">
        <v>3184</v>
      </c>
      <c r="D1326" s="3">
        <v>11.23</v>
      </c>
      <c r="E1326" s="4">
        <v>0</v>
      </c>
      <c r="F1326" s="4" t="s">
        <v>3178</v>
      </c>
      <c r="G1326" s="4" t="s">
        <v>3178</v>
      </c>
      <c r="H1326" s="3">
        <v>0</v>
      </c>
      <c r="I1326" s="5">
        <v>1122.6358</v>
      </c>
      <c r="J1326" s="6">
        <v>8.182476675437318</v>
      </c>
      <c r="K1326" s="4">
        <v>0</v>
      </c>
      <c r="L1326" s="7">
        <v>1.280649922271604</v>
      </c>
      <c r="M1326" s="3">
        <v>19.48</v>
      </c>
      <c r="N1326" s="3">
        <v>6.68</v>
      </c>
    </row>
    <row r="1327" spans="1:14">
      <c r="A1327" s="8" t="s">
        <v>1339</v>
      </c>
      <c r="B1327" s="2">
        <f>HYPERLINK("https://www.suredividend.com/sure-analysis-HLI/","Houlihan Lokey Inc")</f>
        <v>0</v>
      </c>
      <c r="C1327" s="1" t="s">
        <v>3180</v>
      </c>
      <c r="D1327" s="3">
        <v>130.57</v>
      </c>
      <c r="E1327" s="4">
        <v>0.01746189783258022</v>
      </c>
      <c r="F1327" s="4">
        <v>0.03636363636363638</v>
      </c>
      <c r="G1327" s="4">
        <v>0.1295426459178619</v>
      </c>
      <c r="H1327" s="3">
        <v>2.20555054960306</v>
      </c>
      <c r="I1327" s="5">
        <v>6858.601459</v>
      </c>
      <c r="J1327" s="6">
        <v>24.46870135850389</v>
      </c>
      <c r="K1327" s="4">
        <v>0.5366303040396739</v>
      </c>
      <c r="L1327" s="7">
        <v>0.7875274516987291</v>
      </c>
      <c r="M1327" s="3">
        <v>137.34</v>
      </c>
      <c r="N1327" s="3">
        <v>88.86</v>
      </c>
    </row>
    <row r="1328" spans="1:14">
      <c r="A1328" s="8" t="s">
        <v>1340</v>
      </c>
      <c r="B1328" s="2">
        <f>HYPERLINK("https://www.suredividend.com/sure-analysis-research-database/","Helios Technologies Inc")</f>
        <v>0</v>
      </c>
      <c r="C1328" s="1" t="s">
        <v>3179</v>
      </c>
      <c r="D1328" s="3">
        <v>47.2</v>
      </c>
      <c r="E1328" s="4">
        <v>0.007604342872039001</v>
      </c>
      <c r="F1328" s="4">
        <v>0</v>
      </c>
      <c r="G1328" s="4">
        <v>0</v>
      </c>
      <c r="H1328" s="3">
        <v>0.358924983560255</v>
      </c>
      <c r="I1328" s="5">
        <v>1566.921386</v>
      </c>
      <c r="J1328" s="6">
        <v>47.77199348780488</v>
      </c>
      <c r="K1328" s="4">
        <v>0.3627703492624368</v>
      </c>
      <c r="L1328" s="7">
        <v>1.042941744799343</v>
      </c>
      <c r="M1328" s="3">
        <v>66.92</v>
      </c>
      <c r="N1328" s="3">
        <v>37.35</v>
      </c>
    </row>
    <row r="1329" spans="1:14">
      <c r="A1329" s="8" t="s">
        <v>1341</v>
      </c>
      <c r="B1329" s="2">
        <f>HYPERLINK("https://www.suredividend.com/sure-analysis-research-database/","Harmonic, Inc.")</f>
        <v>0</v>
      </c>
      <c r="C1329" s="1" t="s">
        <v>3181</v>
      </c>
      <c r="D1329" s="3">
        <v>11.49</v>
      </c>
      <c r="E1329" s="4">
        <v>0</v>
      </c>
      <c r="F1329" s="4" t="s">
        <v>3178</v>
      </c>
      <c r="G1329" s="4" t="s">
        <v>3178</v>
      </c>
      <c r="H1329" s="3">
        <v>0</v>
      </c>
      <c r="I1329" s="5">
        <v>1289.178</v>
      </c>
      <c r="J1329" s="6">
        <v>18.20564311133706</v>
      </c>
      <c r="K1329" s="4">
        <v>0</v>
      </c>
      <c r="L1329" s="7">
        <v>0.8829380117895581</v>
      </c>
      <c r="M1329" s="3">
        <v>18.43</v>
      </c>
      <c r="N1329" s="3">
        <v>8.800000000000001</v>
      </c>
    </row>
    <row r="1330" spans="1:14">
      <c r="A1330" s="8" t="s">
        <v>1342</v>
      </c>
      <c r="B1330" s="2">
        <f>HYPERLINK("https://www.suredividend.com/sure-analysis-research-database/","Hamilton Lane Inc")</f>
        <v>0</v>
      </c>
      <c r="C1330" s="1" t="s">
        <v>3180</v>
      </c>
      <c r="D1330" s="3">
        <v>118.57</v>
      </c>
      <c r="E1330" s="4">
        <v>0.014822258823214</v>
      </c>
      <c r="F1330" s="4">
        <v>0.1125</v>
      </c>
      <c r="G1330" s="4">
        <v>0.1010459998153994</v>
      </c>
      <c r="H1330" s="3">
        <v>1.757475228668571</v>
      </c>
      <c r="I1330" s="5">
        <v>4805.410889</v>
      </c>
      <c r="J1330" s="6">
        <v>34.11528552513879</v>
      </c>
      <c r="K1330" s="4">
        <v>0.6733621565779966</v>
      </c>
      <c r="L1330" s="7">
        <v>1.233992386836094</v>
      </c>
      <c r="M1330" s="3">
        <v>130.97</v>
      </c>
      <c r="N1330" s="3">
        <v>71.70999999999999</v>
      </c>
    </row>
    <row r="1331" spans="1:14">
      <c r="A1331" s="8" t="s">
        <v>1343</v>
      </c>
      <c r="B1331" s="2">
        <f>HYPERLINK("https://www.suredividend.com/sure-analysis-research-database/","Hilton Worldwide Holdings Inc")</f>
        <v>0</v>
      </c>
      <c r="C1331" s="1" t="s">
        <v>3182</v>
      </c>
      <c r="D1331" s="3">
        <v>202.18</v>
      </c>
      <c r="E1331" s="4">
        <v>0.002964232292634</v>
      </c>
      <c r="F1331" s="4" t="s">
        <v>3178</v>
      </c>
      <c r="G1331" s="4" t="s">
        <v>3178</v>
      </c>
      <c r="H1331" s="3">
        <v>0.5993084849249121</v>
      </c>
      <c r="I1331" s="5">
        <v>50554.310793</v>
      </c>
      <c r="J1331" s="6">
        <v>42.12859232780001</v>
      </c>
      <c r="K1331" s="4">
        <v>0.1300018405477033</v>
      </c>
      <c r="L1331" s="7">
        <v>0.8840551434017491</v>
      </c>
      <c r="M1331" s="3">
        <v>215.63</v>
      </c>
      <c r="N1331" s="3">
        <v>136.3</v>
      </c>
    </row>
    <row r="1332" spans="1:14">
      <c r="A1332" s="8" t="s">
        <v>1344</v>
      </c>
      <c r="B1332" s="2">
        <f>HYPERLINK("https://www.suredividend.com/sure-analysis-research-database/","Helix Energy Solutions Group Inc")</f>
        <v>0</v>
      </c>
      <c r="C1332" s="1" t="s">
        <v>3185</v>
      </c>
      <c r="D1332" s="3">
        <v>10.3</v>
      </c>
      <c r="E1332" s="4">
        <v>0</v>
      </c>
      <c r="F1332" s="4" t="s">
        <v>3178</v>
      </c>
      <c r="G1332" s="4" t="s">
        <v>3178</v>
      </c>
      <c r="H1332" s="3">
        <v>0</v>
      </c>
      <c r="I1332" s="5">
        <v>1570.2659</v>
      </c>
      <c r="J1332" s="6" t="s">
        <v>3178</v>
      </c>
      <c r="K1332" s="4">
        <v>-0</v>
      </c>
      <c r="L1332" s="7">
        <v>0.8854692400556331</v>
      </c>
      <c r="M1332" s="3">
        <v>12.14</v>
      </c>
      <c r="N1332" s="3">
        <v>6.6</v>
      </c>
    </row>
    <row r="1333" spans="1:14">
      <c r="A1333" s="8" t="s">
        <v>1345</v>
      </c>
      <c r="B1333" s="2">
        <f>HYPERLINK("https://www.suredividend.com/sure-analysis-research-database/","Houghton Mifflin Harcourt Co")</f>
        <v>0</v>
      </c>
      <c r="C1333" s="1" t="s">
        <v>3184</v>
      </c>
      <c r="D1333" s="3">
        <v>21.03</v>
      </c>
      <c r="E1333" s="4">
        <v>0</v>
      </c>
      <c r="F1333" s="4" t="s">
        <v>3178</v>
      </c>
      <c r="G1333" s="4" t="s">
        <v>3178</v>
      </c>
      <c r="H1333" s="3">
        <v>0</v>
      </c>
      <c r="I1333" s="5">
        <v>0</v>
      </c>
      <c r="J1333" s="6">
        <v>0</v>
      </c>
      <c r="K1333" s="4" t="s">
        <v>3178</v>
      </c>
    </row>
    <row r="1334" spans="1:14">
      <c r="A1334" s="8" t="s">
        <v>1346</v>
      </c>
      <c r="B1334" s="2">
        <f>HYPERLINK("https://www.suredividend.com/sure-analysis-HMN/","Horace Mann Educators Corp.")</f>
        <v>0</v>
      </c>
      <c r="C1334" s="1" t="s">
        <v>3180</v>
      </c>
      <c r="D1334" s="3">
        <v>34.25</v>
      </c>
      <c r="E1334" s="4">
        <v>0.0397080291970803</v>
      </c>
      <c r="F1334" s="4">
        <v>0.03030303030303028</v>
      </c>
      <c r="G1334" s="4">
        <v>0.03411351398193263</v>
      </c>
      <c r="H1334" s="3">
        <v>1.310279518138122</v>
      </c>
      <c r="I1334" s="5">
        <v>1403.005698</v>
      </c>
      <c r="J1334" s="6">
        <v>21.61796144067797</v>
      </c>
      <c r="K1334" s="4">
        <v>0.8345729414892498</v>
      </c>
      <c r="L1334" s="7">
        <v>0.382779408050921</v>
      </c>
      <c r="M1334" s="3">
        <v>39.25</v>
      </c>
      <c r="N1334" s="3">
        <v>26.96</v>
      </c>
    </row>
    <row r="1335" spans="1:14">
      <c r="A1335" s="8" t="s">
        <v>1347</v>
      </c>
      <c r="B1335" s="2">
        <f>HYPERLINK("https://www.suredividend.com/sure-analysis-research-database/","HMN Financial Inc.")</f>
        <v>0</v>
      </c>
      <c r="C1335" s="1" t="s">
        <v>3180</v>
      </c>
      <c r="D1335" s="3">
        <v>21.6</v>
      </c>
      <c r="E1335" s="4">
        <v>0.015559416786958</v>
      </c>
      <c r="F1335" s="4" t="s">
        <v>3178</v>
      </c>
      <c r="G1335" s="4" t="s">
        <v>3178</v>
      </c>
      <c r="H1335" s="3">
        <v>0.336083402598295</v>
      </c>
      <c r="I1335" s="5">
        <v>96.44296300000001</v>
      </c>
      <c r="J1335" s="6">
        <v>0</v>
      </c>
      <c r="K1335" s="4" t="s">
        <v>3178</v>
      </c>
      <c r="M1335" s="3">
        <v>24.55</v>
      </c>
      <c r="N1335" s="3">
        <v>17.32</v>
      </c>
    </row>
    <row r="1336" spans="1:14">
      <c r="A1336" s="8" t="s">
        <v>1348</v>
      </c>
      <c r="B1336" s="2">
        <f>HYPERLINK("https://www.suredividend.com/sure-analysis-research-database/","HomeStreet Inc")</f>
        <v>0</v>
      </c>
      <c r="C1336" s="1" t="s">
        <v>3180</v>
      </c>
      <c r="D1336" s="3">
        <v>8.630000000000001</v>
      </c>
      <c r="E1336" s="4">
        <v>0.02281982659131</v>
      </c>
      <c r="F1336" s="4" t="s">
        <v>3178</v>
      </c>
      <c r="G1336" s="4" t="s">
        <v>3178</v>
      </c>
      <c r="H1336" s="3">
        <v>0.196935103483007</v>
      </c>
      <c r="I1336" s="5">
        <v>162.740795</v>
      </c>
      <c r="J1336" s="6" t="s">
        <v>3178</v>
      </c>
      <c r="K1336" s="4" t="s">
        <v>3178</v>
      </c>
      <c r="L1336" s="7">
        <v>1.858635652145908</v>
      </c>
      <c r="M1336" s="3">
        <v>15.82</v>
      </c>
      <c r="N1336" s="3">
        <v>4.07</v>
      </c>
    </row>
    <row r="1337" spans="1:14">
      <c r="A1337" s="8" t="s">
        <v>1349</v>
      </c>
      <c r="B1337" s="2">
        <f>HYPERLINK("https://www.suredividend.com/sure-analysis-research-database/","HMS Holdings Corp")</f>
        <v>0</v>
      </c>
      <c r="C1337" s="1" t="s">
        <v>3176</v>
      </c>
      <c r="D1337" s="3">
        <v>36.975</v>
      </c>
      <c r="E1337" s="4">
        <v>0</v>
      </c>
      <c r="F1337" s="4" t="s">
        <v>3178</v>
      </c>
      <c r="G1337" s="4" t="s">
        <v>3178</v>
      </c>
      <c r="H1337" s="3">
        <v>0</v>
      </c>
      <c r="I1337" s="5">
        <v>0</v>
      </c>
      <c r="J1337" s="6">
        <v>0</v>
      </c>
      <c r="K1337" s="4">
        <v>0</v>
      </c>
    </row>
    <row r="1338" spans="1:14">
      <c r="A1338" s="8" t="s">
        <v>1350</v>
      </c>
      <c r="B1338" s="2">
        <f>HYPERLINK("https://www.suredividend.com/sure-analysis-research-database/","Hemisphere Media Group Inc")</f>
        <v>0</v>
      </c>
      <c r="C1338" s="1" t="s">
        <v>3187</v>
      </c>
      <c r="D1338" s="3">
        <v>7.15</v>
      </c>
      <c r="E1338" s="4">
        <v>0</v>
      </c>
      <c r="F1338" s="4" t="s">
        <v>3178</v>
      </c>
      <c r="G1338" s="4" t="s">
        <v>3178</v>
      </c>
      <c r="H1338" s="3">
        <v>0</v>
      </c>
      <c r="I1338" s="5">
        <v>0</v>
      </c>
      <c r="J1338" s="6">
        <v>0</v>
      </c>
      <c r="K1338" s="4" t="s">
        <v>3178</v>
      </c>
    </row>
    <row r="1339" spans="1:14">
      <c r="A1339" s="8" t="s">
        <v>1351</v>
      </c>
      <c r="B1339" s="2">
        <f>HYPERLINK("https://www.suredividend.com/sure-analysis-research-database/","Hanger Inc")</f>
        <v>0</v>
      </c>
      <c r="C1339" s="1" t="s">
        <v>3176</v>
      </c>
      <c r="D1339" s="3">
        <v>18.72</v>
      </c>
      <c r="E1339" s="4">
        <v>0</v>
      </c>
      <c r="F1339" s="4" t="s">
        <v>3178</v>
      </c>
      <c r="G1339" s="4" t="s">
        <v>3178</v>
      </c>
      <c r="H1339" s="3">
        <v>0</v>
      </c>
      <c r="I1339" s="5">
        <v>732.3875399999999</v>
      </c>
      <c r="J1339" s="6">
        <v>19.63874023328775</v>
      </c>
      <c r="K1339" s="4">
        <v>0</v>
      </c>
      <c r="L1339" s="7">
        <v>0.596951536256076</v>
      </c>
      <c r="M1339" s="3">
        <v>22.67</v>
      </c>
      <c r="N1339" s="3">
        <v>13.42</v>
      </c>
    </row>
    <row r="1340" spans="1:14">
      <c r="A1340" s="8" t="s">
        <v>1352</v>
      </c>
      <c r="B1340" s="2">
        <f>HYPERLINK("https://www.suredividend.com/sure-analysis-HNI/","HNI Corp.")</f>
        <v>0</v>
      </c>
      <c r="C1340" s="1" t="s">
        <v>3179</v>
      </c>
      <c r="D1340" s="3">
        <v>44.2</v>
      </c>
      <c r="E1340" s="4">
        <v>0.02986425339366516</v>
      </c>
      <c r="F1340" s="4">
        <v>0.03125</v>
      </c>
      <c r="G1340" s="4">
        <v>0.01588095861135153</v>
      </c>
      <c r="H1340" s="3">
        <v>1.275579805036347</v>
      </c>
      <c r="I1340" s="5">
        <v>2090.530406</v>
      </c>
      <c r="J1340" s="6">
        <v>32.01424817151608</v>
      </c>
      <c r="K1340" s="4">
        <v>0.9176833129757891</v>
      </c>
      <c r="L1340" s="7">
        <v>0.922398429006505</v>
      </c>
      <c r="M1340" s="3">
        <v>47.36</v>
      </c>
      <c r="N1340" s="3">
        <v>25.25</v>
      </c>
    </row>
    <row r="1341" spans="1:14">
      <c r="A1341" s="8" t="s">
        <v>1353</v>
      </c>
      <c r="B1341" s="2">
        <f>HYPERLINK("https://www.suredividend.com/sure-analysis-research-database/","Hallador Energy Co")</f>
        <v>0</v>
      </c>
      <c r="C1341" s="1" t="s">
        <v>3185</v>
      </c>
      <c r="D1341" s="3">
        <v>8.24</v>
      </c>
      <c r="E1341" s="4">
        <v>0</v>
      </c>
      <c r="F1341" s="4" t="s">
        <v>3178</v>
      </c>
      <c r="G1341" s="4" t="s">
        <v>3178</v>
      </c>
      <c r="H1341" s="3">
        <v>0</v>
      </c>
      <c r="I1341" s="5">
        <v>305.104095</v>
      </c>
      <c r="J1341" s="6">
        <v>14.49701107288796</v>
      </c>
      <c r="K1341" s="4">
        <v>0</v>
      </c>
      <c r="L1341" s="7">
        <v>0.8420294794812491</v>
      </c>
      <c r="M1341" s="3">
        <v>15.79</v>
      </c>
      <c r="N1341" s="3">
        <v>4.33</v>
      </c>
    </row>
    <row r="1342" spans="1:14">
      <c r="A1342" s="8" t="s">
        <v>1354</v>
      </c>
      <c r="B1342" s="2">
        <f>HYPERLINK("https://www.suredividend.com/sure-analysis-research-database/","Hooker Furnishings Corporation")</f>
        <v>0</v>
      </c>
      <c r="C1342" s="1" t="s">
        <v>3182</v>
      </c>
      <c r="D1342" s="3">
        <v>14.87</v>
      </c>
      <c r="E1342" s="4">
        <v>0.05875170727401501</v>
      </c>
      <c r="F1342" s="4">
        <v>0.04545454545454541</v>
      </c>
      <c r="G1342" s="4">
        <v>0.08924936491294377</v>
      </c>
      <c r="H1342" s="3">
        <v>0.8736378871646101</v>
      </c>
      <c r="I1342" s="5">
        <v>158.975467</v>
      </c>
      <c r="J1342" s="6">
        <v>16.63619374215153</v>
      </c>
      <c r="K1342" s="4">
        <v>0.9908561723541001</v>
      </c>
      <c r="L1342" s="7">
        <v>1.114587926930316</v>
      </c>
      <c r="M1342" s="3">
        <v>26.61</v>
      </c>
      <c r="N1342" s="3">
        <v>14.8</v>
      </c>
    </row>
    <row r="1343" spans="1:14">
      <c r="A1343" s="8" t="s">
        <v>1355</v>
      </c>
      <c r="B1343" s="2">
        <f>HYPERLINK("https://www.suredividend.com/sure-analysis-HOG/","Harley-Davidson, Inc.")</f>
        <v>0</v>
      </c>
      <c r="C1343" s="1" t="s">
        <v>3182</v>
      </c>
      <c r="D1343" s="3">
        <v>34.37</v>
      </c>
      <c r="E1343" s="4">
        <v>0.02007564736688973</v>
      </c>
      <c r="F1343" s="4">
        <v>0.04545454545454541</v>
      </c>
      <c r="G1343" s="4">
        <v>-0.1438466381942645</v>
      </c>
      <c r="H1343" s="3">
        <v>0.670130568547149</v>
      </c>
      <c r="I1343" s="5">
        <v>4622.965618</v>
      </c>
      <c r="J1343" s="6">
        <v>7.252427483327764</v>
      </c>
      <c r="K1343" s="4">
        <v>0.1492495698323272</v>
      </c>
      <c r="L1343" s="7">
        <v>1.316047632020355</v>
      </c>
      <c r="M1343" s="3">
        <v>43.94</v>
      </c>
      <c r="N1343" s="3">
        <v>25.06</v>
      </c>
    </row>
    <row r="1344" spans="1:14">
      <c r="A1344" s="8" t="s">
        <v>1356</v>
      </c>
      <c r="B1344" s="2">
        <f>HYPERLINK("https://www.suredividend.com/sure-analysis-research-database/","Hologic, Inc.")</f>
        <v>0</v>
      </c>
      <c r="C1344" s="1" t="s">
        <v>3176</v>
      </c>
      <c r="D1344" s="3">
        <v>74.51000000000001</v>
      </c>
      <c r="E1344" s="4">
        <v>0</v>
      </c>
      <c r="F1344" s="4" t="s">
        <v>3178</v>
      </c>
      <c r="G1344" s="4" t="s">
        <v>3178</v>
      </c>
      <c r="H1344" s="3">
        <v>0</v>
      </c>
      <c r="I1344" s="5">
        <v>17388.916395</v>
      </c>
      <c r="J1344" s="6">
        <v>37.27527630327975</v>
      </c>
      <c r="K1344" s="4">
        <v>0</v>
      </c>
      <c r="L1344" s="7">
        <v>0.519940794634148</v>
      </c>
      <c r="M1344" s="3">
        <v>82.45</v>
      </c>
      <c r="N1344" s="3">
        <v>64.02</v>
      </c>
    </row>
    <row r="1345" spans="1:14">
      <c r="A1345" s="8" t="s">
        <v>1357</v>
      </c>
      <c r="B1345" s="2">
        <f>HYPERLINK("https://www.suredividend.com/sure-analysis-HOMB/","Home Bancshares Inc")</f>
        <v>0</v>
      </c>
      <c r="C1345" s="1" t="s">
        <v>3180</v>
      </c>
      <c r="D1345" s="3">
        <v>23.01</v>
      </c>
      <c r="E1345" s="4">
        <v>0.03129074315514993</v>
      </c>
      <c r="F1345" s="4">
        <v>0</v>
      </c>
      <c r="G1345" s="4">
        <v>0.06724918187953888</v>
      </c>
      <c r="H1345" s="3">
        <v>0.7118453130903321</v>
      </c>
      <c r="I1345" s="5">
        <v>4609.390766</v>
      </c>
      <c r="J1345" s="6">
        <v>11.8166479506045</v>
      </c>
      <c r="K1345" s="4">
        <v>0.3688317684405865</v>
      </c>
      <c r="L1345" s="7">
        <v>1.046214564286875</v>
      </c>
      <c r="M1345" s="3">
        <v>25.42</v>
      </c>
      <c r="N1345" s="3">
        <v>19.16</v>
      </c>
    </row>
    <row r="1346" spans="1:14">
      <c r="A1346" s="8" t="s">
        <v>1358</v>
      </c>
      <c r="B1346" s="2">
        <f>HYPERLINK("https://www.suredividend.com/sure-analysis-research-database/","At Home Group Inc")</f>
        <v>0</v>
      </c>
      <c r="C1346" s="1" t="s">
        <v>3182</v>
      </c>
      <c r="D1346" s="3">
        <v>36.99</v>
      </c>
      <c r="E1346" s="4">
        <v>0</v>
      </c>
      <c r="F1346" s="4" t="s">
        <v>3178</v>
      </c>
      <c r="G1346" s="4" t="s">
        <v>3178</v>
      </c>
      <c r="H1346" s="3">
        <v>0</v>
      </c>
      <c r="I1346" s="5">
        <v>2425.539093</v>
      </c>
      <c r="J1346" s="6">
        <v>9.134501885507051</v>
      </c>
      <c r="K1346" s="4">
        <v>0</v>
      </c>
      <c r="M1346" s="3">
        <v>38.06</v>
      </c>
      <c r="N1346" s="3">
        <v>8.359999999999999</v>
      </c>
    </row>
    <row r="1347" spans="1:14">
      <c r="A1347" s="8" t="s">
        <v>1359</v>
      </c>
      <c r="B1347" s="2">
        <f>HYPERLINK("https://www.suredividend.com/sure-analysis-HON/","Honeywell International Inc")</f>
        <v>0</v>
      </c>
      <c r="C1347" s="1" t="s">
        <v>3179</v>
      </c>
      <c r="D1347" s="3">
        <v>208.78</v>
      </c>
      <c r="E1347" s="4">
        <v>0.0206916371299933</v>
      </c>
      <c r="F1347" s="4">
        <v>0.04854368932038833</v>
      </c>
      <c r="G1347" s="4">
        <v>0.03713728933664817</v>
      </c>
      <c r="H1347" s="3">
        <v>4.20195380207053</v>
      </c>
      <c r="I1347" s="5">
        <v>135954.511404</v>
      </c>
      <c r="J1347" s="6">
        <v>23.7392197318212</v>
      </c>
      <c r="K1347" s="4">
        <v>0.486337245610015</v>
      </c>
      <c r="L1347" s="7">
        <v>0.6819077952430951</v>
      </c>
      <c r="M1347" s="3">
        <v>210.97</v>
      </c>
      <c r="N1347" s="3">
        <v>169.16</v>
      </c>
    </row>
    <row r="1348" spans="1:14">
      <c r="A1348" s="8" t="s">
        <v>1360</v>
      </c>
      <c r="B1348" s="2">
        <f>HYPERLINK("https://www.suredividend.com/sure-analysis-research-database/","HarborOne Bancorp Inc.")</f>
        <v>0</v>
      </c>
      <c r="C1348" s="1" t="s">
        <v>3180</v>
      </c>
      <c r="D1348" s="3">
        <v>10.33</v>
      </c>
      <c r="E1348" s="4">
        <v>0.029030588528758</v>
      </c>
      <c r="F1348" s="4" t="s">
        <v>3178</v>
      </c>
      <c r="G1348" s="4" t="s">
        <v>3178</v>
      </c>
      <c r="H1348" s="3">
        <v>0.299885979502071</v>
      </c>
      <c r="I1348" s="5">
        <v>461.500312</v>
      </c>
      <c r="J1348" s="6">
        <v>28.7002681318408</v>
      </c>
      <c r="K1348" s="4">
        <v>0.7950317590192763</v>
      </c>
      <c r="L1348" s="7">
        <v>0.807955392828797</v>
      </c>
      <c r="M1348" s="3">
        <v>12.16</v>
      </c>
      <c r="N1348" s="3">
        <v>8.199999999999999</v>
      </c>
    </row>
    <row r="1349" spans="1:14">
      <c r="A1349" s="8" t="s">
        <v>1361</v>
      </c>
      <c r="B1349" s="2">
        <f>HYPERLINK("https://www.suredividend.com/sure-analysis-research-database/","Hope Bancorp Inc")</f>
        <v>0</v>
      </c>
      <c r="C1349" s="1" t="s">
        <v>3180</v>
      </c>
      <c r="D1349" s="3">
        <v>10.19</v>
      </c>
      <c r="E1349" s="4">
        <v>0.052979010812887</v>
      </c>
      <c r="F1349" s="4" t="s">
        <v>3178</v>
      </c>
      <c r="G1349" s="4" t="s">
        <v>3178</v>
      </c>
      <c r="H1349" s="3">
        <v>0.5398561201833281</v>
      </c>
      <c r="I1349" s="5">
        <v>1229.064506</v>
      </c>
      <c r="J1349" s="6">
        <v>10.20682057450837</v>
      </c>
      <c r="K1349" s="4">
        <v>0.5406129783530222</v>
      </c>
      <c r="L1349" s="7">
        <v>1.141196119474134</v>
      </c>
      <c r="M1349" s="3">
        <v>11.87</v>
      </c>
      <c r="N1349" s="3">
        <v>7.48</v>
      </c>
    </row>
    <row r="1350" spans="1:14">
      <c r="A1350" s="8" t="s">
        <v>1362</v>
      </c>
      <c r="B1350" s="2">
        <f>HYPERLINK("https://www.suredividend.com/sure-analysis-research-database/","Hornbeck Offshore Services Inc")</f>
        <v>0</v>
      </c>
      <c r="C1350" s="1" t="s">
        <v>3178</v>
      </c>
      <c r="D1350" s="3">
        <v>0.2998</v>
      </c>
      <c r="E1350" s="4">
        <v>0</v>
      </c>
      <c r="F1350" s="4" t="s">
        <v>3178</v>
      </c>
      <c r="G1350" s="4" t="s">
        <v>3178</v>
      </c>
      <c r="H1350" s="3">
        <v>0</v>
      </c>
      <c r="I1350" s="5">
        <v>0</v>
      </c>
      <c r="J1350" s="6">
        <v>0</v>
      </c>
      <c r="K1350" s="4" t="s">
        <v>3178</v>
      </c>
    </row>
    <row r="1351" spans="1:14">
      <c r="A1351" s="8" t="s">
        <v>1363</v>
      </c>
      <c r="B1351" s="2">
        <f>HYPERLINK("https://www.suredividend.com/sure-analysis-research-database/","Hovnanian Enterprises, Inc.")</f>
        <v>0</v>
      </c>
      <c r="C1351" s="1" t="s">
        <v>3182</v>
      </c>
      <c r="D1351" s="3">
        <v>148.16</v>
      </c>
      <c r="E1351" s="4">
        <v>0</v>
      </c>
      <c r="F1351" s="4" t="s">
        <v>3178</v>
      </c>
      <c r="G1351" s="4" t="s">
        <v>3178</v>
      </c>
      <c r="H1351" s="3">
        <v>0</v>
      </c>
      <c r="I1351" s="5">
        <v>787.666416</v>
      </c>
      <c r="J1351" s="6">
        <v>3.902217059514196</v>
      </c>
      <c r="K1351" s="4">
        <v>0</v>
      </c>
      <c r="L1351" s="7">
        <v>2.812925257288422</v>
      </c>
      <c r="M1351" s="3">
        <v>184.42</v>
      </c>
      <c r="N1351" s="3">
        <v>65.22</v>
      </c>
    </row>
    <row r="1352" spans="1:14">
      <c r="A1352" s="8" t="s">
        <v>1364</v>
      </c>
      <c r="B1352" s="2">
        <f>HYPERLINK("https://www.suredividend.com/sure-analysis-HP/","Helmerich &amp; Payne, Inc.")</f>
        <v>0</v>
      </c>
      <c r="C1352" s="1" t="s">
        <v>3185</v>
      </c>
      <c r="D1352" s="3">
        <v>34.69</v>
      </c>
      <c r="E1352" s="4">
        <v>0.02882675122513693</v>
      </c>
      <c r="F1352" s="4">
        <v>0.4705882352941175</v>
      </c>
      <c r="G1352" s="4">
        <v>0</v>
      </c>
      <c r="H1352" s="3">
        <v>1.729992782686588</v>
      </c>
      <c r="I1352" s="5">
        <v>3424.761127</v>
      </c>
      <c r="J1352" s="6">
        <v>9.777070461281529</v>
      </c>
      <c r="K1352" s="4">
        <v>0.4928754366628457</v>
      </c>
      <c r="L1352" s="7">
        <v>0.79703595329731</v>
      </c>
      <c r="M1352" s="3">
        <v>45.73</v>
      </c>
      <c r="N1352" s="3">
        <v>31.75</v>
      </c>
    </row>
    <row r="1353" spans="1:14">
      <c r="A1353" s="8" t="s">
        <v>1365</v>
      </c>
      <c r="B1353" s="2">
        <f>HYPERLINK("https://www.suredividend.com/sure-analysis-HPE/","Hewlett Packard Enterprise Co")</f>
        <v>0</v>
      </c>
      <c r="C1353" s="1" t="s">
        <v>3181</v>
      </c>
      <c r="D1353" s="3">
        <v>20.03</v>
      </c>
      <c r="E1353" s="4">
        <v>0.02596105841238143</v>
      </c>
      <c r="F1353" s="4">
        <v>0.08333333333333348</v>
      </c>
      <c r="G1353" s="4">
        <v>0.02933837941335904</v>
      </c>
      <c r="H1353" s="3">
        <v>0.494623393744049</v>
      </c>
      <c r="I1353" s="5">
        <v>26032.455598</v>
      </c>
      <c r="J1353" s="6">
        <v>14.40645024798008</v>
      </c>
      <c r="K1353" s="4">
        <v>0.3610389735358022</v>
      </c>
      <c r="L1353" s="7">
        <v>1.132676449431824</v>
      </c>
      <c r="M1353" s="3">
        <v>20.43</v>
      </c>
      <c r="N1353" s="3">
        <v>14.36</v>
      </c>
    </row>
    <row r="1354" spans="1:14">
      <c r="A1354" s="8" t="s">
        <v>1366</v>
      </c>
      <c r="B1354" s="2">
        <f>HYPERLINK("https://www.suredividend.com/sure-analysis-research-database/","Hudson Pacific Properties Inc")</f>
        <v>0</v>
      </c>
      <c r="C1354" s="1" t="s">
        <v>3183</v>
      </c>
      <c r="D1354" s="3">
        <v>4.82</v>
      </c>
      <c r="E1354" s="4">
        <v>0.036101724071246</v>
      </c>
      <c r="F1354" s="4" t="s">
        <v>3178</v>
      </c>
      <c r="G1354" s="4" t="s">
        <v>3178</v>
      </c>
      <c r="H1354" s="3">
        <v>0.174010310023408</v>
      </c>
      <c r="I1354" s="5">
        <v>680.3169329999999</v>
      </c>
      <c r="J1354" s="6" t="s">
        <v>3178</v>
      </c>
      <c r="K1354" s="4" t="s">
        <v>3178</v>
      </c>
      <c r="L1354" s="7">
        <v>2.037617604134819</v>
      </c>
      <c r="M1354" s="3">
        <v>9.779999999999999</v>
      </c>
      <c r="N1354" s="3">
        <v>4.01</v>
      </c>
    </row>
    <row r="1355" spans="1:14">
      <c r="A1355" s="8" t="s">
        <v>1367</v>
      </c>
      <c r="B1355" s="2">
        <f>HYPERLINK("https://www.suredividend.com/sure-analysis-HPQ/","HP Inc")</f>
        <v>0</v>
      </c>
      <c r="C1355" s="1" t="s">
        <v>3181</v>
      </c>
      <c r="D1355" s="3">
        <v>36.45</v>
      </c>
      <c r="E1355" s="4">
        <v>0.03017832647462277</v>
      </c>
      <c r="F1355" s="4">
        <v>0.0499047619047619</v>
      </c>
      <c r="G1355" s="4">
        <v>0.1146110398865157</v>
      </c>
      <c r="H1355" s="3">
        <v>1.062038939648001</v>
      </c>
      <c r="I1355" s="5">
        <v>35668.49691</v>
      </c>
      <c r="J1355" s="6">
        <v>12.13626978894182</v>
      </c>
      <c r="K1355" s="4">
        <v>0.36123773457415</v>
      </c>
      <c r="L1355" s="7">
        <v>0.679355326801876</v>
      </c>
      <c r="M1355" s="3">
        <v>39.52</v>
      </c>
      <c r="N1355" s="3">
        <v>24.77</v>
      </c>
    </row>
    <row r="1356" spans="1:14">
      <c r="A1356" s="8" t="s">
        <v>1368</v>
      </c>
      <c r="B1356" s="2">
        <f>HYPERLINK("https://www.suredividend.com/sure-analysis-research-database/","HighPoint Resources Corp")</f>
        <v>0</v>
      </c>
      <c r="C1356" s="1" t="s">
        <v>3185</v>
      </c>
      <c r="D1356" s="3">
        <v>4.73</v>
      </c>
      <c r="E1356" s="4">
        <v>0</v>
      </c>
      <c r="F1356" s="4" t="s">
        <v>3178</v>
      </c>
      <c r="G1356" s="4" t="s">
        <v>3178</v>
      </c>
      <c r="H1356" s="3">
        <v>0</v>
      </c>
      <c r="I1356" s="5">
        <v>20.282652</v>
      </c>
      <c r="J1356" s="6" t="s">
        <v>3178</v>
      </c>
      <c r="K1356" s="4">
        <v>-0</v>
      </c>
      <c r="L1356" s="7">
        <v>1.895637497269702</v>
      </c>
      <c r="M1356" s="3">
        <v>37.5</v>
      </c>
      <c r="N1356" s="3">
        <v>2.8</v>
      </c>
    </row>
    <row r="1357" spans="1:14">
      <c r="A1357" s="8" t="s">
        <v>1369</v>
      </c>
      <c r="B1357" s="2">
        <f>HYPERLINK("https://www.suredividend.com/sure-analysis-research-database/","Healthequity Inc")</f>
        <v>0</v>
      </c>
      <c r="C1357" s="1" t="s">
        <v>3176</v>
      </c>
      <c r="D1357" s="3">
        <v>85.25</v>
      </c>
      <c r="E1357" s="4">
        <v>0</v>
      </c>
      <c r="F1357" s="4" t="s">
        <v>3178</v>
      </c>
      <c r="G1357" s="4" t="s">
        <v>3178</v>
      </c>
      <c r="H1357" s="3">
        <v>0</v>
      </c>
      <c r="I1357" s="5">
        <v>7417.65024</v>
      </c>
      <c r="J1357" s="6">
        <v>92.22377242605464</v>
      </c>
      <c r="K1357" s="4">
        <v>0</v>
      </c>
      <c r="L1357" s="7">
        <v>0.152319954492264</v>
      </c>
      <c r="M1357" s="3">
        <v>85.79000000000001</v>
      </c>
      <c r="N1357" s="3">
        <v>59.02</v>
      </c>
    </row>
    <row r="1358" spans="1:14">
      <c r="A1358" s="8" t="s">
        <v>1370</v>
      </c>
      <c r="B1358" s="2">
        <f>HYPERLINK("https://www.suredividend.com/sure-analysis-HR/","Healthcare Realty Trust Inc")</f>
        <v>0</v>
      </c>
      <c r="C1358" s="1" t="s">
        <v>3183</v>
      </c>
      <c r="D1358" s="3">
        <v>16.6</v>
      </c>
      <c r="E1358" s="4">
        <v>0.07469879518072288</v>
      </c>
      <c r="F1358" s="4">
        <v>0</v>
      </c>
      <c r="G1358" s="4">
        <v>-0.00632962266777104</v>
      </c>
      <c r="H1358" s="3">
        <v>1.201084304690812</v>
      </c>
      <c r="I1358" s="5">
        <v>6283.831861</v>
      </c>
      <c r="J1358" s="6" t="s">
        <v>3178</v>
      </c>
      <c r="K1358" s="4" t="s">
        <v>3178</v>
      </c>
      <c r="L1358" s="7">
        <v>1.011466087801146</v>
      </c>
      <c r="M1358" s="3">
        <v>18.65</v>
      </c>
      <c r="N1358" s="3">
        <v>12.51</v>
      </c>
    </row>
    <row r="1359" spans="1:14">
      <c r="A1359" s="8" t="s">
        <v>1371</v>
      </c>
      <c r="B1359" s="2">
        <f>HYPERLINK("https://www.suredividend.com/sure-analysis-HRB/","H&amp;R Block Inc.")</f>
        <v>0</v>
      </c>
      <c r="C1359" s="1" t="s">
        <v>3182</v>
      </c>
      <c r="D1359" s="3">
        <v>49.89</v>
      </c>
      <c r="E1359" s="4">
        <v>0.02565644417718982</v>
      </c>
      <c r="F1359" s="4">
        <v>0.1034482758620692</v>
      </c>
      <c r="G1359" s="4">
        <v>0.0424022162772979</v>
      </c>
      <c r="H1359" s="3">
        <v>1.267592245931812</v>
      </c>
      <c r="I1359" s="5">
        <v>6961.147908</v>
      </c>
      <c r="J1359" s="6">
        <v>10.94661246946934</v>
      </c>
      <c r="K1359" s="4">
        <v>0.2941049294505365</v>
      </c>
      <c r="L1359" s="7">
        <v>0.6047366547676021</v>
      </c>
      <c r="M1359" s="3">
        <v>53.87</v>
      </c>
      <c r="N1359" s="3">
        <v>29.81</v>
      </c>
    </row>
    <row r="1360" spans="1:14">
      <c r="A1360" s="8" t="s">
        <v>1372</v>
      </c>
      <c r="B1360" s="2">
        <f>HYPERLINK("https://www.suredividend.com/sure-analysis-research-database/","Hill-Rom Holdings Inc")</f>
        <v>0</v>
      </c>
      <c r="C1360" s="1" t="s">
        <v>3176</v>
      </c>
      <c r="D1360" s="3">
        <v>155.96</v>
      </c>
      <c r="E1360" s="4">
        <v>0.006010700319219</v>
      </c>
      <c r="F1360" s="4" t="s">
        <v>3178</v>
      </c>
      <c r="G1360" s="4" t="s">
        <v>3178</v>
      </c>
      <c r="H1360" s="3">
        <v>0.937428821785482</v>
      </c>
      <c r="I1360" s="5">
        <v>10301.22943</v>
      </c>
      <c r="J1360" s="6">
        <v>20.72681977802817</v>
      </c>
      <c r="K1360" s="4">
        <v>0.1261680783022183</v>
      </c>
      <c r="L1360" s="7">
        <v>0.565333202876887</v>
      </c>
      <c r="M1360" s="3">
        <v>156.22</v>
      </c>
      <c r="N1360" s="3">
        <v>92.79000000000001</v>
      </c>
    </row>
    <row r="1361" spans="1:14">
      <c r="A1361" s="8" t="s">
        <v>1373</v>
      </c>
      <c r="B1361" s="2">
        <f>HYPERLINK("https://www.suredividend.com/sure-analysis-research-database/","Herc Holdings Inc")</f>
        <v>0</v>
      </c>
      <c r="C1361" s="1" t="s">
        <v>3179</v>
      </c>
      <c r="D1361" s="3">
        <v>132.6</v>
      </c>
      <c r="E1361" s="4">
        <v>0.019434556269424</v>
      </c>
      <c r="F1361" s="4" t="s">
        <v>3178</v>
      </c>
      <c r="G1361" s="4" t="s">
        <v>3178</v>
      </c>
      <c r="H1361" s="3">
        <v>2.577022161325636</v>
      </c>
      <c r="I1361" s="5">
        <v>3765.84</v>
      </c>
      <c r="J1361" s="6">
        <v>10.91547826086956</v>
      </c>
      <c r="K1361" s="4">
        <v>0.2124503018405306</v>
      </c>
      <c r="L1361" s="7">
        <v>1.775839008832169</v>
      </c>
      <c r="M1361" s="3">
        <v>170.2</v>
      </c>
      <c r="N1361" s="3">
        <v>98.73999999999999</v>
      </c>
    </row>
    <row r="1362" spans="1:14">
      <c r="A1362" s="8" t="s">
        <v>1374</v>
      </c>
      <c r="B1362" s="2">
        <f>HYPERLINK("https://www.suredividend.com/sure-analysis-HRL/","Hormel Foods Corp.")</f>
        <v>0</v>
      </c>
      <c r="C1362" s="1" t="s">
        <v>3184</v>
      </c>
      <c r="D1362" s="3">
        <v>30.64</v>
      </c>
      <c r="E1362" s="4">
        <v>0.0368798955613577</v>
      </c>
      <c r="F1362" s="4">
        <v>0.02727272727272734</v>
      </c>
      <c r="G1362" s="4">
        <v>0.06110859290365878</v>
      </c>
      <c r="H1362" s="3">
        <v>1.10114471196584</v>
      </c>
      <c r="I1362" s="5">
        <v>16800.076966</v>
      </c>
      <c r="J1362" s="6">
        <v>21.91061938397532</v>
      </c>
      <c r="K1362" s="4">
        <v>0.7865319371184571</v>
      </c>
      <c r="L1362" s="7">
        <v>0.346275589975457</v>
      </c>
      <c r="M1362" s="3">
        <v>40.68</v>
      </c>
      <c r="N1362" s="3">
        <v>28.28</v>
      </c>
    </row>
    <row r="1363" spans="1:14">
      <c r="A1363" s="8" t="s">
        <v>1375</v>
      </c>
      <c r="B1363" s="2">
        <f>HYPERLINK("https://www.suredividend.com/sure-analysis-research-database/","Harrow Inc")</f>
        <v>0</v>
      </c>
      <c r="C1363" s="1" t="s">
        <v>3176</v>
      </c>
      <c r="D1363" s="3">
        <v>18.17</v>
      </c>
      <c r="E1363" s="4">
        <v>0</v>
      </c>
      <c r="F1363" s="4" t="s">
        <v>3178</v>
      </c>
      <c r="G1363" s="4" t="s">
        <v>3178</v>
      </c>
      <c r="H1363" s="3">
        <v>0</v>
      </c>
      <c r="I1363" s="5">
        <v>642.889759</v>
      </c>
      <c r="J1363" s="6">
        <v>0</v>
      </c>
      <c r="K1363" s="4" t="s">
        <v>3178</v>
      </c>
      <c r="L1363" s="7">
        <v>0.6598989900650311</v>
      </c>
      <c r="M1363" s="3">
        <v>22.63</v>
      </c>
      <c r="N1363" s="3">
        <v>7.6</v>
      </c>
    </row>
    <row r="1364" spans="1:14">
      <c r="A1364" s="8" t="s">
        <v>1376</v>
      </c>
      <c r="B1364" s="2">
        <f>HYPERLINK("https://www.suredividend.com/sure-analysis-research-database/","Heritage Insurance Holdings Inc.")</f>
        <v>0</v>
      </c>
      <c r="C1364" s="1" t="s">
        <v>3180</v>
      </c>
      <c r="D1364" s="3">
        <v>8.15</v>
      </c>
      <c r="E1364" s="4">
        <v>0</v>
      </c>
      <c r="F1364" s="4" t="s">
        <v>3178</v>
      </c>
      <c r="G1364" s="4" t="s">
        <v>3178</v>
      </c>
      <c r="H1364" s="3">
        <v>0</v>
      </c>
      <c r="I1364" s="5">
        <v>249.687442</v>
      </c>
      <c r="J1364" s="6">
        <v>0</v>
      </c>
      <c r="K1364" s="4" t="s">
        <v>3178</v>
      </c>
      <c r="L1364" s="7">
        <v>0.480148266698071</v>
      </c>
      <c r="M1364" s="3">
        <v>11.23</v>
      </c>
      <c r="N1364" s="3">
        <v>3.73</v>
      </c>
    </row>
    <row r="1365" spans="1:14">
      <c r="A1365" s="8" t="s">
        <v>1377</v>
      </c>
      <c r="B1365" s="2">
        <f>HYPERLINK("https://www.suredividend.com/sure-analysis-research-database/","Heron Therapeutics Inc")</f>
        <v>0</v>
      </c>
      <c r="C1365" s="1" t="s">
        <v>3176</v>
      </c>
      <c r="D1365" s="3">
        <v>3.6</v>
      </c>
      <c r="E1365" s="4">
        <v>0</v>
      </c>
      <c r="F1365" s="4" t="s">
        <v>3178</v>
      </c>
      <c r="G1365" s="4" t="s">
        <v>3178</v>
      </c>
      <c r="H1365" s="3">
        <v>0</v>
      </c>
      <c r="I1365" s="5">
        <v>542.351369</v>
      </c>
      <c r="J1365" s="6">
        <v>0</v>
      </c>
      <c r="K1365" s="4" t="s">
        <v>3178</v>
      </c>
      <c r="L1365" s="7">
        <v>2.011721265944386</v>
      </c>
      <c r="M1365" s="3">
        <v>3.9</v>
      </c>
      <c r="N1365" s="3">
        <v>0.5</v>
      </c>
    </row>
    <row r="1366" spans="1:14">
      <c r="A1366" s="8" t="s">
        <v>1378</v>
      </c>
      <c r="B1366" s="2">
        <f>HYPERLINK("https://www.suredividend.com/sure-analysis-research-database/","Helius Medical Technologies Inc")</f>
        <v>0</v>
      </c>
      <c r="C1366" s="1" t="s">
        <v>3176</v>
      </c>
      <c r="D1366" s="3">
        <v>1.24</v>
      </c>
      <c r="E1366" s="4">
        <v>0</v>
      </c>
      <c r="F1366" s="4" t="s">
        <v>3178</v>
      </c>
      <c r="G1366" s="4" t="s">
        <v>3178</v>
      </c>
      <c r="H1366" s="3">
        <v>0</v>
      </c>
      <c r="I1366" s="5">
        <v>3.674363</v>
      </c>
      <c r="J1366" s="6" t="s">
        <v>3178</v>
      </c>
      <c r="K1366" s="4">
        <v>-0</v>
      </c>
      <c r="L1366" s="7">
        <v>1.227169120607204</v>
      </c>
      <c r="M1366" s="3">
        <v>13.43</v>
      </c>
      <c r="N1366" s="3">
        <v>1.11</v>
      </c>
    </row>
    <row r="1367" spans="1:14">
      <c r="A1367" s="8" t="s">
        <v>1379</v>
      </c>
      <c r="B1367" s="2">
        <f>HYPERLINK("https://www.suredividend.com/sure-analysis-research-database/","Henry Schein Inc.")</f>
        <v>0</v>
      </c>
      <c r="C1367" s="1" t="s">
        <v>3176</v>
      </c>
      <c r="D1367" s="3">
        <v>68.51000000000001</v>
      </c>
      <c r="E1367" s="4">
        <v>0</v>
      </c>
      <c r="F1367" s="4" t="s">
        <v>3178</v>
      </c>
      <c r="G1367" s="4" t="s">
        <v>3178</v>
      </c>
      <c r="H1367" s="3">
        <v>0</v>
      </c>
      <c r="I1367" s="5">
        <v>8772.770105</v>
      </c>
      <c r="J1367" s="6">
        <v>22.61023222920103</v>
      </c>
      <c r="K1367" s="4">
        <v>0</v>
      </c>
      <c r="L1367" s="7">
        <v>0.5998424147163141</v>
      </c>
      <c r="M1367" s="3">
        <v>82.63</v>
      </c>
      <c r="N1367" s="3">
        <v>60.01</v>
      </c>
    </row>
    <row r="1368" spans="1:14">
      <c r="A1368" s="8" t="s">
        <v>1380</v>
      </c>
      <c r="B1368" s="2">
        <f>HYPERLINK("https://www.suredividend.com/sure-analysis-research-database/","Heidrick &amp; Struggles International, Inc.")</f>
        <v>0</v>
      </c>
      <c r="C1368" s="1" t="s">
        <v>3179</v>
      </c>
      <c r="D1368" s="3">
        <v>33.54</v>
      </c>
      <c r="E1368" s="4">
        <v>0.017639390509784</v>
      </c>
      <c r="F1368" s="4">
        <v>0</v>
      </c>
      <c r="G1368" s="4">
        <v>0</v>
      </c>
      <c r="H1368" s="3">
        <v>0.591625157698176</v>
      </c>
      <c r="I1368" s="5">
        <v>679.134489</v>
      </c>
      <c r="J1368" s="6">
        <v>12.8487681390949</v>
      </c>
      <c r="K1368" s="4">
        <v>0.2338439358490814</v>
      </c>
      <c r="L1368" s="7">
        <v>0.904223157807273</v>
      </c>
      <c r="M1368" s="3">
        <v>36.36</v>
      </c>
      <c r="N1368" s="3">
        <v>21.86</v>
      </c>
    </row>
    <row r="1369" spans="1:14">
      <c r="A1369" s="8" t="s">
        <v>1381</v>
      </c>
      <c r="B1369" s="2">
        <f>HYPERLINK("https://www.suredividend.com/sure-analysis-research-database/","Heska Corp.")</f>
        <v>0</v>
      </c>
      <c r="C1369" s="1" t="s">
        <v>3176</v>
      </c>
      <c r="D1369" s="3">
        <v>119.99</v>
      </c>
      <c r="E1369" s="4">
        <v>0</v>
      </c>
      <c r="F1369" s="4" t="s">
        <v>3178</v>
      </c>
      <c r="G1369" s="4" t="s">
        <v>3178</v>
      </c>
      <c r="H1369" s="3">
        <v>0</v>
      </c>
      <c r="I1369" s="5">
        <v>0</v>
      </c>
      <c r="J1369" s="6">
        <v>0</v>
      </c>
      <c r="K1369" s="4">
        <v>-0</v>
      </c>
    </row>
    <row r="1370" spans="1:14">
      <c r="A1370" s="8" t="s">
        <v>1382</v>
      </c>
      <c r="B1370" s="2">
        <f>HYPERLINK("https://www.suredividend.com/sure-analysis-research-database/","Hudson Global Inc")</f>
        <v>0</v>
      </c>
      <c r="C1370" s="1" t="s">
        <v>3179</v>
      </c>
      <c r="D1370" s="3">
        <v>15.2</v>
      </c>
      <c r="E1370" s="4">
        <v>0</v>
      </c>
      <c r="F1370" s="4" t="s">
        <v>3178</v>
      </c>
      <c r="G1370" s="4" t="s">
        <v>3178</v>
      </c>
      <c r="H1370" s="3">
        <v>0</v>
      </c>
      <c r="I1370" s="5">
        <v>43.063789</v>
      </c>
      <c r="J1370" s="6">
        <v>19.59226060054595</v>
      </c>
      <c r="K1370" s="4">
        <v>0</v>
      </c>
      <c r="M1370" s="3">
        <v>24</v>
      </c>
      <c r="N1370" s="3">
        <v>13.38</v>
      </c>
    </row>
    <row r="1371" spans="1:14">
      <c r="A1371" s="8" t="s">
        <v>1383</v>
      </c>
      <c r="B1371" s="2">
        <f>HYPERLINK("https://www.suredividend.com/sure-analysis-research-database/","Host Hotels &amp; Resorts Inc")</f>
        <v>0</v>
      </c>
      <c r="C1371" s="1" t="s">
        <v>3183</v>
      </c>
      <c r="D1371" s="3">
        <v>17.81</v>
      </c>
      <c r="E1371" s="4">
        <v>0.040105542657103</v>
      </c>
      <c r="F1371" s="4" t="s">
        <v>3178</v>
      </c>
      <c r="G1371" s="4" t="s">
        <v>3178</v>
      </c>
      <c r="H1371" s="3">
        <v>0.7142797147230081</v>
      </c>
      <c r="I1371" s="5">
        <v>12556.836027</v>
      </c>
      <c r="J1371" s="6">
        <v>17.41586134055478</v>
      </c>
      <c r="K1371" s="4">
        <v>0.707207638339612</v>
      </c>
      <c r="L1371" s="7">
        <v>1.104499140229434</v>
      </c>
      <c r="M1371" s="3">
        <v>21.1</v>
      </c>
      <c r="N1371" s="3">
        <v>14.45</v>
      </c>
    </row>
    <row r="1372" spans="1:14">
      <c r="A1372" s="8" t="s">
        <v>1384</v>
      </c>
      <c r="B1372" s="2">
        <f>HYPERLINK("https://www.suredividend.com/sure-analysis-research-database/","Healthstream Inc")</f>
        <v>0</v>
      </c>
      <c r="C1372" s="1" t="s">
        <v>3176</v>
      </c>
      <c r="D1372" s="3">
        <v>27.75</v>
      </c>
      <c r="E1372" s="4">
        <v>0.004704540062196</v>
      </c>
      <c r="F1372" s="4" t="s">
        <v>3178</v>
      </c>
      <c r="G1372" s="4" t="s">
        <v>3178</v>
      </c>
      <c r="H1372" s="3">
        <v>0.13055098672594</v>
      </c>
      <c r="I1372" s="5">
        <v>843.541337</v>
      </c>
      <c r="J1372" s="6">
        <v>47.34474583263176</v>
      </c>
      <c r="K1372" s="4">
        <v>0.2243144101820275</v>
      </c>
      <c r="L1372" s="7">
        <v>0.663878973683608</v>
      </c>
      <c r="M1372" s="3">
        <v>29.03</v>
      </c>
      <c r="N1372" s="3">
        <v>20.32</v>
      </c>
    </row>
    <row r="1373" spans="1:14">
      <c r="A1373" s="8" t="s">
        <v>1385</v>
      </c>
      <c r="B1373" s="2">
        <f>HYPERLINK("https://www.suredividend.com/sure-analysis-HSY/","Hershey Company")</f>
        <v>0</v>
      </c>
      <c r="C1373" s="1" t="s">
        <v>3184</v>
      </c>
      <c r="D1373" s="3">
        <v>196.06</v>
      </c>
      <c r="E1373" s="4">
        <v>0.02795062735897175</v>
      </c>
      <c r="F1373" s="4">
        <v>0.3223938223938225</v>
      </c>
      <c r="G1373" s="4">
        <v>0.1212648674879495</v>
      </c>
      <c r="H1373" s="3">
        <v>5.082115311877872</v>
      </c>
      <c r="I1373" s="5">
        <v>40207.9848</v>
      </c>
      <c r="J1373" s="6">
        <v>13.96754979822447</v>
      </c>
      <c r="K1373" s="4">
        <v>0.5036784253595512</v>
      </c>
      <c r="L1373" s="7">
        <v>0.371848236274488</v>
      </c>
      <c r="M1373" s="3">
        <v>258.26</v>
      </c>
      <c r="N1373" s="3">
        <v>176.36</v>
      </c>
    </row>
    <row r="1374" spans="1:14">
      <c r="A1374" s="8" t="s">
        <v>1386</v>
      </c>
      <c r="B1374" s="2">
        <f>HYPERLINK("https://www.suredividend.com/sure-analysis-research-database/","Hersha Hospitality Trust")</f>
        <v>0</v>
      </c>
      <c r="C1374" s="1" t="s">
        <v>3183</v>
      </c>
      <c r="D1374" s="3">
        <v>9.99</v>
      </c>
      <c r="E1374" s="4">
        <v>0.024724789090696</v>
      </c>
      <c r="F1374" s="4" t="s">
        <v>3178</v>
      </c>
      <c r="G1374" s="4" t="s">
        <v>3178</v>
      </c>
      <c r="H1374" s="3">
        <v>0.247000643016062</v>
      </c>
      <c r="I1374" s="5">
        <v>402.558698</v>
      </c>
      <c r="J1374" s="6">
        <v>46.58165914603101</v>
      </c>
      <c r="K1374" s="4">
        <v>1.179000682654234</v>
      </c>
      <c r="L1374" s="7">
        <v>1.00361722744308</v>
      </c>
      <c r="M1374" s="3">
        <v>10.04</v>
      </c>
      <c r="N1374" s="3">
        <v>5.56</v>
      </c>
    </row>
    <row r="1375" spans="1:14">
      <c r="A1375" s="8" t="s">
        <v>1387</v>
      </c>
      <c r="B1375" s="2">
        <f>HYPERLINK("https://www.suredividend.com/sure-analysis-research-database/","HomeTrust Bancshares Inc")</f>
        <v>0</v>
      </c>
      <c r="C1375" s="1" t="s">
        <v>3180</v>
      </c>
      <c r="D1375" s="3">
        <v>27.56</v>
      </c>
      <c r="E1375" s="4">
        <v>0.01541482507357</v>
      </c>
      <c r="F1375" s="4">
        <v>0.09999999999999987</v>
      </c>
      <c r="G1375" s="4">
        <v>0.1288813207301975</v>
      </c>
      <c r="H1375" s="3">
        <v>0.424832579027589</v>
      </c>
      <c r="I1375" s="5">
        <v>480.77833</v>
      </c>
      <c r="J1375" s="6">
        <v>0</v>
      </c>
      <c r="K1375" s="4" t="s">
        <v>3178</v>
      </c>
      <c r="L1375" s="7">
        <v>0.9126048862670351</v>
      </c>
      <c r="M1375" s="3">
        <v>30.49</v>
      </c>
      <c r="N1375" s="3">
        <v>18.88</v>
      </c>
    </row>
    <row r="1376" spans="1:14">
      <c r="A1376" s="8" t="s">
        <v>1388</v>
      </c>
      <c r="B1376" s="2">
        <f>HYPERLINK("https://www.suredividend.com/sure-analysis-research-database/","Heritage Commerce Corp.")</f>
        <v>0</v>
      </c>
      <c r="C1376" s="1" t="s">
        <v>3180</v>
      </c>
      <c r="D1376" s="3">
        <v>7.98</v>
      </c>
      <c r="E1376" s="4">
        <v>0.062216303028315</v>
      </c>
      <c r="F1376" s="4">
        <v>0</v>
      </c>
      <c r="G1376" s="4">
        <v>0.01613736474159566</v>
      </c>
      <c r="H1376" s="3">
        <v>0.496486098165954</v>
      </c>
      <c r="I1376" s="5">
        <v>488.822186</v>
      </c>
      <c r="J1376" s="6">
        <v>8.777242435897437</v>
      </c>
      <c r="K1376" s="4">
        <v>0.5470318402004781</v>
      </c>
      <c r="L1376" s="7">
        <v>0.9250227870409651</v>
      </c>
      <c r="M1376" s="3">
        <v>9.6</v>
      </c>
      <c r="N1376" s="3">
        <v>7.06</v>
      </c>
    </row>
    <row r="1377" spans="1:14">
      <c r="A1377" s="8" t="s">
        <v>1389</v>
      </c>
      <c r="B1377" s="2">
        <f>HYPERLINK("https://www.suredividend.com/sure-analysis-research-database/","Heat Biologics Inc")</f>
        <v>0</v>
      </c>
      <c r="C1377" s="1" t="s">
        <v>3176</v>
      </c>
      <c r="D1377" s="3">
        <v>2.38</v>
      </c>
      <c r="E1377" s="4">
        <v>0</v>
      </c>
      <c r="F1377" s="4" t="s">
        <v>3178</v>
      </c>
      <c r="G1377" s="4" t="s">
        <v>3178</v>
      </c>
      <c r="H1377" s="3">
        <v>0</v>
      </c>
      <c r="I1377" s="5">
        <v>61.046581</v>
      </c>
      <c r="J1377" s="6">
        <v>0</v>
      </c>
      <c r="K1377" s="4" t="s">
        <v>3178</v>
      </c>
      <c r="L1377" s="7">
        <v>0.913953916192863</v>
      </c>
      <c r="M1377" s="3">
        <v>10.85</v>
      </c>
      <c r="N1377" s="3">
        <v>2.07</v>
      </c>
    </row>
    <row r="1378" spans="1:14">
      <c r="A1378" s="8" t="s">
        <v>1390</v>
      </c>
      <c r="B1378" s="2">
        <f>HYPERLINK("https://www.suredividend.com/sure-analysis-research-database/","HTG Molecular Diagnostics Inc")</f>
        <v>0</v>
      </c>
      <c r="C1378" s="1" t="s">
        <v>3176</v>
      </c>
      <c r="D1378" s="3">
        <v>0.48</v>
      </c>
      <c r="E1378" s="4">
        <v>0</v>
      </c>
      <c r="F1378" s="4" t="s">
        <v>3178</v>
      </c>
      <c r="G1378" s="4" t="s">
        <v>3178</v>
      </c>
      <c r="H1378" s="3">
        <v>0</v>
      </c>
      <c r="I1378" s="5">
        <v>0</v>
      </c>
      <c r="J1378" s="6">
        <v>0</v>
      </c>
      <c r="K1378" s="4" t="s">
        <v>3178</v>
      </c>
    </row>
    <row r="1379" spans="1:14">
      <c r="A1379" s="8" t="s">
        <v>1391</v>
      </c>
      <c r="B1379" s="2">
        <f>HYPERLINK("https://www.suredividend.com/sure-analysis-research-database/","Hilltop Holdings Inc")</f>
        <v>0</v>
      </c>
      <c r="C1379" s="1" t="s">
        <v>3180</v>
      </c>
      <c r="D1379" s="3">
        <v>30.28</v>
      </c>
      <c r="E1379" s="4">
        <v>0.021620888810196</v>
      </c>
      <c r="F1379" s="4">
        <v>0.0625</v>
      </c>
      <c r="G1379" s="4">
        <v>0.1627110152194982</v>
      </c>
      <c r="H1379" s="3">
        <v>0.654680513172736</v>
      </c>
      <c r="I1379" s="5">
        <v>1976.282186</v>
      </c>
      <c r="J1379" s="6">
        <v>17.72227869325825</v>
      </c>
      <c r="K1379" s="4">
        <v>0.3828541012706059</v>
      </c>
      <c r="L1379" s="7">
        <v>1.028986067115683</v>
      </c>
      <c r="M1379" s="3">
        <v>35.27</v>
      </c>
      <c r="N1379" s="3">
        <v>26.34</v>
      </c>
    </row>
    <row r="1380" spans="1:14">
      <c r="A1380" s="8" t="s">
        <v>1392</v>
      </c>
      <c r="B1380" s="2">
        <f>HYPERLINK("https://www.suredividend.com/sure-analysis-research-database/","Heartland Express, Inc.")</f>
        <v>0</v>
      </c>
      <c r="C1380" s="1" t="s">
        <v>3179</v>
      </c>
      <c r="D1380" s="3">
        <v>11.48</v>
      </c>
      <c r="E1380" s="4">
        <v>0.005193905515505</v>
      </c>
      <c r="F1380" s="4">
        <v>0</v>
      </c>
      <c r="G1380" s="4">
        <v>0</v>
      </c>
      <c r="H1380" s="3">
        <v>0.05962603531800301</v>
      </c>
      <c r="I1380" s="5">
        <v>907.5062840000001</v>
      </c>
      <c r="J1380" s="6">
        <v>61.42174508291033</v>
      </c>
      <c r="K1380" s="4">
        <v>0.3191971912098662</v>
      </c>
      <c r="L1380" s="7">
        <v>0.9435288801118511</v>
      </c>
      <c r="M1380" s="3">
        <v>16.93</v>
      </c>
      <c r="N1380" s="3">
        <v>9.630000000000001</v>
      </c>
    </row>
    <row r="1381" spans="1:14">
      <c r="A1381" s="8" t="s">
        <v>1393</v>
      </c>
      <c r="B1381" s="2">
        <f>HYPERLINK("https://www.suredividend.com/sure-analysis-research-database/","Heartland Financial USA, Inc.")</f>
        <v>0</v>
      </c>
      <c r="C1381" s="1" t="s">
        <v>3180</v>
      </c>
      <c r="D1381" s="3">
        <v>43.07</v>
      </c>
      <c r="E1381" s="4">
        <v>0.027183325173012</v>
      </c>
      <c r="F1381" s="4">
        <v>0</v>
      </c>
      <c r="G1381" s="4">
        <v>0.1075663432482901</v>
      </c>
      <c r="H1381" s="3">
        <v>1.170785815201658</v>
      </c>
      <c r="I1381" s="5">
        <v>1843.396</v>
      </c>
      <c r="J1381" s="6">
        <v>26.0362989223316</v>
      </c>
      <c r="K1381" s="4">
        <v>0.7095671607282775</v>
      </c>
      <c r="L1381" s="7">
        <v>1.040661341815839</v>
      </c>
      <c r="M1381" s="3">
        <v>45.99</v>
      </c>
      <c r="N1381" s="3">
        <v>25.06</v>
      </c>
    </row>
    <row r="1382" spans="1:14">
      <c r="A1382" s="8" t="s">
        <v>1394</v>
      </c>
      <c r="B1382" s="2">
        <f>HYPERLINK("https://www.suredividend.com/sure-analysis-research-database/","Hertz Global Holdings Inc.")</f>
        <v>0</v>
      </c>
      <c r="C1382" s="1" t="s">
        <v>3179</v>
      </c>
      <c r="D1382" s="3">
        <v>3.73</v>
      </c>
      <c r="E1382" s="4">
        <v>0</v>
      </c>
      <c r="F1382" s="4" t="s">
        <v>3178</v>
      </c>
      <c r="G1382" s="4" t="s">
        <v>3178</v>
      </c>
      <c r="H1382" s="3">
        <v>0</v>
      </c>
      <c r="I1382" s="5">
        <v>1140.680961</v>
      </c>
      <c r="J1382" s="6">
        <v>4.87470496025641</v>
      </c>
      <c r="K1382" s="4">
        <v>0</v>
      </c>
      <c r="L1382" s="7">
        <v>1.982306291780201</v>
      </c>
      <c r="M1382" s="3">
        <v>19.36</v>
      </c>
      <c r="N1382" s="3">
        <v>3.47</v>
      </c>
    </row>
    <row r="1383" spans="1:14">
      <c r="A1383" s="8" t="s">
        <v>1395</v>
      </c>
      <c r="B1383" s="2">
        <f>HYPERLINK("https://www.suredividend.com/sure-analysis-HUBB/","Hubbell Inc.")</f>
        <v>0</v>
      </c>
      <c r="C1383" s="1" t="s">
        <v>3179</v>
      </c>
      <c r="D1383" s="3">
        <v>366.68</v>
      </c>
      <c r="E1383" s="4">
        <v>0.01330860695974692</v>
      </c>
      <c r="F1383" s="4">
        <v>0.08928571428571419</v>
      </c>
      <c r="G1383" s="4">
        <v>0.07749709741525468</v>
      </c>
      <c r="H1383" s="3">
        <v>4.756535659981871</v>
      </c>
      <c r="I1383" s="5">
        <v>19685.58138</v>
      </c>
      <c r="J1383" s="6">
        <v>27.19002953033149</v>
      </c>
      <c r="K1383" s="4">
        <v>0.3549653477598411</v>
      </c>
      <c r="L1383" s="7">
        <v>1.232025556184262</v>
      </c>
      <c r="M1383" s="3">
        <v>428.27</v>
      </c>
      <c r="N1383" s="3">
        <v>245.75</v>
      </c>
    </row>
    <row r="1384" spans="1:14">
      <c r="A1384" s="8" t="s">
        <v>1396</v>
      </c>
      <c r="B1384" s="2">
        <f>HYPERLINK("https://www.suredividend.com/sure-analysis-research-database/","Hub Group, Inc.")</f>
        <v>0</v>
      </c>
      <c r="C1384" s="1" t="s">
        <v>3179</v>
      </c>
      <c r="D1384" s="3">
        <v>43.03</v>
      </c>
      <c r="E1384" s="4">
        <v>0.005793238227647</v>
      </c>
      <c r="F1384" s="4" t="s">
        <v>3178</v>
      </c>
      <c r="G1384" s="4" t="s">
        <v>3178</v>
      </c>
      <c r="H1384" s="3">
        <v>0.249283040935672</v>
      </c>
      <c r="I1384" s="5">
        <v>2656.722975</v>
      </c>
      <c r="J1384" s="6">
        <v>20.00529344959752</v>
      </c>
      <c r="K1384" s="4">
        <v>0.1038679337231967</v>
      </c>
      <c r="L1384" s="7">
        <v>0.9536328005532201</v>
      </c>
      <c r="M1384" s="3">
        <v>47.03</v>
      </c>
      <c r="N1384" s="3">
        <v>31.36</v>
      </c>
    </row>
    <row r="1385" spans="1:14">
      <c r="A1385" s="8" t="s">
        <v>1397</v>
      </c>
      <c r="B1385" s="2">
        <f>HYPERLINK("https://www.suredividend.com/sure-analysis-research-database/","HubSpot Inc")</f>
        <v>0</v>
      </c>
      <c r="C1385" s="1" t="s">
        <v>3181</v>
      </c>
      <c r="D1385" s="3">
        <v>596.65</v>
      </c>
      <c r="E1385" s="4">
        <v>0</v>
      </c>
      <c r="F1385" s="4" t="s">
        <v>3178</v>
      </c>
      <c r="G1385" s="4" t="s">
        <v>3178</v>
      </c>
      <c r="H1385" s="3">
        <v>0</v>
      </c>
      <c r="I1385" s="5">
        <v>30406.741616</v>
      </c>
      <c r="J1385" s="6" t="s">
        <v>3178</v>
      </c>
      <c r="K1385" s="4">
        <v>-0</v>
      </c>
      <c r="L1385" s="7">
        <v>1.70161304248664</v>
      </c>
      <c r="M1385" s="3">
        <v>693.85</v>
      </c>
      <c r="N1385" s="3">
        <v>407.23</v>
      </c>
    </row>
    <row r="1386" spans="1:14">
      <c r="A1386" s="8" t="s">
        <v>1398</v>
      </c>
      <c r="B1386" s="2">
        <f>HYPERLINK("https://www.suredividend.com/sure-analysis-HUM/","Humana Inc.")</f>
        <v>0</v>
      </c>
      <c r="C1386" s="1" t="s">
        <v>3176</v>
      </c>
      <c r="D1386" s="3">
        <v>351.8</v>
      </c>
      <c r="E1386" s="4">
        <v>0.01006253553155202</v>
      </c>
      <c r="F1386" s="4">
        <v>0</v>
      </c>
      <c r="G1386" s="4">
        <v>0.09980608000232882</v>
      </c>
      <c r="H1386" s="3">
        <v>3.528214407909798</v>
      </c>
      <c r="I1386" s="5">
        <v>42392.123393</v>
      </c>
      <c r="J1386" s="6">
        <v>21.29187513460572</v>
      </c>
      <c r="K1386" s="4">
        <v>0.2186006448519082</v>
      </c>
      <c r="L1386" s="7">
        <v>0.08298266054912301</v>
      </c>
      <c r="M1386" s="3">
        <v>528.15</v>
      </c>
      <c r="N1386" s="3">
        <v>298.61</v>
      </c>
    </row>
    <row r="1387" spans="1:14">
      <c r="A1387" s="8" t="s">
        <v>1399</v>
      </c>
      <c r="B1387" s="2">
        <f>HYPERLINK("https://www.suredividend.com/sure-analysis-HUN/","Huntsman Corp")</f>
        <v>0</v>
      </c>
      <c r="C1387" s="1" t="s">
        <v>3177</v>
      </c>
      <c r="D1387" s="3">
        <v>23.78</v>
      </c>
      <c r="E1387" s="4">
        <v>0.04205214465937763</v>
      </c>
      <c r="F1387" s="4">
        <v>0.05263157894736836</v>
      </c>
      <c r="G1387" s="4">
        <v>0.08997698704834534</v>
      </c>
      <c r="H1387" s="3">
        <v>0.9489731622753411</v>
      </c>
      <c r="I1387" s="5">
        <v>4113.851681</v>
      </c>
      <c r="J1387" s="6" t="s">
        <v>3178</v>
      </c>
      <c r="K1387" s="4" t="s">
        <v>3178</v>
      </c>
      <c r="L1387" s="7">
        <v>1.051401511568935</v>
      </c>
      <c r="M1387" s="3">
        <v>29.05</v>
      </c>
      <c r="N1387" s="3">
        <v>21.72</v>
      </c>
    </row>
    <row r="1388" spans="1:14">
      <c r="A1388" s="8" t="s">
        <v>1400</v>
      </c>
      <c r="B1388" s="2">
        <f>HYPERLINK("https://www.suredividend.com/sure-analysis-research-database/","Hurco Companies, Inc.")</f>
        <v>0</v>
      </c>
      <c r="C1388" s="1" t="s">
        <v>3179</v>
      </c>
      <c r="D1388" s="3">
        <v>17.42</v>
      </c>
      <c r="E1388" s="4">
        <v>0.035886558089027</v>
      </c>
      <c r="F1388" s="4">
        <v>0</v>
      </c>
      <c r="G1388" s="4">
        <v>0.05922384104881218</v>
      </c>
      <c r="H1388" s="3">
        <v>0.625143841910866</v>
      </c>
      <c r="I1388" s="5">
        <v>113.335095</v>
      </c>
      <c r="J1388" s="6">
        <v>82.84729156432749</v>
      </c>
      <c r="K1388" s="4">
        <v>2.966985486050622</v>
      </c>
      <c r="L1388" s="7">
        <v>0.8440996334923531</v>
      </c>
      <c r="M1388" s="3">
        <v>27.75</v>
      </c>
      <c r="N1388" s="3">
        <v>17.04</v>
      </c>
    </row>
    <row r="1389" spans="1:14">
      <c r="A1389" s="8" t="s">
        <v>1401</v>
      </c>
      <c r="B1389" s="2">
        <f>HYPERLINK("https://www.suredividend.com/sure-analysis-research-database/","Huron Consulting Group Inc")</f>
        <v>0</v>
      </c>
      <c r="C1389" s="1" t="s">
        <v>3179</v>
      </c>
      <c r="D1389" s="3">
        <v>97.36</v>
      </c>
      <c r="E1389" s="4">
        <v>0</v>
      </c>
      <c r="F1389" s="4" t="s">
        <v>3178</v>
      </c>
      <c r="G1389" s="4" t="s">
        <v>3178</v>
      </c>
      <c r="H1389" s="3">
        <v>0</v>
      </c>
      <c r="I1389" s="5">
        <v>1753.043714</v>
      </c>
      <c r="J1389" s="6">
        <v>26.13908261115916</v>
      </c>
      <c r="K1389" s="4">
        <v>0</v>
      </c>
      <c r="L1389" s="7">
        <v>0.6817236394438221</v>
      </c>
      <c r="M1389" s="3">
        <v>113.31</v>
      </c>
      <c r="N1389" s="3">
        <v>77.98999999999999</v>
      </c>
    </row>
    <row r="1390" spans="1:14">
      <c r="A1390" s="8" t="s">
        <v>1402</v>
      </c>
      <c r="B1390" s="2">
        <f>HYPERLINK("https://www.suredividend.com/sure-analysis-research-database/","Houston American Energy Corp")</f>
        <v>0</v>
      </c>
      <c r="C1390" s="1" t="s">
        <v>3185</v>
      </c>
      <c r="D1390" s="3">
        <v>1.26</v>
      </c>
      <c r="E1390" s="4">
        <v>0</v>
      </c>
      <c r="F1390" s="4" t="s">
        <v>3178</v>
      </c>
      <c r="G1390" s="4" t="s">
        <v>3178</v>
      </c>
      <c r="H1390" s="3">
        <v>0</v>
      </c>
      <c r="I1390" s="5">
        <v>13.742005</v>
      </c>
      <c r="J1390" s="6" t="s">
        <v>3178</v>
      </c>
      <c r="K1390" s="4">
        <v>-0</v>
      </c>
      <c r="L1390" s="7">
        <v>-0.433514061169644</v>
      </c>
      <c r="M1390" s="3">
        <v>2.81</v>
      </c>
      <c r="N1390" s="3">
        <v>1.24</v>
      </c>
    </row>
    <row r="1391" spans="1:14">
      <c r="A1391" s="8" t="s">
        <v>1403</v>
      </c>
      <c r="B1391" s="2">
        <f>HYPERLINK("https://www.suredividend.com/sure-analysis-research-database/","Haverty Furniture Cos., Inc.")</f>
        <v>0</v>
      </c>
      <c r="C1391" s="1" t="s">
        <v>3182</v>
      </c>
      <c r="D1391" s="3">
        <v>26.75</v>
      </c>
      <c r="E1391" s="4">
        <v>0.04492429725491601</v>
      </c>
      <c r="F1391" s="4">
        <v>0.06666666666666643</v>
      </c>
      <c r="G1391" s="4">
        <v>0.09856054330611763</v>
      </c>
      <c r="H1391" s="3">
        <v>1.201724951569027</v>
      </c>
      <c r="I1391" s="5">
        <v>434.360726</v>
      </c>
      <c r="J1391" s="6">
        <v>9.373343235865343</v>
      </c>
      <c r="K1391" s="4">
        <v>0.4338357225880964</v>
      </c>
      <c r="L1391" s="7">
        <v>0.9287692287765391</v>
      </c>
      <c r="M1391" s="3">
        <v>36.3</v>
      </c>
      <c r="N1391" s="3">
        <v>24.41</v>
      </c>
    </row>
    <row r="1392" spans="1:14">
      <c r="A1392" s="8" t="s">
        <v>1404</v>
      </c>
      <c r="B1392" s="2">
        <f>HYPERLINK("https://www.suredividend.com/sure-analysis-research-database/","Hawthorn Bancshares Inc")</f>
        <v>0</v>
      </c>
      <c r="C1392" s="1" t="s">
        <v>3180</v>
      </c>
      <c r="D1392" s="3">
        <v>19.5</v>
      </c>
      <c r="E1392" s="4">
        <v>0.033976543566531</v>
      </c>
      <c r="F1392" s="4" t="s">
        <v>3178</v>
      </c>
      <c r="G1392" s="4" t="s">
        <v>3178</v>
      </c>
      <c r="H1392" s="3">
        <v>0.6625425995473611</v>
      </c>
      <c r="I1392" s="5">
        <v>136.535393</v>
      </c>
      <c r="J1392" s="6">
        <v>63.77178538066324</v>
      </c>
      <c r="K1392" s="4">
        <v>2.160230190894558</v>
      </c>
      <c r="L1392" s="7">
        <v>0.310871538072472</v>
      </c>
      <c r="M1392" s="3">
        <v>25.55</v>
      </c>
      <c r="N1392" s="3">
        <v>14.52</v>
      </c>
    </row>
    <row r="1393" spans="1:14">
      <c r="A1393" s="8" t="s">
        <v>1405</v>
      </c>
      <c r="B1393" s="2">
        <f>HYPERLINK("https://www.suredividend.com/sure-analysis-research-database/","Hancock Whitney Corp.")</f>
        <v>0</v>
      </c>
      <c r="C1393" s="1" t="s">
        <v>3180</v>
      </c>
      <c r="D1393" s="3">
        <v>46.49</v>
      </c>
      <c r="E1393" s="4">
        <v>0.027527614114585</v>
      </c>
      <c r="F1393" s="4">
        <v>0.3333333333333333</v>
      </c>
      <c r="G1393" s="4">
        <v>0.08178074106640287</v>
      </c>
      <c r="H1393" s="3">
        <v>1.279758780187061</v>
      </c>
      <c r="I1393" s="5">
        <v>4027.442833</v>
      </c>
      <c r="J1393" s="6">
        <v>10.84666551656715</v>
      </c>
      <c r="K1393" s="4">
        <v>0.2983120699736739</v>
      </c>
      <c r="L1393" s="7">
        <v>1.278296916737781</v>
      </c>
      <c r="M1393" s="3">
        <v>48.67</v>
      </c>
      <c r="N1393" s="3">
        <v>31</v>
      </c>
    </row>
    <row r="1394" spans="1:14">
      <c r="A1394" s="8" t="s">
        <v>1406</v>
      </c>
      <c r="B1394" s="2">
        <f>HYPERLINK("https://www.suredividend.com/sure-analysis-research-database/","Houston Wire &amp; Cable Company")</f>
        <v>0</v>
      </c>
      <c r="C1394" s="1" t="s">
        <v>3179</v>
      </c>
      <c r="D1394" s="3">
        <v>5.3</v>
      </c>
      <c r="E1394" s="4">
        <v>0</v>
      </c>
      <c r="F1394" s="4" t="s">
        <v>3178</v>
      </c>
      <c r="G1394" s="4" t="s">
        <v>3178</v>
      </c>
      <c r="H1394" s="3">
        <v>0</v>
      </c>
      <c r="I1394" s="5">
        <v>0</v>
      </c>
      <c r="J1394" s="6">
        <v>0</v>
      </c>
      <c r="K1394" s="4">
        <v>-0</v>
      </c>
    </row>
    <row r="1395" spans="1:14">
      <c r="A1395" s="8" t="s">
        <v>1407</v>
      </c>
      <c r="B1395" s="2">
        <f>HYPERLINK("https://www.suredividend.com/sure-analysis-HWKN/","Hawkins Inc")</f>
        <v>0</v>
      </c>
      <c r="C1395" s="1" t="s">
        <v>3177</v>
      </c>
      <c r="D1395" s="3">
        <v>86.69</v>
      </c>
      <c r="E1395" s="4">
        <v>0.007382627754066213</v>
      </c>
      <c r="F1395" s="4">
        <v>0.06666666666666665</v>
      </c>
      <c r="G1395" s="4">
        <v>-0.07000967743947428</v>
      </c>
      <c r="H1395" s="3">
        <v>0.6358883476514601</v>
      </c>
      <c r="I1395" s="5">
        <v>1812.890581</v>
      </c>
      <c r="J1395" s="6">
        <v>24.05544605734909</v>
      </c>
      <c r="K1395" s="4">
        <v>0.1771276734405181</v>
      </c>
      <c r="L1395" s="7">
        <v>0.863502060810708</v>
      </c>
      <c r="M1395" s="3">
        <v>89.55</v>
      </c>
      <c r="N1395" s="3">
        <v>44.63</v>
      </c>
    </row>
    <row r="1396" spans="1:14">
      <c r="A1396" s="8" t="s">
        <v>1408</v>
      </c>
      <c r="B1396" s="2">
        <f>HYPERLINK("https://www.suredividend.com/sure-analysis-research-database/","Hexcel Corp.")</f>
        <v>0</v>
      </c>
      <c r="C1396" s="1" t="s">
        <v>3179</v>
      </c>
      <c r="D1396" s="3">
        <v>66.59</v>
      </c>
      <c r="E1396" s="4">
        <v>0.008234191377927001</v>
      </c>
      <c r="F1396" s="4" t="s">
        <v>3178</v>
      </c>
      <c r="G1396" s="4" t="s">
        <v>3178</v>
      </c>
      <c r="H1396" s="3">
        <v>0.548314803856221</v>
      </c>
      <c r="I1396" s="5">
        <v>5534.585232</v>
      </c>
      <c r="J1396" s="6">
        <v>55.62397218492463</v>
      </c>
      <c r="K1396" s="4">
        <v>0.4686451315010436</v>
      </c>
      <c r="L1396" s="7">
        <v>0.883080762903909</v>
      </c>
      <c r="M1396" s="3">
        <v>78.43000000000001</v>
      </c>
      <c r="N1396" s="3">
        <v>58.43</v>
      </c>
    </row>
    <row r="1397" spans="1:14">
      <c r="A1397" s="8" t="s">
        <v>1409</v>
      </c>
      <c r="B1397" s="2">
        <f>HYPERLINK("https://www.suredividend.com/sure-analysis-research-database/","Hyster Yale Inc")</f>
        <v>0</v>
      </c>
      <c r="C1397" s="1" t="s">
        <v>3179</v>
      </c>
      <c r="D1397" s="3">
        <v>74.41</v>
      </c>
      <c r="E1397" s="4">
        <v>0.017666798732136</v>
      </c>
      <c r="F1397" s="4">
        <v>0.07692307692307709</v>
      </c>
      <c r="G1397" s="4">
        <v>0.01968225823303538</v>
      </c>
      <c r="H1397" s="3">
        <v>1.314586493658277</v>
      </c>
      <c r="I1397" s="5">
        <v>1043.949754</v>
      </c>
      <c r="J1397" s="6">
        <v>0</v>
      </c>
      <c r="K1397" s="4" t="s">
        <v>3178</v>
      </c>
      <c r="L1397" s="7">
        <v>1.142001439710296</v>
      </c>
      <c r="M1397" s="3">
        <v>79.28</v>
      </c>
      <c r="N1397" s="3">
        <v>37.85</v>
      </c>
    </row>
    <row r="1398" spans="1:14">
      <c r="A1398" s="8" t="s">
        <v>1410</v>
      </c>
      <c r="B1398" s="2">
        <f>HYPERLINK("https://www.suredividend.com/sure-analysis-research-database/","Horizon Global Corp")</f>
        <v>0</v>
      </c>
      <c r="C1398" s="1" t="s">
        <v>3182</v>
      </c>
      <c r="D1398" s="3">
        <v>1.76</v>
      </c>
      <c r="E1398" s="4">
        <v>0</v>
      </c>
      <c r="F1398" s="4" t="s">
        <v>3178</v>
      </c>
      <c r="G1398" s="4" t="s">
        <v>3178</v>
      </c>
      <c r="H1398" s="3">
        <v>0</v>
      </c>
      <c r="I1398" s="5">
        <v>48.809661</v>
      </c>
      <c r="J1398" s="6">
        <v>0</v>
      </c>
      <c r="K1398" s="4" t="s">
        <v>3178</v>
      </c>
      <c r="L1398" s="7">
        <v>0.547900522491051</v>
      </c>
      <c r="M1398" s="3">
        <v>7.19</v>
      </c>
      <c r="N1398" s="3">
        <v>0.3</v>
      </c>
    </row>
    <row r="1399" spans="1:14">
      <c r="A1399" s="8" t="s">
        <v>1411</v>
      </c>
      <c r="B1399" s="2">
        <f>HYPERLINK("https://www.suredividend.com/sure-analysis-research-database/","Horizon Therapeutics Plc")</f>
        <v>0</v>
      </c>
      <c r="C1399" s="1" t="s">
        <v>3176</v>
      </c>
      <c r="D1399" s="3">
        <v>116.3</v>
      </c>
      <c r="E1399" s="4">
        <v>0</v>
      </c>
      <c r="F1399" s="4" t="s">
        <v>3178</v>
      </c>
      <c r="G1399" s="4" t="s">
        <v>3178</v>
      </c>
      <c r="H1399" s="3">
        <v>0</v>
      </c>
      <c r="I1399" s="5">
        <v>0</v>
      </c>
      <c r="J1399" s="6">
        <v>0</v>
      </c>
      <c r="K1399" s="4">
        <v>0</v>
      </c>
    </row>
    <row r="1400" spans="1:14">
      <c r="A1400" s="8" t="s">
        <v>1412</v>
      </c>
      <c r="B1400" s="2">
        <f>HYPERLINK("https://www.suredividend.com/sure-analysis-research-database/","Marinemax, Inc.")</f>
        <v>0</v>
      </c>
      <c r="C1400" s="1" t="s">
        <v>3182</v>
      </c>
      <c r="D1400" s="3">
        <v>33.56</v>
      </c>
      <c r="E1400" s="4">
        <v>0</v>
      </c>
      <c r="F1400" s="4" t="s">
        <v>3178</v>
      </c>
      <c r="G1400" s="4" t="s">
        <v>3178</v>
      </c>
      <c r="H1400" s="3">
        <v>0</v>
      </c>
      <c r="I1400" s="5">
        <v>748.436159</v>
      </c>
      <c r="J1400" s="6">
        <v>12.05716014112189</v>
      </c>
      <c r="K1400" s="4">
        <v>0</v>
      </c>
      <c r="L1400" s="7">
        <v>1.622550372456087</v>
      </c>
      <c r="M1400" s="3">
        <v>42.88</v>
      </c>
      <c r="N1400" s="3">
        <v>22.51</v>
      </c>
    </row>
    <row r="1401" spans="1:14">
      <c r="A1401" s="8" t="s">
        <v>1413</v>
      </c>
      <c r="B1401" s="2">
        <f>HYPERLINK("https://www.suredividend.com/sure-analysis-research-database/","IAA Inc")</f>
        <v>0</v>
      </c>
      <c r="C1401" s="1" t="s">
        <v>3179</v>
      </c>
      <c r="D1401" s="3">
        <v>39.89</v>
      </c>
      <c r="E1401" s="4">
        <v>0</v>
      </c>
      <c r="F1401" s="4" t="s">
        <v>3178</v>
      </c>
      <c r="G1401" s="4" t="s">
        <v>3178</v>
      </c>
      <c r="H1401" s="3">
        <v>0</v>
      </c>
      <c r="I1401" s="5">
        <v>5513.641624</v>
      </c>
      <c r="J1401" s="6">
        <v>18.85650350263338</v>
      </c>
      <c r="K1401" s="4">
        <v>0</v>
      </c>
      <c r="M1401" s="3">
        <v>44.07</v>
      </c>
      <c r="N1401" s="3">
        <v>31.32</v>
      </c>
    </row>
    <row r="1402" spans="1:14">
      <c r="A1402" s="8" t="s">
        <v>1414</v>
      </c>
      <c r="B1402" s="2">
        <f>HYPERLINK("https://www.suredividend.com/sure-analysis-research-database/","IAC Inc")</f>
        <v>0</v>
      </c>
      <c r="C1402" s="1" t="s">
        <v>3187</v>
      </c>
      <c r="D1402" s="3">
        <v>49.93</v>
      </c>
      <c r="E1402" s="4">
        <v>0</v>
      </c>
      <c r="F1402" s="4" t="s">
        <v>3178</v>
      </c>
      <c r="G1402" s="4" t="s">
        <v>3178</v>
      </c>
      <c r="H1402" s="3">
        <v>0</v>
      </c>
      <c r="I1402" s="5">
        <v>4009.612822</v>
      </c>
      <c r="J1402" s="6" t="s">
        <v>3178</v>
      </c>
      <c r="K1402" s="4">
        <v>-0</v>
      </c>
      <c r="L1402" s="7">
        <v>1.617359460042334</v>
      </c>
      <c r="M1402" s="3">
        <v>69.84999999999999</v>
      </c>
      <c r="N1402" s="3">
        <v>41.39</v>
      </c>
    </row>
    <row r="1403" spans="1:14">
      <c r="A1403" s="8" t="s">
        <v>1415</v>
      </c>
      <c r="B1403" s="2">
        <f>HYPERLINK("https://www.suredividend.com/sure-analysis-research-database/","Integra Lifesciences Holdings Corp")</f>
        <v>0</v>
      </c>
      <c r="C1403" s="1" t="s">
        <v>3176</v>
      </c>
      <c r="D1403" s="3">
        <v>30.8</v>
      </c>
      <c r="E1403" s="4">
        <v>0</v>
      </c>
      <c r="F1403" s="4" t="s">
        <v>3178</v>
      </c>
      <c r="G1403" s="4" t="s">
        <v>3178</v>
      </c>
      <c r="H1403" s="3">
        <v>0</v>
      </c>
      <c r="I1403" s="5">
        <v>2427.030575</v>
      </c>
      <c r="J1403" s="6">
        <v>60.32287555798578</v>
      </c>
      <c r="K1403" s="4">
        <v>0</v>
      </c>
      <c r="L1403" s="7">
        <v>0.9717313104509021</v>
      </c>
      <c r="M1403" s="3">
        <v>46.75</v>
      </c>
      <c r="N1403" s="3">
        <v>22.36</v>
      </c>
    </row>
    <row r="1404" spans="1:14">
      <c r="A1404" s="8" t="s">
        <v>1416</v>
      </c>
      <c r="B1404" s="2">
        <f>HYPERLINK("https://www.suredividend.com/sure-analysis-research-database/","Independent Bank Corporation (Ionia, MI)")</f>
        <v>0</v>
      </c>
      <c r="C1404" s="1" t="s">
        <v>3180</v>
      </c>
      <c r="D1404" s="3">
        <v>24.24</v>
      </c>
      <c r="E1404" s="4">
        <v>0.037677383693906</v>
      </c>
      <c r="F1404" s="4" t="s">
        <v>3178</v>
      </c>
      <c r="G1404" s="4" t="s">
        <v>3178</v>
      </c>
      <c r="H1404" s="3">
        <v>0.9132997807402901</v>
      </c>
      <c r="I1404" s="5">
        <v>506.675243</v>
      </c>
      <c r="J1404" s="6">
        <v>0</v>
      </c>
      <c r="K1404" s="4" t="s">
        <v>3178</v>
      </c>
      <c r="L1404" s="7">
        <v>1.154369165994418</v>
      </c>
      <c r="M1404" s="3">
        <v>26.69</v>
      </c>
      <c r="N1404" s="3">
        <v>15.13</v>
      </c>
    </row>
    <row r="1405" spans="1:14">
      <c r="A1405" s="8" t="s">
        <v>1417</v>
      </c>
      <c r="B1405" s="2">
        <f>HYPERLINK("https://www.suredividend.com/sure-analysis-research-database/","iBio Inc")</f>
        <v>0</v>
      </c>
      <c r="C1405" s="1" t="s">
        <v>3176</v>
      </c>
      <c r="D1405" s="3">
        <v>2.42</v>
      </c>
      <c r="E1405" s="4">
        <v>0</v>
      </c>
      <c r="F1405" s="4" t="s">
        <v>3178</v>
      </c>
      <c r="G1405" s="4" t="s">
        <v>3178</v>
      </c>
      <c r="H1405" s="3">
        <v>0</v>
      </c>
      <c r="I1405" s="5">
        <v>20.869296</v>
      </c>
      <c r="J1405" s="6">
        <v>0</v>
      </c>
      <c r="K1405" s="4" t="s">
        <v>3178</v>
      </c>
      <c r="L1405" s="7">
        <v>1.351228646792812</v>
      </c>
      <c r="M1405" s="3">
        <v>17.6</v>
      </c>
      <c r="N1405" s="3">
        <v>1.02</v>
      </c>
    </row>
    <row r="1406" spans="1:14">
      <c r="A1406" s="8" t="s">
        <v>1418</v>
      </c>
      <c r="B1406" s="2">
        <f>HYPERLINK("https://www.suredividend.com/sure-analysis-research-database/","Interactive Brokers Group Inc")</f>
        <v>0</v>
      </c>
      <c r="C1406" s="1" t="s">
        <v>3180</v>
      </c>
      <c r="D1406" s="3">
        <v>123.74</v>
      </c>
      <c r="E1406" s="4">
        <v>0.004430252530933001</v>
      </c>
      <c r="F1406" s="4" t="s">
        <v>3178</v>
      </c>
      <c r="G1406" s="4" t="s">
        <v>3178</v>
      </c>
      <c r="H1406" s="3">
        <v>0.548199448177726</v>
      </c>
      <c r="I1406" s="5">
        <v>13253.762074</v>
      </c>
      <c r="J1406" s="6">
        <v>21.13837651295056</v>
      </c>
      <c r="K1406" s="4">
        <v>0.09339002524322419</v>
      </c>
      <c r="L1406" s="7">
        <v>0.395304361198124</v>
      </c>
      <c r="M1406" s="3">
        <v>128.68</v>
      </c>
      <c r="N1406" s="3">
        <v>71.98999999999999</v>
      </c>
    </row>
    <row r="1407" spans="1:14">
      <c r="A1407" s="8" t="s">
        <v>1419</v>
      </c>
      <c r="B1407" s="2">
        <f>HYPERLINK("https://www.suredividend.com/sure-analysis-IBM/","International Business Machines Corp.")</f>
        <v>0</v>
      </c>
      <c r="C1407" s="1" t="s">
        <v>3181</v>
      </c>
      <c r="D1407" s="3">
        <v>170.01</v>
      </c>
      <c r="E1407" s="4">
        <v>0.03929180636433151</v>
      </c>
      <c r="F1407" s="4">
        <v>0.006024096385542022</v>
      </c>
      <c r="G1407" s="4">
        <v>0.006098013076206277</v>
      </c>
      <c r="H1407" s="3">
        <v>6.553085019310214</v>
      </c>
      <c r="I1407" s="5">
        <v>156171.639247</v>
      </c>
      <c r="J1407" s="6">
        <v>19.09188743846699</v>
      </c>
      <c r="K1407" s="4">
        <v>0.7421387337837162</v>
      </c>
      <c r="L1407" s="7">
        <v>0.7195810782361991</v>
      </c>
      <c r="M1407" s="3">
        <v>197.22</v>
      </c>
      <c r="N1407" s="3">
        <v>123.91</v>
      </c>
    </row>
    <row r="1408" spans="1:14">
      <c r="A1408" s="8" t="s">
        <v>1420</v>
      </c>
      <c r="B1408" s="2">
        <f>HYPERLINK("https://www.suredividend.com/sure-analysis-IBOC/","International Bancshares Corp.")</f>
        <v>0</v>
      </c>
      <c r="C1408" s="1" t="s">
        <v>3180</v>
      </c>
      <c r="D1408" s="3">
        <v>54.69</v>
      </c>
      <c r="E1408" s="4">
        <v>0.02413603949533736</v>
      </c>
      <c r="F1408" s="4" t="s">
        <v>3178</v>
      </c>
      <c r="G1408" s="4" t="s">
        <v>3178</v>
      </c>
      <c r="H1408" s="3">
        <v>1.274069300642982</v>
      </c>
      <c r="I1408" s="5">
        <v>3400.45756</v>
      </c>
      <c r="J1408" s="6">
        <v>8.345582245862129</v>
      </c>
      <c r="K1408" s="4">
        <v>0.1945143970447301</v>
      </c>
      <c r="L1408" s="7">
        <v>1.003738643263868</v>
      </c>
      <c r="M1408" s="3">
        <v>61.46</v>
      </c>
      <c r="N1408" s="3">
        <v>40.5</v>
      </c>
    </row>
    <row r="1409" spans="1:14">
      <c r="A1409" s="8" t="s">
        <v>1421</v>
      </c>
      <c r="B1409" s="2">
        <f>HYPERLINK("https://www.suredividend.com/sure-analysis-research-database/","Installed Building Products Inc")</f>
        <v>0</v>
      </c>
      <c r="C1409" s="1" t="s">
        <v>3179</v>
      </c>
      <c r="D1409" s="3">
        <v>210.17</v>
      </c>
      <c r="E1409" s="4">
        <v>0.013971766639346</v>
      </c>
      <c r="F1409" s="4" t="s">
        <v>3178</v>
      </c>
      <c r="G1409" s="4" t="s">
        <v>3178</v>
      </c>
      <c r="H1409" s="3">
        <v>2.936446194591496</v>
      </c>
      <c r="I1409" s="5">
        <v>5978.414694</v>
      </c>
      <c r="J1409" s="6">
        <v>23.8825159766864</v>
      </c>
      <c r="K1409" s="4">
        <v>0.3321771713338796</v>
      </c>
      <c r="L1409" s="7">
        <v>1.932286558476557</v>
      </c>
      <c r="M1409" s="3">
        <v>263.76</v>
      </c>
      <c r="N1409" s="3">
        <v>105.65</v>
      </c>
    </row>
    <row r="1410" spans="1:14">
      <c r="A1410" s="8" t="s">
        <v>1422</v>
      </c>
      <c r="B1410" s="2">
        <f>HYPERLINK("https://www.suredividend.com/sure-analysis-research-database/","Independent Bank Group Inc")</f>
        <v>0</v>
      </c>
      <c r="C1410" s="1" t="s">
        <v>3180</v>
      </c>
      <c r="D1410" s="3">
        <v>43.77</v>
      </c>
      <c r="E1410" s="4">
        <v>0.033769876330001</v>
      </c>
      <c r="F1410" s="4">
        <v>0</v>
      </c>
      <c r="G1410" s="4">
        <v>0.08734839457107491</v>
      </c>
      <c r="H1410" s="3">
        <v>1.478107486964172</v>
      </c>
      <c r="I1410" s="5">
        <v>1811.180365</v>
      </c>
      <c r="J1410" s="6">
        <v>17.32358072539455</v>
      </c>
      <c r="K1410" s="4">
        <v>0.584232208286234</v>
      </c>
      <c r="L1410" s="7">
        <v>1.224478435551174</v>
      </c>
      <c r="M1410" s="3">
        <v>51.4</v>
      </c>
      <c r="N1410" s="3">
        <v>31.85</v>
      </c>
    </row>
    <row r="1411" spans="1:14">
      <c r="A1411" s="8" t="s">
        <v>1423</v>
      </c>
      <c r="B1411" s="2">
        <f>HYPERLINK("https://www.suredividend.com/sure-analysis-research-database/","Icad Inc")</f>
        <v>0</v>
      </c>
      <c r="C1411" s="1" t="s">
        <v>3176</v>
      </c>
      <c r="D1411" s="3">
        <v>1.51</v>
      </c>
      <c r="E1411" s="4">
        <v>0</v>
      </c>
      <c r="F1411" s="4" t="s">
        <v>3178</v>
      </c>
      <c r="G1411" s="4" t="s">
        <v>3178</v>
      </c>
      <c r="H1411" s="3">
        <v>0</v>
      </c>
      <c r="I1411" s="5">
        <v>40.075445</v>
      </c>
      <c r="J1411" s="6" t="s">
        <v>3178</v>
      </c>
      <c r="K1411" s="4">
        <v>-0</v>
      </c>
      <c r="L1411" s="7">
        <v>1.793499238015238</v>
      </c>
      <c r="M1411" s="3">
        <v>3.97</v>
      </c>
      <c r="N1411" s="3">
        <v>1.14</v>
      </c>
    </row>
    <row r="1412" spans="1:14">
      <c r="A1412" s="8" t="s">
        <v>1424</v>
      </c>
      <c r="B1412" s="2">
        <f>HYPERLINK("https://www.suredividend.com/sure-analysis-research-database/","County Bancorp Inc")</f>
        <v>0</v>
      </c>
      <c r="C1412" s="1" t="s">
        <v>3180</v>
      </c>
      <c r="D1412" s="3">
        <v>35.25</v>
      </c>
      <c r="E1412" s="4">
        <v>0</v>
      </c>
      <c r="F1412" s="4" t="s">
        <v>3178</v>
      </c>
      <c r="G1412" s="4" t="s">
        <v>3178</v>
      </c>
      <c r="H1412" s="3">
        <v>0.400000005960464</v>
      </c>
      <c r="I1412" s="5">
        <v>0</v>
      </c>
      <c r="J1412" s="6">
        <v>0</v>
      </c>
      <c r="K1412" s="4" t="s">
        <v>3178</v>
      </c>
    </row>
    <row r="1413" spans="1:14">
      <c r="A1413" s="8" t="s">
        <v>1425</v>
      </c>
      <c r="B1413" s="2">
        <f>HYPERLINK("https://www.suredividend.com/sure-analysis-research-database/","Immucell Corp.")</f>
        <v>0</v>
      </c>
      <c r="C1413" s="1" t="s">
        <v>3176</v>
      </c>
      <c r="D1413" s="3">
        <v>4.49</v>
      </c>
      <c r="E1413" s="4">
        <v>0</v>
      </c>
      <c r="F1413" s="4" t="s">
        <v>3178</v>
      </c>
      <c r="G1413" s="4" t="s">
        <v>3178</v>
      </c>
      <c r="H1413" s="3">
        <v>0</v>
      </c>
      <c r="I1413" s="5">
        <v>35.075314</v>
      </c>
      <c r="J1413" s="6" t="s">
        <v>3178</v>
      </c>
      <c r="K1413" s="4">
        <v>-0</v>
      </c>
      <c r="M1413" s="3">
        <v>6.05</v>
      </c>
      <c r="N1413" s="3">
        <v>4.2</v>
      </c>
    </row>
    <row r="1414" spans="1:14">
      <c r="A1414" s="8" t="s">
        <v>1426</v>
      </c>
      <c r="B1414" s="2">
        <f>HYPERLINK("https://www.suredividend.com/sure-analysis-research-database/","Independence Contract Drilling Inc")</f>
        <v>0</v>
      </c>
      <c r="C1414" s="1" t="s">
        <v>3185</v>
      </c>
      <c r="D1414" s="3">
        <v>1.45</v>
      </c>
      <c r="E1414" s="4">
        <v>0</v>
      </c>
      <c r="F1414" s="4" t="s">
        <v>3178</v>
      </c>
      <c r="G1414" s="4" t="s">
        <v>3178</v>
      </c>
      <c r="H1414" s="3">
        <v>0</v>
      </c>
      <c r="I1414" s="5">
        <v>22.059252</v>
      </c>
      <c r="J1414" s="6" t="s">
        <v>3178</v>
      </c>
      <c r="K1414" s="4">
        <v>-0</v>
      </c>
      <c r="L1414" s="7">
        <v>0.124545511529326</v>
      </c>
      <c r="M1414" s="3">
        <v>3.45</v>
      </c>
      <c r="N1414" s="3">
        <v>1.29</v>
      </c>
    </row>
    <row r="1415" spans="1:14">
      <c r="A1415" s="8" t="s">
        <v>1427</v>
      </c>
      <c r="B1415" s="2">
        <f>HYPERLINK("https://www.suredividend.com/sure-analysis-ICE/","Intercontinental Exchange Inc")</f>
        <v>0</v>
      </c>
      <c r="C1415" s="1" t="s">
        <v>3180</v>
      </c>
      <c r="D1415" s="3">
        <v>133.79</v>
      </c>
      <c r="E1415" s="4">
        <v>0.01345392032289409</v>
      </c>
      <c r="F1415" s="4">
        <v>0.0714285714285714</v>
      </c>
      <c r="G1415" s="4">
        <v>0.1035092145999348</v>
      </c>
      <c r="H1415" s="3">
        <v>1.701393092243419</v>
      </c>
      <c r="I1415" s="5">
        <v>76739.88095799999</v>
      </c>
      <c r="J1415" s="6">
        <v>30.94350038637096</v>
      </c>
      <c r="K1415" s="4">
        <v>0.3902277734503254</v>
      </c>
      <c r="L1415" s="7">
        <v>0.726719381076806</v>
      </c>
      <c r="M1415" s="3">
        <v>139.97</v>
      </c>
      <c r="N1415" s="3">
        <v>103.78</v>
      </c>
    </row>
    <row r="1416" spans="1:14">
      <c r="A1416" s="8" t="s">
        <v>1428</v>
      </c>
      <c r="B1416" s="2">
        <f>HYPERLINK("https://www.suredividend.com/sure-analysis-research-database/","ICF International, Inc")</f>
        <v>0</v>
      </c>
      <c r="C1416" s="1" t="s">
        <v>3179</v>
      </c>
      <c r="D1416" s="3">
        <v>144.1</v>
      </c>
      <c r="E1416" s="4">
        <v>0.003874984640875</v>
      </c>
      <c r="F1416" s="4">
        <v>0</v>
      </c>
      <c r="G1416" s="4">
        <v>0</v>
      </c>
      <c r="H1416" s="3">
        <v>0.5583852867501751</v>
      </c>
      <c r="I1416" s="5">
        <v>2699.941034</v>
      </c>
      <c r="J1416" s="6">
        <v>28.86680388213533</v>
      </c>
      <c r="K1416" s="4">
        <v>0.1134929444614177</v>
      </c>
      <c r="L1416" s="7">
        <v>0.6004852356039051</v>
      </c>
      <c r="M1416" s="3">
        <v>157.4</v>
      </c>
      <c r="N1416" s="3">
        <v>113.61</v>
      </c>
    </row>
    <row r="1417" spans="1:14">
      <c r="A1417" s="8" t="s">
        <v>1429</v>
      </c>
      <c r="B1417" s="2">
        <f>HYPERLINK("https://www.suredividend.com/sure-analysis-research-database/","Ichor Holdings Ltd")</f>
        <v>0</v>
      </c>
      <c r="C1417" s="1" t="s">
        <v>3181</v>
      </c>
      <c r="D1417" s="3">
        <v>37.12</v>
      </c>
      <c r="E1417" s="4">
        <v>0</v>
      </c>
      <c r="F1417" s="4" t="s">
        <v>3178</v>
      </c>
      <c r="G1417" s="4" t="s">
        <v>3178</v>
      </c>
      <c r="H1417" s="3">
        <v>0</v>
      </c>
      <c r="I1417" s="5">
        <v>1242.598013</v>
      </c>
      <c r="J1417" s="6" t="s">
        <v>3178</v>
      </c>
      <c r="K1417" s="4">
        <v>-0</v>
      </c>
      <c r="L1417" s="7">
        <v>2.150565040944706</v>
      </c>
      <c r="M1417" s="3">
        <v>46.43</v>
      </c>
      <c r="N1417" s="3">
        <v>22.26</v>
      </c>
    </row>
    <row r="1418" spans="1:14">
      <c r="A1418" s="8" t="s">
        <v>1430</v>
      </c>
      <c r="B1418" s="2">
        <f>HYPERLINK("https://www.suredividend.com/sure-analysis-research-database/","Icon Energy Corp.")</f>
        <v>0</v>
      </c>
      <c r="C1418" s="1" t="s">
        <v>3182</v>
      </c>
      <c r="D1418" s="3">
        <v>3.15</v>
      </c>
      <c r="E1418" s="4">
        <v>0</v>
      </c>
      <c r="F1418" s="4" t="s">
        <v>3178</v>
      </c>
      <c r="G1418" s="4" t="s">
        <v>3178</v>
      </c>
      <c r="H1418" s="3">
        <v>0</v>
      </c>
      <c r="I1418" s="5">
        <v>0</v>
      </c>
      <c r="J1418" s="6">
        <v>0</v>
      </c>
      <c r="K1418" s="4" t="s">
        <v>3178</v>
      </c>
    </row>
    <row r="1419" spans="1:14">
      <c r="A1419" s="8" t="s">
        <v>1431</v>
      </c>
      <c r="B1419" s="2">
        <f>HYPERLINK("https://www.suredividend.com/sure-analysis-research-database/","Intercept Pharmaceuticals Inc")</f>
        <v>0</v>
      </c>
      <c r="C1419" s="1" t="s">
        <v>3176</v>
      </c>
      <c r="D1419" s="3">
        <v>19</v>
      </c>
      <c r="E1419" s="4">
        <v>0</v>
      </c>
      <c r="F1419" s="4" t="s">
        <v>3178</v>
      </c>
      <c r="G1419" s="4" t="s">
        <v>3178</v>
      </c>
      <c r="H1419" s="3">
        <v>0</v>
      </c>
      <c r="I1419" s="5">
        <v>0</v>
      </c>
      <c r="J1419" s="6">
        <v>0</v>
      </c>
      <c r="K1419" s="4">
        <v>-0</v>
      </c>
    </row>
    <row r="1420" spans="1:14">
      <c r="A1420" s="8" t="s">
        <v>1432</v>
      </c>
      <c r="B1420" s="2">
        <f>HYPERLINK("https://www.suredividend.com/sure-analysis-research-database/","ICU Medical, Inc.")</f>
        <v>0</v>
      </c>
      <c r="C1420" s="1" t="s">
        <v>3176</v>
      </c>
      <c r="D1420" s="3">
        <v>112.17</v>
      </c>
      <c r="E1420" s="4">
        <v>0</v>
      </c>
      <c r="F1420" s="4" t="s">
        <v>3178</v>
      </c>
      <c r="G1420" s="4" t="s">
        <v>3178</v>
      </c>
      <c r="H1420" s="3">
        <v>0</v>
      </c>
      <c r="I1420" s="5">
        <v>2733.133098</v>
      </c>
      <c r="J1420" s="6" t="s">
        <v>3178</v>
      </c>
      <c r="K1420" s="4">
        <v>-0</v>
      </c>
      <c r="L1420" s="7">
        <v>1.496248998829048</v>
      </c>
      <c r="M1420" s="3">
        <v>196.57</v>
      </c>
      <c r="N1420" s="3">
        <v>78.28</v>
      </c>
    </row>
    <row r="1421" spans="1:14">
      <c r="A1421" s="8" t="s">
        <v>1433</v>
      </c>
      <c r="B1421" s="2">
        <f>HYPERLINK("https://www.suredividend.com/sure-analysis-IDA/","Idacorp, Inc.")</f>
        <v>0</v>
      </c>
      <c r="C1421" s="1" t="s">
        <v>3186</v>
      </c>
      <c r="D1421" s="3">
        <v>91.73</v>
      </c>
      <c r="E1421" s="4">
        <v>0.03619317562411425</v>
      </c>
      <c r="F1421" s="4">
        <v>0.05063291139240511</v>
      </c>
      <c r="G1421" s="4">
        <v>0.05668978367952837</v>
      </c>
      <c r="H1421" s="3">
        <v>3.23772840266844</v>
      </c>
      <c r="I1421" s="5">
        <v>4883.439825</v>
      </c>
      <c r="J1421" s="6">
        <v>19.28155654088522</v>
      </c>
      <c r="K1421" s="4">
        <v>0.6501462655960722</v>
      </c>
      <c r="L1421" s="7">
        <v>0.459925588970892</v>
      </c>
      <c r="M1421" s="3">
        <v>103.11</v>
      </c>
      <c r="N1421" s="3">
        <v>85.68000000000001</v>
      </c>
    </row>
    <row r="1422" spans="1:14">
      <c r="A1422" s="8" t="s">
        <v>1434</v>
      </c>
      <c r="B1422" s="2">
        <f>HYPERLINK("https://www.suredividend.com/sure-analysis-research-database/","Interdigital Inc")</f>
        <v>0</v>
      </c>
      <c r="C1422" s="1" t="s">
        <v>3187</v>
      </c>
      <c r="D1422" s="3">
        <v>117.3</v>
      </c>
      <c r="E1422" s="4">
        <v>0.01305561465798</v>
      </c>
      <c r="F1422" s="4">
        <v>0.1428571428571428</v>
      </c>
      <c r="G1422" s="4">
        <v>0.02706608708935176</v>
      </c>
      <c r="H1422" s="3">
        <v>1.531423599381162</v>
      </c>
      <c r="I1422" s="5">
        <v>2960.123681</v>
      </c>
      <c r="J1422" s="6">
        <v>15.54180718883557</v>
      </c>
      <c r="K1422" s="4">
        <v>0.2238923390908132</v>
      </c>
      <c r="L1422" s="7">
        <v>1.123977089228866</v>
      </c>
      <c r="M1422" s="3">
        <v>118.86</v>
      </c>
      <c r="N1422" s="3">
        <v>73.47</v>
      </c>
    </row>
    <row r="1423" spans="1:14">
      <c r="A1423" s="8" t="s">
        <v>1435</v>
      </c>
      <c r="B1423" s="2">
        <f>HYPERLINK("https://www.suredividend.com/sure-analysis-research-database/","Intellicheck Inc")</f>
        <v>0</v>
      </c>
      <c r="C1423" s="1" t="s">
        <v>3181</v>
      </c>
      <c r="D1423" s="3">
        <v>3.5</v>
      </c>
      <c r="E1423" s="4">
        <v>0</v>
      </c>
      <c r="F1423" s="4" t="s">
        <v>3178</v>
      </c>
      <c r="G1423" s="4" t="s">
        <v>3178</v>
      </c>
      <c r="H1423" s="3">
        <v>0</v>
      </c>
      <c r="I1423" s="5">
        <v>68.137395</v>
      </c>
      <c r="J1423" s="6">
        <v>0</v>
      </c>
      <c r="K1423" s="4" t="s">
        <v>3178</v>
      </c>
      <c r="L1423" s="7">
        <v>0.6021182530269561</v>
      </c>
      <c r="M1423" s="3">
        <v>4.19</v>
      </c>
      <c r="N1423" s="3">
        <v>1.56</v>
      </c>
    </row>
    <row r="1424" spans="1:14">
      <c r="A1424" s="8" t="s">
        <v>1436</v>
      </c>
      <c r="B1424" s="2">
        <f>HYPERLINK("https://www.suredividend.com/sure-analysis-research-database/","IDT Corp.")</f>
        <v>0</v>
      </c>
      <c r="C1424" s="1" t="s">
        <v>3187</v>
      </c>
      <c r="D1424" s="3">
        <v>37.79</v>
      </c>
      <c r="E1424" s="4">
        <v>0.001323101369279</v>
      </c>
      <c r="F1424" s="4" t="s">
        <v>3178</v>
      </c>
      <c r="G1424" s="4" t="s">
        <v>3178</v>
      </c>
      <c r="H1424" s="3">
        <v>0.050000000745058</v>
      </c>
      <c r="I1424" s="5">
        <v>899.902755</v>
      </c>
      <c r="J1424" s="6">
        <v>24.35394861546372</v>
      </c>
      <c r="K1424" s="4">
        <v>0.03448275913452276</v>
      </c>
      <c r="L1424" s="7">
        <v>0.221546125717431</v>
      </c>
      <c r="M1424" s="3">
        <v>41.58</v>
      </c>
      <c r="N1424" s="3">
        <v>21.61</v>
      </c>
    </row>
    <row r="1425" spans="1:14">
      <c r="A1425" s="8" t="s">
        <v>1437</v>
      </c>
      <c r="B1425" s="2">
        <f>HYPERLINK("https://www.suredividend.com/sure-analysis-research-database/","Interpace Biosciences Inc")</f>
        <v>0</v>
      </c>
      <c r="C1425" s="1" t="s">
        <v>3176</v>
      </c>
      <c r="D1425" s="3">
        <v>1.47</v>
      </c>
      <c r="E1425" s="4">
        <v>0</v>
      </c>
      <c r="F1425" s="4" t="s">
        <v>3178</v>
      </c>
      <c r="G1425" s="4" t="s">
        <v>3178</v>
      </c>
      <c r="H1425" s="3">
        <v>0</v>
      </c>
      <c r="I1425" s="5">
        <v>6.424247</v>
      </c>
      <c r="J1425" s="6" t="s">
        <v>3178</v>
      </c>
      <c r="K1425" s="4">
        <v>-0</v>
      </c>
      <c r="M1425" s="3">
        <v>3.54</v>
      </c>
      <c r="N1425" s="3">
        <v>0.765</v>
      </c>
    </row>
    <row r="1426" spans="1:14">
      <c r="A1426" s="8" t="s">
        <v>1438</v>
      </c>
      <c r="B1426" s="2">
        <f>HYPERLINK("https://www.suredividend.com/sure-analysis-research-database/","Idexx Laboratories, Inc.")</f>
        <v>0</v>
      </c>
      <c r="C1426" s="1" t="s">
        <v>3176</v>
      </c>
      <c r="D1426" s="3">
        <v>497.51</v>
      </c>
      <c r="E1426" s="4">
        <v>0</v>
      </c>
      <c r="F1426" s="4" t="s">
        <v>3178</v>
      </c>
      <c r="G1426" s="4" t="s">
        <v>3178</v>
      </c>
      <c r="H1426" s="3">
        <v>0</v>
      </c>
      <c r="I1426" s="5">
        <v>41088.021553</v>
      </c>
      <c r="J1426" s="6">
        <v>47.41470832985793</v>
      </c>
      <c r="K1426" s="4">
        <v>0</v>
      </c>
      <c r="L1426" s="7">
        <v>1.446690767831554</v>
      </c>
      <c r="M1426" s="3">
        <v>583.39</v>
      </c>
      <c r="N1426" s="3">
        <v>372.5</v>
      </c>
    </row>
    <row r="1427" spans="1:14">
      <c r="A1427" s="8" t="s">
        <v>1439</v>
      </c>
      <c r="B1427" s="2">
        <f>HYPERLINK("https://www.suredividend.com/sure-analysis-research-database/","IEC Electronics Corp.")</f>
        <v>0</v>
      </c>
      <c r="C1427" s="1" t="s">
        <v>3181</v>
      </c>
      <c r="D1427" s="3">
        <v>15.34</v>
      </c>
      <c r="E1427" s="4">
        <v>0</v>
      </c>
      <c r="F1427" s="4" t="s">
        <v>3178</v>
      </c>
      <c r="G1427" s="4" t="s">
        <v>3178</v>
      </c>
      <c r="H1427" s="3">
        <v>0</v>
      </c>
      <c r="I1427" s="5">
        <v>0</v>
      </c>
      <c r="J1427" s="6">
        <v>0</v>
      </c>
      <c r="K1427" s="4" t="s">
        <v>3178</v>
      </c>
    </row>
    <row r="1428" spans="1:14">
      <c r="A1428" s="8" t="s">
        <v>1440</v>
      </c>
      <c r="B1428" s="2">
        <f>HYPERLINK("https://www.suredividend.com/sure-analysis-research-database/","IES Holdings Inc")</f>
        <v>0</v>
      </c>
      <c r="C1428" s="1" t="s">
        <v>3179</v>
      </c>
      <c r="D1428" s="3">
        <v>128.15</v>
      </c>
      <c r="E1428" s="4">
        <v>0</v>
      </c>
      <c r="F1428" s="4" t="s">
        <v>3178</v>
      </c>
      <c r="G1428" s="4" t="s">
        <v>3178</v>
      </c>
      <c r="H1428" s="3">
        <v>0</v>
      </c>
      <c r="I1428" s="5">
        <v>2594.199143</v>
      </c>
      <c r="J1428" s="6">
        <v>19.13097994646097</v>
      </c>
      <c r="K1428" s="4">
        <v>0</v>
      </c>
      <c r="L1428" s="7">
        <v>1.450689506861454</v>
      </c>
      <c r="M1428" s="3">
        <v>184.38</v>
      </c>
      <c r="N1428" s="3">
        <v>51.99</v>
      </c>
    </row>
    <row r="1429" spans="1:14">
      <c r="A1429" s="8" t="s">
        <v>1441</v>
      </c>
      <c r="B1429" s="2">
        <f>HYPERLINK("https://www.suredividend.com/sure-analysis-IEX/","Idex Corporation")</f>
        <v>0</v>
      </c>
      <c r="C1429" s="1" t="s">
        <v>3179</v>
      </c>
      <c r="D1429" s="3">
        <v>201.79</v>
      </c>
      <c r="E1429" s="4">
        <v>0.01367758560880123</v>
      </c>
      <c r="F1429" s="4">
        <v>0.078125</v>
      </c>
      <c r="G1429" s="4">
        <v>0.06653673185724296</v>
      </c>
      <c r="H1429" s="3">
        <v>2.59824750749359</v>
      </c>
      <c r="I1429" s="5">
        <v>15274.56508</v>
      </c>
      <c r="J1429" s="6">
        <v>26.44030652601696</v>
      </c>
      <c r="K1429" s="4">
        <v>0.3414254280543482</v>
      </c>
      <c r="L1429" s="7">
        <v>0.7603030930506951</v>
      </c>
      <c r="M1429" s="3">
        <v>245.6</v>
      </c>
      <c r="N1429" s="3">
        <v>182.64</v>
      </c>
    </row>
    <row r="1430" spans="1:14">
      <c r="A1430" s="8" t="s">
        <v>1442</v>
      </c>
      <c r="B1430" s="2">
        <f>HYPERLINK("https://www.suredividend.com/sure-analysis-research-database/","International Flavors &amp; Fragrances Inc.")</f>
        <v>0</v>
      </c>
      <c r="C1430" s="1" t="s">
        <v>3177</v>
      </c>
      <c r="D1430" s="3">
        <v>98.48</v>
      </c>
      <c r="E1430" s="4">
        <v>0.028363846864539</v>
      </c>
      <c r="F1430" s="4">
        <v>-0.5061728395061729</v>
      </c>
      <c r="G1430" s="4">
        <v>-0.1133597835641907</v>
      </c>
      <c r="H1430" s="3">
        <v>2.79327163921985</v>
      </c>
      <c r="I1430" s="5">
        <v>25146.921573</v>
      </c>
      <c r="J1430" s="6" t="s">
        <v>3178</v>
      </c>
      <c r="K1430" s="4" t="s">
        <v>3178</v>
      </c>
      <c r="L1430" s="7">
        <v>1.027890132233983</v>
      </c>
      <c r="M1430" s="3">
        <v>99.91</v>
      </c>
      <c r="N1430" s="3">
        <v>60.5</v>
      </c>
    </row>
    <row r="1431" spans="1:14">
      <c r="A1431" s="8" t="s">
        <v>1443</v>
      </c>
      <c r="B1431" s="2">
        <f>HYPERLINK("https://www.suredividend.com/sure-analysis-research-database/","Independence Holding Co.")</f>
        <v>0</v>
      </c>
      <c r="C1431" s="1" t="s">
        <v>3180</v>
      </c>
      <c r="D1431" s="3">
        <v>57.01</v>
      </c>
      <c r="E1431" s="4">
        <v>0.008747307487165</v>
      </c>
      <c r="F1431" s="4" t="s">
        <v>3178</v>
      </c>
      <c r="G1431" s="4" t="s">
        <v>3178</v>
      </c>
      <c r="H1431" s="3">
        <v>0.498683999843319</v>
      </c>
      <c r="I1431" s="5">
        <v>841.470108</v>
      </c>
      <c r="J1431" s="6">
        <v>8.01820104283196</v>
      </c>
      <c r="K1431" s="4">
        <v>0.06994165495698725</v>
      </c>
      <c r="L1431" s="7">
        <v>0.294151584909396</v>
      </c>
      <c r="M1431" s="3">
        <v>57.2</v>
      </c>
      <c r="N1431" s="3">
        <v>36.63</v>
      </c>
    </row>
    <row r="1432" spans="1:14">
      <c r="A1432" s="8" t="s">
        <v>1444</v>
      </c>
      <c r="B1432" s="2">
        <f>HYPERLINK("https://www.suredividend.com/sure-analysis-research-database/","Information Services Group Inc.")</f>
        <v>0</v>
      </c>
      <c r="C1432" s="1" t="s">
        <v>3181</v>
      </c>
      <c r="D1432" s="3">
        <v>3.15</v>
      </c>
      <c r="E1432" s="4">
        <v>0.042253300372622</v>
      </c>
      <c r="F1432" s="4" t="s">
        <v>3178</v>
      </c>
      <c r="G1432" s="4" t="s">
        <v>3178</v>
      </c>
      <c r="H1432" s="3">
        <v>0.133097896173761</v>
      </c>
      <c r="I1432" s="5">
        <v>153.295947</v>
      </c>
      <c r="J1432" s="6">
        <v>0</v>
      </c>
      <c r="K1432" s="4" t="s">
        <v>3178</v>
      </c>
      <c r="L1432" s="7">
        <v>0.938504972411467</v>
      </c>
      <c r="M1432" s="3">
        <v>5.59</v>
      </c>
      <c r="N1432" s="3">
        <v>2.93</v>
      </c>
    </row>
    <row r="1433" spans="1:14">
      <c r="A1433" s="8" t="s">
        <v>1445</v>
      </c>
      <c r="B1433" s="2">
        <f>HYPERLINK("https://www.suredividend.com/sure-analysis-research-database/","Insteel Industries, Inc.")</f>
        <v>0</v>
      </c>
      <c r="C1433" s="1" t="s">
        <v>3179</v>
      </c>
      <c r="D1433" s="3">
        <v>30.66</v>
      </c>
      <c r="E1433" s="4">
        <v>0.003908878904283</v>
      </c>
      <c r="F1433" s="4">
        <v>0</v>
      </c>
      <c r="G1433" s="4">
        <v>0</v>
      </c>
      <c r="H1433" s="3">
        <v>0.119846227205318</v>
      </c>
      <c r="I1433" s="5">
        <v>597.10537</v>
      </c>
      <c r="J1433" s="6">
        <v>24.61072336410848</v>
      </c>
      <c r="K1433" s="4">
        <v>0.09665018323009517</v>
      </c>
      <c r="L1433" s="7">
        <v>1.146213849452787</v>
      </c>
      <c r="M1433" s="3">
        <v>39.35</v>
      </c>
      <c r="N1433" s="3">
        <v>26.82</v>
      </c>
    </row>
    <row r="1434" spans="1:14">
      <c r="A1434" s="8" t="s">
        <v>1446</v>
      </c>
      <c r="B1434" s="2">
        <f>HYPERLINK("https://www.suredividend.com/sure-analysis-research-database/","i3 Verticals Inc")</f>
        <v>0</v>
      </c>
      <c r="C1434" s="1" t="s">
        <v>3181</v>
      </c>
      <c r="D1434" s="3">
        <v>19.09</v>
      </c>
      <c r="E1434" s="4">
        <v>0</v>
      </c>
      <c r="F1434" s="4" t="s">
        <v>3178</v>
      </c>
      <c r="G1434" s="4" t="s">
        <v>3178</v>
      </c>
      <c r="H1434" s="3">
        <v>0</v>
      </c>
      <c r="I1434" s="5">
        <v>447.081023</v>
      </c>
      <c r="J1434" s="6">
        <v>848.3510873814041</v>
      </c>
      <c r="K1434" s="4">
        <v>0</v>
      </c>
      <c r="L1434" s="7">
        <v>1.429130739624417</v>
      </c>
      <c r="M1434" s="3">
        <v>25.7</v>
      </c>
      <c r="N1434" s="3">
        <v>17.54</v>
      </c>
    </row>
    <row r="1435" spans="1:14">
      <c r="A1435" s="8" t="s">
        <v>1447</v>
      </c>
      <c r="B1435" s="2">
        <f>HYPERLINK("https://www.suredividend.com/sure-analysis-research-database/","IntriCon Corporation")</f>
        <v>0</v>
      </c>
      <c r="C1435" s="1" t="s">
        <v>3176</v>
      </c>
      <c r="D1435" s="3">
        <v>24.24</v>
      </c>
      <c r="E1435" s="4">
        <v>0</v>
      </c>
      <c r="F1435" s="4" t="s">
        <v>3178</v>
      </c>
      <c r="G1435" s="4" t="s">
        <v>3178</v>
      </c>
      <c r="H1435" s="3">
        <v>0</v>
      </c>
      <c r="I1435" s="5">
        <v>0</v>
      </c>
      <c r="J1435" s="6">
        <v>0</v>
      </c>
      <c r="K1435" s="4">
        <v>-0</v>
      </c>
    </row>
    <row r="1436" spans="1:14">
      <c r="A1436" s="8" t="s">
        <v>1448</v>
      </c>
      <c r="B1436" s="2">
        <f>HYPERLINK("https://www.suredividend.com/sure-analysis-IIPR/","Innovative Industrial Properties Inc")</f>
        <v>0</v>
      </c>
      <c r="C1436" s="1" t="s">
        <v>3183</v>
      </c>
      <c r="D1436" s="3">
        <v>106.88</v>
      </c>
      <c r="E1436" s="4">
        <v>0.06811377245508983</v>
      </c>
      <c r="F1436" s="4">
        <v>0.01111111111111107</v>
      </c>
      <c r="G1436" s="4">
        <v>0.1272345138316673</v>
      </c>
      <c r="H1436" s="3">
        <v>7.04237261463712</v>
      </c>
      <c r="I1436" s="5">
        <v>3027.765791</v>
      </c>
      <c r="J1436" s="6">
        <v>18.79549190738097</v>
      </c>
      <c r="K1436" s="4">
        <v>1.237675327704239</v>
      </c>
      <c r="L1436" s="7">
        <v>1.445152210378686</v>
      </c>
      <c r="M1436" s="3">
        <v>115.75</v>
      </c>
      <c r="N1436" s="3">
        <v>64.40000000000001</v>
      </c>
    </row>
    <row r="1437" spans="1:14">
      <c r="A1437" s="8" t="s">
        <v>1449</v>
      </c>
      <c r="B1437" s="2">
        <f>HYPERLINK("https://www.suredividend.com/sure-analysis-research-database/","Coherent Corp")</f>
        <v>0</v>
      </c>
      <c r="C1437" s="1" t="s">
        <v>3181</v>
      </c>
      <c r="D1437" s="3">
        <v>227.08</v>
      </c>
      <c r="E1437" s="4">
        <v>0.026224498293438</v>
      </c>
      <c r="F1437" s="4" t="s">
        <v>3178</v>
      </c>
      <c r="G1437" s="4" t="s">
        <v>3178</v>
      </c>
      <c r="H1437" s="3">
        <v>5.955059072473991</v>
      </c>
      <c r="I1437" s="5">
        <v>7105.479173</v>
      </c>
      <c r="J1437" s="6">
        <v>42.66683784344338</v>
      </c>
      <c r="K1437" s="4">
        <v>4.164376973758036</v>
      </c>
      <c r="M1437" s="3">
        <v>242.95</v>
      </c>
      <c r="N1437" s="3">
        <v>121.15</v>
      </c>
    </row>
    <row r="1438" spans="1:14">
      <c r="A1438" s="8" t="s">
        <v>1450</v>
      </c>
      <c r="B1438" s="2">
        <f>HYPERLINK("https://www.suredividend.com/sure-analysis-research-database/","Illumina Inc")</f>
        <v>0</v>
      </c>
      <c r="C1438" s="1" t="s">
        <v>3176</v>
      </c>
      <c r="D1438" s="3">
        <v>113.7</v>
      </c>
      <c r="E1438" s="4">
        <v>0</v>
      </c>
      <c r="F1438" s="4" t="s">
        <v>3178</v>
      </c>
      <c r="G1438" s="4" t="s">
        <v>3178</v>
      </c>
      <c r="H1438" s="3">
        <v>0</v>
      </c>
      <c r="I1438" s="5">
        <v>18112.41</v>
      </c>
      <c r="J1438" s="6" t="s">
        <v>3178</v>
      </c>
      <c r="K1438" s="4">
        <v>-0</v>
      </c>
      <c r="L1438" s="7">
        <v>1.44069078536017</v>
      </c>
      <c r="M1438" s="3">
        <v>212.49</v>
      </c>
      <c r="N1438" s="3">
        <v>89</v>
      </c>
    </row>
    <row r="1439" spans="1:14">
      <c r="A1439" s="8" t="s">
        <v>1451</v>
      </c>
      <c r="B1439" s="2">
        <f>HYPERLINK("https://www.suredividend.com/sure-analysis-research-database/","Industrial Logistics Properties Trust")</f>
        <v>0</v>
      </c>
      <c r="C1439" s="1" t="s">
        <v>3183</v>
      </c>
      <c r="D1439" s="3">
        <v>3.89</v>
      </c>
      <c r="E1439" s="4">
        <v>0.010216011275666</v>
      </c>
      <c r="F1439" s="4">
        <v>0</v>
      </c>
      <c r="G1439" s="4">
        <v>-0.5030677163120735</v>
      </c>
      <c r="H1439" s="3">
        <v>0.039740283862342</v>
      </c>
      <c r="I1439" s="5">
        <v>256.084652</v>
      </c>
      <c r="J1439" s="6" t="s">
        <v>3178</v>
      </c>
      <c r="K1439" s="4" t="s">
        <v>3178</v>
      </c>
      <c r="L1439" s="7">
        <v>2.072321090478342</v>
      </c>
      <c r="M1439" s="3">
        <v>4.84</v>
      </c>
      <c r="N1439" s="3">
        <v>1.83</v>
      </c>
    </row>
    <row r="1440" spans="1:14">
      <c r="A1440" s="8" t="s">
        <v>1452</v>
      </c>
      <c r="B1440" s="2">
        <f>HYPERLINK("https://www.suredividend.com/sure-analysis-research-database/","iMedia Brands Inc")</f>
        <v>0</v>
      </c>
      <c r="C1440" s="1" t="s">
        <v>3182</v>
      </c>
      <c r="D1440" s="3">
        <v>0.11</v>
      </c>
      <c r="E1440" s="4">
        <v>0</v>
      </c>
      <c r="F1440" s="4" t="s">
        <v>3178</v>
      </c>
      <c r="G1440" s="4" t="s">
        <v>3178</v>
      </c>
      <c r="H1440" s="3">
        <v>0</v>
      </c>
      <c r="I1440" s="5">
        <v>0</v>
      </c>
      <c r="J1440" s="6">
        <v>0</v>
      </c>
      <c r="K1440" s="4">
        <v>-0</v>
      </c>
    </row>
    <row r="1441" spans="1:14">
      <c r="A1441" s="8" t="s">
        <v>1453</v>
      </c>
      <c r="B1441" s="2">
        <f>HYPERLINK("https://www.suredividend.com/sure-analysis-research-database/","Immunogen, Inc.")</f>
        <v>0</v>
      </c>
      <c r="C1441" s="1" t="s">
        <v>3176</v>
      </c>
      <c r="D1441" s="3">
        <v>31.23</v>
      </c>
      <c r="E1441" s="4">
        <v>0</v>
      </c>
      <c r="F1441" s="4" t="s">
        <v>3178</v>
      </c>
      <c r="G1441" s="4" t="s">
        <v>3178</v>
      </c>
      <c r="H1441" s="3">
        <v>0</v>
      </c>
      <c r="I1441" s="5">
        <v>0</v>
      </c>
      <c r="J1441" s="6">
        <v>0</v>
      </c>
      <c r="K1441" s="4">
        <v>-0</v>
      </c>
    </row>
    <row r="1442" spans="1:14">
      <c r="A1442" s="8" t="s">
        <v>1454</v>
      </c>
      <c r="B1442" s="2">
        <f>HYPERLINK("https://www.suredividend.com/sure-analysis-research-database/","Impac Mortgage Holdings, Inc.")</f>
        <v>0</v>
      </c>
      <c r="C1442" s="1" t="s">
        <v>3180</v>
      </c>
      <c r="D1442" s="3">
        <v>0.2249</v>
      </c>
      <c r="E1442" s="4">
        <v>0</v>
      </c>
      <c r="F1442" s="4" t="s">
        <v>3178</v>
      </c>
      <c r="G1442" s="4" t="s">
        <v>3178</v>
      </c>
      <c r="H1442" s="3">
        <v>0</v>
      </c>
      <c r="I1442" s="5">
        <v>8.22434</v>
      </c>
      <c r="J1442" s="6" t="s">
        <v>3178</v>
      </c>
      <c r="K1442" s="4">
        <v>-0</v>
      </c>
      <c r="L1442" s="7">
        <v>0.9680639606954931</v>
      </c>
      <c r="M1442" s="3">
        <v>0.8815000000000001</v>
      </c>
      <c r="N1442" s="3">
        <v>0.12</v>
      </c>
    </row>
    <row r="1443" spans="1:14">
      <c r="A1443" s="8" t="s">
        <v>1455</v>
      </c>
      <c r="B1443" s="2">
        <f>HYPERLINK("https://www.suredividend.com/sure-analysis-research-database/","Ingles Markets, Inc.")</f>
        <v>0</v>
      </c>
      <c r="C1443" s="1" t="s">
        <v>3184</v>
      </c>
      <c r="D1443" s="3">
        <v>70.12</v>
      </c>
      <c r="E1443" s="4">
        <v>0.009353628038634001</v>
      </c>
      <c r="F1443" s="4">
        <v>0</v>
      </c>
      <c r="G1443" s="4">
        <v>0</v>
      </c>
      <c r="H1443" s="3">
        <v>0.655876398069076</v>
      </c>
      <c r="I1443" s="5">
        <v>1019.313404</v>
      </c>
      <c r="J1443" s="6">
        <v>5.785212707208975</v>
      </c>
      <c r="K1443" s="4">
        <v>0.07067633599882285</v>
      </c>
      <c r="L1443" s="7">
        <v>0.09055528960879601</v>
      </c>
      <c r="M1443" s="3">
        <v>88.84999999999999</v>
      </c>
      <c r="N1443" s="3">
        <v>69.62</v>
      </c>
    </row>
    <row r="1444" spans="1:14">
      <c r="A1444" s="8" t="s">
        <v>1456</v>
      </c>
      <c r="B1444" s="2">
        <f>HYPERLINK("https://www.suredividend.com/sure-analysis-research-database/","Immersion Corp")</f>
        <v>0</v>
      </c>
      <c r="C1444" s="1" t="s">
        <v>3181</v>
      </c>
      <c r="D1444" s="3">
        <v>9.73</v>
      </c>
      <c r="E1444" s="4">
        <v>0.015217494947511</v>
      </c>
      <c r="F1444" s="4" t="s">
        <v>3178</v>
      </c>
      <c r="G1444" s="4" t="s">
        <v>3178</v>
      </c>
      <c r="H1444" s="3">
        <v>0.148066225839282</v>
      </c>
      <c r="I1444" s="5">
        <v>309.947564</v>
      </c>
      <c r="J1444" s="6">
        <v>6.988198408450387</v>
      </c>
      <c r="K1444" s="4">
        <v>0.1072943665502044</v>
      </c>
      <c r="L1444" s="7">
        <v>0.656426329169542</v>
      </c>
      <c r="M1444" s="3">
        <v>10.27</v>
      </c>
      <c r="N1444" s="3">
        <v>5.83</v>
      </c>
    </row>
    <row r="1445" spans="1:14">
      <c r="A1445" s="8" t="s">
        <v>1457</v>
      </c>
      <c r="B1445" s="2">
        <f>HYPERLINK("https://www.suredividend.com/sure-analysis-research-database/","Immunic Inc")</f>
        <v>0</v>
      </c>
      <c r="C1445" s="1" t="s">
        <v>3176</v>
      </c>
      <c r="D1445" s="3">
        <v>1.23</v>
      </c>
      <c r="E1445" s="4">
        <v>0</v>
      </c>
      <c r="F1445" s="4" t="s">
        <v>3178</v>
      </c>
      <c r="G1445" s="4" t="s">
        <v>3178</v>
      </c>
      <c r="H1445" s="3">
        <v>0</v>
      </c>
      <c r="I1445" s="5">
        <v>110.79719</v>
      </c>
      <c r="J1445" s="6">
        <v>0</v>
      </c>
      <c r="K1445" s="4" t="s">
        <v>3178</v>
      </c>
      <c r="L1445" s="7">
        <v>2.107467980542941</v>
      </c>
      <c r="M1445" s="3">
        <v>3.11</v>
      </c>
      <c r="N1445" s="3">
        <v>0.9451000000000001</v>
      </c>
    </row>
    <row r="1446" spans="1:14">
      <c r="A1446" s="8" t="s">
        <v>1458</v>
      </c>
      <c r="B1446" s="2">
        <f>HYPERLINK("https://www.suredividend.com/sure-analysis-research-database/","International Money Express Inc.")</f>
        <v>0</v>
      </c>
      <c r="C1446" s="1" t="s">
        <v>3181</v>
      </c>
      <c r="D1446" s="3">
        <v>21.4</v>
      </c>
      <c r="E1446" s="4">
        <v>0</v>
      </c>
      <c r="F1446" s="4" t="s">
        <v>3178</v>
      </c>
      <c r="G1446" s="4" t="s">
        <v>3178</v>
      </c>
      <c r="H1446" s="3">
        <v>0</v>
      </c>
      <c r="I1446" s="5">
        <v>698.494695</v>
      </c>
      <c r="J1446" s="6">
        <v>11.66900039425984</v>
      </c>
      <c r="K1446" s="4">
        <v>0</v>
      </c>
      <c r="L1446" s="7">
        <v>1.042921573549076</v>
      </c>
      <c r="M1446" s="3">
        <v>26.25</v>
      </c>
      <c r="N1446" s="3">
        <v>15.76</v>
      </c>
    </row>
    <row r="1447" spans="1:14">
      <c r="A1447" s="8" t="s">
        <v>1459</v>
      </c>
      <c r="B1447" s="2">
        <f>HYPERLINK("https://www.suredividend.com/sure-analysis-research-database/","First Internet Bancorp")</f>
        <v>0</v>
      </c>
      <c r="C1447" s="1" t="s">
        <v>3180</v>
      </c>
      <c r="D1447" s="3">
        <v>28.39</v>
      </c>
      <c r="E1447" s="4">
        <v>0.008395628592958001</v>
      </c>
      <c r="F1447" s="4">
        <v>0</v>
      </c>
      <c r="G1447" s="4">
        <v>0</v>
      </c>
      <c r="H1447" s="3">
        <v>0.238351895754097</v>
      </c>
      <c r="I1447" s="5">
        <v>245.739695</v>
      </c>
      <c r="J1447" s="6">
        <v>0</v>
      </c>
      <c r="K1447" s="4" t="s">
        <v>3178</v>
      </c>
      <c r="L1447" s="7">
        <v>1.089819223614032</v>
      </c>
      <c r="M1447" s="3">
        <v>35.72</v>
      </c>
      <c r="N1447" s="3">
        <v>13.65</v>
      </c>
    </row>
    <row r="1448" spans="1:14">
      <c r="A1448" s="8" t="s">
        <v>1460</v>
      </c>
      <c r="B1448" s="2">
        <f>HYPERLINK("https://www.suredividend.com/sure-analysis-research-database/","Incyte Corp.")</f>
        <v>0</v>
      </c>
      <c r="C1448" s="1" t="s">
        <v>3176</v>
      </c>
      <c r="D1448" s="3">
        <v>59.16</v>
      </c>
      <c r="E1448" s="4">
        <v>0</v>
      </c>
      <c r="F1448" s="4" t="s">
        <v>3178</v>
      </c>
      <c r="G1448" s="4" t="s">
        <v>3178</v>
      </c>
      <c r="H1448" s="3">
        <v>0</v>
      </c>
      <c r="I1448" s="5">
        <v>13283.830829</v>
      </c>
      <c r="J1448" s="6">
        <v>17.820025151668</v>
      </c>
      <c r="K1448" s="4">
        <v>0</v>
      </c>
      <c r="L1448" s="7">
        <v>0.34789939104233</v>
      </c>
      <c r="M1448" s="3">
        <v>67.36</v>
      </c>
      <c r="N1448" s="3">
        <v>50.27</v>
      </c>
    </row>
    <row r="1449" spans="1:14">
      <c r="A1449" s="8" t="s">
        <v>1461</v>
      </c>
      <c r="B1449" s="2">
        <f>HYPERLINK("https://www.suredividend.com/sure-analysis-INDB/","Independent Bank Corp.")</f>
        <v>0</v>
      </c>
      <c r="C1449" s="1" t="s">
        <v>3180</v>
      </c>
      <c r="D1449" s="3">
        <v>49.67</v>
      </c>
      <c r="E1449" s="4">
        <v>0.04590295953291725</v>
      </c>
      <c r="F1449" s="4">
        <v>0.03636363636363638</v>
      </c>
      <c r="G1449" s="4">
        <v>0.0531359443684718</v>
      </c>
      <c r="H1449" s="3">
        <v>2.171980835987554</v>
      </c>
      <c r="I1449" s="5">
        <v>2109.274001</v>
      </c>
      <c r="J1449" s="6">
        <v>9.332038496537995</v>
      </c>
      <c r="K1449" s="4">
        <v>0.4184934173386423</v>
      </c>
      <c r="L1449" s="7">
        <v>1.031540056209632</v>
      </c>
      <c r="M1449" s="3">
        <v>67.36</v>
      </c>
      <c r="N1449" s="3">
        <v>41.92</v>
      </c>
    </row>
    <row r="1450" spans="1:14">
      <c r="A1450" s="8" t="s">
        <v>1462</v>
      </c>
      <c r="B1450" s="2">
        <f>HYPERLINK("https://www.suredividend.com/sure-analysis-research-database/","Infinity Pharmaceuticals Inc.")</f>
        <v>0</v>
      </c>
      <c r="C1450" s="1" t="s">
        <v>3176</v>
      </c>
      <c r="D1450" s="3">
        <v>0.016</v>
      </c>
      <c r="E1450" s="4">
        <v>0</v>
      </c>
      <c r="F1450" s="4" t="s">
        <v>3178</v>
      </c>
      <c r="G1450" s="4" t="s">
        <v>3178</v>
      </c>
      <c r="H1450" s="3">
        <v>0</v>
      </c>
      <c r="I1450" s="5">
        <v>0</v>
      </c>
      <c r="J1450" s="6">
        <v>0</v>
      </c>
      <c r="K1450" s="4">
        <v>-0</v>
      </c>
    </row>
    <row r="1451" spans="1:14">
      <c r="A1451" s="8" t="s">
        <v>1463</v>
      </c>
      <c r="B1451" s="2">
        <f>HYPERLINK("https://www.suredividend.com/sure-analysis-research-database/","Infinera Corp.")</f>
        <v>0</v>
      </c>
      <c r="C1451" s="1" t="s">
        <v>3181</v>
      </c>
      <c r="D1451" s="3">
        <v>5.41</v>
      </c>
      <c r="E1451" s="4">
        <v>0</v>
      </c>
      <c r="F1451" s="4" t="s">
        <v>3178</v>
      </c>
      <c r="G1451" s="4" t="s">
        <v>3178</v>
      </c>
      <c r="H1451" s="3">
        <v>0</v>
      </c>
      <c r="I1451" s="5">
        <v>1267.508711</v>
      </c>
      <c r="J1451" s="6" t="s">
        <v>3178</v>
      </c>
      <c r="K1451" s="4">
        <v>-0</v>
      </c>
      <c r="L1451" s="7">
        <v>2.190002519541341</v>
      </c>
      <c r="M1451" s="3">
        <v>6.62</v>
      </c>
      <c r="N1451" s="3">
        <v>2.82</v>
      </c>
    </row>
    <row r="1452" spans="1:14">
      <c r="A1452" s="8" t="s">
        <v>1464</v>
      </c>
      <c r="B1452" s="2">
        <f>HYPERLINK("https://www.suredividend.com/sure-analysis-research-database/","IHS Markit Ltd")</f>
        <v>0</v>
      </c>
      <c r="C1452" s="1" t="s">
        <v>3179</v>
      </c>
      <c r="D1452" s="3">
        <v>0.201</v>
      </c>
      <c r="E1452" s="4">
        <v>0.007346936805292001</v>
      </c>
      <c r="F1452" s="4" t="s">
        <v>3178</v>
      </c>
      <c r="G1452" s="4" t="s">
        <v>3178</v>
      </c>
      <c r="H1452" s="3">
        <v>0.797950806422791</v>
      </c>
      <c r="I1452" s="5">
        <v>45801.486922</v>
      </c>
      <c r="J1452" s="6">
        <v>37.95283967703016</v>
      </c>
      <c r="K1452" s="4">
        <v>0.2650999356886349</v>
      </c>
      <c r="M1452" s="3">
        <v>135.58</v>
      </c>
      <c r="N1452" s="3">
        <v>88.19</v>
      </c>
    </row>
    <row r="1453" spans="1:14">
      <c r="A1453" s="8" t="s">
        <v>1465</v>
      </c>
      <c r="B1453" s="2">
        <f>HYPERLINK("https://www.suredividend.com/sure-analysis-research-database/","InfuSystem Holdings Inc")</f>
        <v>0</v>
      </c>
      <c r="C1453" s="1" t="s">
        <v>3176</v>
      </c>
      <c r="D1453" s="3">
        <v>6.89</v>
      </c>
      <c r="E1453" s="4">
        <v>0</v>
      </c>
      <c r="F1453" s="4" t="s">
        <v>3178</v>
      </c>
      <c r="G1453" s="4" t="s">
        <v>3178</v>
      </c>
      <c r="H1453" s="3">
        <v>0</v>
      </c>
      <c r="I1453" s="5">
        <v>146.7243</v>
      </c>
      <c r="J1453" s="6">
        <v>0</v>
      </c>
      <c r="K1453" s="4" t="s">
        <v>3178</v>
      </c>
      <c r="L1453" s="7">
        <v>0.8127384203901431</v>
      </c>
      <c r="M1453" s="3">
        <v>11.44</v>
      </c>
      <c r="N1453" s="3">
        <v>6.25</v>
      </c>
    </row>
    <row r="1454" spans="1:14">
      <c r="A1454" s="8" t="s">
        <v>1466</v>
      </c>
      <c r="B1454" s="2">
        <f>HYPERLINK("https://www.suredividend.com/sure-analysis-research-database/","Inogen Inc")</f>
        <v>0</v>
      </c>
      <c r="C1454" s="1" t="s">
        <v>3176</v>
      </c>
      <c r="D1454" s="3">
        <v>8.640000000000001</v>
      </c>
      <c r="E1454" s="4">
        <v>0</v>
      </c>
      <c r="F1454" s="4" t="s">
        <v>3178</v>
      </c>
      <c r="G1454" s="4" t="s">
        <v>3178</v>
      </c>
      <c r="H1454" s="3">
        <v>0</v>
      </c>
      <c r="I1454" s="5">
        <v>203.706222</v>
      </c>
      <c r="J1454" s="6" t="s">
        <v>3178</v>
      </c>
      <c r="K1454" s="4">
        <v>-0</v>
      </c>
      <c r="L1454" s="7">
        <v>2.180532665662868</v>
      </c>
      <c r="M1454" s="3">
        <v>11.98</v>
      </c>
      <c r="N1454" s="3">
        <v>4.13</v>
      </c>
    </row>
    <row r="1455" spans="1:14">
      <c r="A1455" s="8" t="s">
        <v>1467</v>
      </c>
      <c r="B1455" s="2">
        <f>HYPERLINK("https://www.suredividend.com/sure-analysis-INGR/","Ingredion Inc")</f>
        <v>0</v>
      </c>
      <c r="C1455" s="1" t="s">
        <v>3184</v>
      </c>
      <c r="D1455" s="3">
        <v>115.94</v>
      </c>
      <c r="E1455" s="4">
        <v>0.02691047093324133</v>
      </c>
      <c r="F1455" s="4">
        <v>0.09859154929577474</v>
      </c>
      <c r="G1455" s="4">
        <v>0.04364022715043592</v>
      </c>
      <c r="H1455" s="3">
        <v>3.018846897077037</v>
      </c>
      <c r="I1455" s="5">
        <v>7611.169411</v>
      </c>
      <c r="J1455" s="6">
        <v>11.39396618398204</v>
      </c>
      <c r="K1455" s="4">
        <v>0.3024896690457953</v>
      </c>
      <c r="L1455" s="7">
        <v>0.434614500222629</v>
      </c>
      <c r="M1455" s="3">
        <v>122.18</v>
      </c>
      <c r="N1455" s="3">
        <v>88.31</v>
      </c>
    </row>
    <row r="1456" spans="1:14">
      <c r="A1456" s="8" t="s">
        <v>1468</v>
      </c>
      <c r="B1456" s="2">
        <f>HYPERLINK("https://www.suredividend.com/sure-analysis-research-database/","Summit Hotel Properties Inc")</f>
        <v>0</v>
      </c>
      <c r="C1456" s="1" t="s">
        <v>3183</v>
      </c>
      <c r="D1456" s="3">
        <v>5.99</v>
      </c>
      <c r="E1456" s="4">
        <v>0.042727382532648</v>
      </c>
      <c r="F1456" s="4" t="s">
        <v>3178</v>
      </c>
      <c r="G1456" s="4" t="s">
        <v>3178</v>
      </c>
      <c r="H1456" s="3">
        <v>0.255937021370567</v>
      </c>
      <c r="I1456" s="5">
        <v>648.071314</v>
      </c>
      <c r="J1456" s="6" t="s">
        <v>3178</v>
      </c>
      <c r="K1456" s="4" t="s">
        <v>3178</v>
      </c>
      <c r="L1456" s="7">
        <v>1.42684328276683</v>
      </c>
      <c r="M1456" s="3">
        <v>6.82</v>
      </c>
      <c r="N1456" s="3">
        <v>5.14</v>
      </c>
    </row>
    <row r="1457" spans="1:14">
      <c r="A1457" s="8" t="s">
        <v>1469</v>
      </c>
      <c r="B1457" s="2">
        <f>HYPERLINK("https://www.suredividend.com/sure-analysis-research-database/","Inovio Pharmaceuticals Inc")</f>
        <v>0</v>
      </c>
      <c r="C1457" s="1" t="s">
        <v>3176</v>
      </c>
      <c r="D1457" s="3">
        <v>9.59</v>
      </c>
      <c r="E1457" s="4">
        <v>0</v>
      </c>
      <c r="F1457" s="4" t="s">
        <v>3178</v>
      </c>
      <c r="G1457" s="4" t="s">
        <v>3178</v>
      </c>
      <c r="H1457" s="3">
        <v>0</v>
      </c>
      <c r="I1457" s="5">
        <v>248.483623</v>
      </c>
      <c r="J1457" s="6" t="s">
        <v>3178</v>
      </c>
      <c r="K1457" s="4">
        <v>-0</v>
      </c>
      <c r="L1457" s="7">
        <v>1.744853947072998</v>
      </c>
      <c r="M1457" s="3">
        <v>14.75</v>
      </c>
      <c r="N1457" s="3">
        <v>3.89</v>
      </c>
    </row>
    <row r="1458" spans="1:14">
      <c r="A1458" s="8" t="s">
        <v>1470</v>
      </c>
      <c r="B1458" s="2">
        <f>HYPERLINK("https://www.suredividend.com/sure-analysis-research-database/","Innodata Inc")</f>
        <v>0</v>
      </c>
      <c r="C1458" s="1" t="s">
        <v>3181</v>
      </c>
      <c r="D1458" s="3">
        <v>14.56</v>
      </c>
      <c r="E1458" s="4">
        <v>0</v>
      </c>
      <c r="F1458" s="4" t="s">
        <v>3178</v>
      </c>
      <c r="G1458" s="4" t="s">
        <v>3178</v>
      </c>
      <c r="H1458" s="3">
        <v>0</v>
      </c>
      <c r="I1458" s="5">
        <v>418.641845</v>
      </c>
      <c r="J1458" s="6">
        <v>190.5515910059172</v>
      </c>
      <c r="K1458" s="4">
        <v>0</v>
      </c>
      <c r="L1458" s="7">
        <v>2.461889623666851</v>
      </c>
      <c r="M1458" s="3">
        <v>15.74</v>
      </c>
      <c r="N1458" s="3">
        <v>5.46</v>
      </c>
    </row>
    <row r="1459" spans="1:14">
      <c r="A1459" s="8" t="s">
        <v>1471</v>
      </c>
      <c r="B1459" s="2">
        <f>HYPERLINK("https://www.suredividend.com/sure-analysis-research-database/","Innovator ETFs Trust")</f>
        <v>0</v>
      </c>
      <c r="C1459" s="1" t="s">
        <v>3176</v>
      </c>
      <c r="D1459" s="3">
        <v>28.5388</v>
      </c>
      <c r="E1459" s="4">
        <v>0</v>
      </c>
      <c r="F1459" s="4" t="s">
        <v>3178</v>
      </c>
      <c r="G1459" s="4" t="s">
        <v>3178</v>
      </c>
      <c r="H1459" s="3">
        <v>0</v>
      </c>
      <c r="I1459" s="5">
        <v>3.56735</v>
      </c>
      <c r="J1459" s="6">
        <v>0</v>
      </c>
      <c r="K1459" s="4" t="s">
        <v>3178</v>
      </c>
      <c r="L1459" s="7">
        <v>0.4035725905180511</v>
      </c>
      <c r="M1459" s="3">
        <v>29</v>
      </c>
      <c r="N1459" s="3">
        <v>24.97</v>
      </c>
    </row>
    <row r="1460" spans="1:14">
      <c r="A1460" s="8" t="s">
        <v>1472</v>
      </c>
      <c r="B1460" s="2">
        <f>HYPERLINK("https://www.suredividend.com/sure-analysis-research-database/","CoreCard Corporation")</f>
        <v>0</v>
      </c>
      <c r="C1460" s="1" t="s">
        <v>3181</v>
      </c>
      <c r="D1460" s="3">
        <v>40.15</v>
      </c>
      <c r="E1460" s="4">
        <v>0</v>
      </c>
      <c r="F1460" s="4" t="s">
        <v>3178</v>
      </c>
      <c r="G1460" s="4" t="s">
        <v>3178</v>
      </c>
      <c r="H1460" s="3">
        <v>0</v>
      </c>
      <c r="I1460" s="5">
        <v>349.327845</v>
      </c>
      <c r="J1460" s="6">
        <v>0</v>
      </c>
      <c r="K1460" s="4" t="s">
        <v>3178</v>
      </c>
      <c r="L1460" s="7">
        <v>0.8549803835434201</v>
      </c>
      <c r="M1460" s="3">
        <v>54.58</v>
      </c>
      <c r="N1460" s="3">
        <v>30.52</v>
      </c>
    </row>
    <row r="1461" spans="1:14">
      <c r="A1461" s="8" t="s">
        <v>1473</v>
      </c>
      <c r="B1461" s="2">
        <f>HYPERLINK("https://www.suredividend.com/sure-analysis-research-database/","Inspired Entertainment Inc")</f>
        <v>0</v>
      </c>
      <c r="C1461" s="1" t="s">
        <v>3187</v>
      </c>
      <c r="D1461" s="3">
        <v>9.15</v>
      </c>
      <c r="E1461" s="4">
        <v>0</v>
      </c>
      <c r="F1461" s="4" t="s">
        <v>3178</v>
      </c>
      <c r="G1461" s="4" t="s">
        <v>3178</v>
      </c>
      <c r="H1461" s="3">
        <v>0</v>
      </c>
      <c r="I1461" s="5">
        <v>243.127468</v>
      </c>
      <c r="J1461" s="6">
        <v>31.99045634210526</v>
      </c>
      <c r="K1461" s="4">
        <v>0</v>
      </c>
      <c r="L1461" s="7">
        <v>1.774038524280706</v>
      </c>
      <c r="M1461" s="3">
        <v>15.25</v>
      </c>
      <c r="N1461" s="3">
        <v>6.12</v>
      </c>
    </row>
    <row r="1462" spans="1:14">
      <c r="A1462" s="8" t="s">
        <v>1474</v>
      </c>
      <c r="B1462" s="2">
        <f>HYPERLINK("https://www.suredividend.com/sure-analysis-research-database/","Inseego Corp")</f>
        <v>0</v>
      </c>
      <c r="C1462" s="1" t="s">
        <v>3181</v>
      </c>
      <c r="D1462" s="3">
        <v>7.86</v>
      </c>
      <c r="E1462" s="4">
        <v>0</v>
      </c>
      <c r="F1462" s="4" t="s">
        <v>3178</v>
      </c>
      <c r="G1462" s="4" t="s">
        <v>3178</v>
      </c>
      <c r="H1462" s="3">
        <v>0</v>
      </c>
      <c r="I1462" s="5">
        <v>93.39997099999999</v>
      </c>
      <c r="J1462" s="6" t="s">
        <v>3178</v>
      </c>
      <c r="K1462" s="4">
        <v>-0</v>
      </c>
      <c r="L1462" s="7">
        <v>1.718044093587585</v>
      </c>
      <c r="M1462" s="3">
        <v>11.17</v>
      </c>
      <c r="N1462" s="3">
        <v>1.62</v>
      </c>
    </row>
    <row r="1463" spans="1:14">
      <c r="A1463" s="8" t="s">
        <v>1475</v>
      </c>
      <c r="B1463" s="2">
        <f>HYPERLINK("https://www.suredividend.com/sure-analysis-research-database/","Insmed Inc")</f>
        <v>0</v>
      </c>
      <c r="C1463" s="1" t="s">
        <v>3176</v>
      </c>
      <c r="D1463" s="3">
        <v>56.85</v>
      </c>
      <c r="E1463" s="4">
        <v>0</v>
      </c>
      <c r="F1463" s="4" t="s">
        <v>3178</v>
      </c>
      <c r="G1463" s="4" t="s">
        <v>3178</v>
      </c>
      <c r="H1463" s="3">
        <v>0</v>
      </c>
      <c r="I1463" s="5">
        <v>8448.168554</v>
      </c>
      <c r="J1463" s="6" t="s">
        <v>3178</v>
      </c>
      <c r="K1463" s="4">
        <v>-0</v>
      </c>
      <c r="M1463" s="3">
        <v>58.99</v>
      </c>
      <c r="N1463" s="3">
        <v>18.77</v>
      </c>
    </row>
    <row r="1464" spans="1:14">
      <c r="A1464" s="8" t="s">
        <v>1476</v>
      </c>
      <c r="B1464" s="2">
        <f>HYPERLINK("https://www.suredividend.com/sure-analysis-research-database/","Inspire Medical Systems Inc")</f>
        <v>0</v>
      </c>
      <c r="C1464" s="1" t="s">
        <v>3176</v>
      </c>
      <c r="D1464" s="3">
        <v>157.79</v>
      </c>
      <c r="E1464" s="4">
        <v>0</v>
      </c>
      <c r="F1464" s="4" t="s">
        <v>3178</v>
      </c>
      <c r="G1464" s="4" t="s">
        <v>3178</v>
      </c>
      <c r="H1464" s="3">
        <v>0</v>
      </c>
      <c r="I1464" s="5">
        <v>4688.106264</v>
      </c>
      <c r="J1464" s="6" t="s">
        <v>3178</v>
      </c>
      <c r="K1464" s="4">
        <v>-0</v>
      </c>
      <c r="L1464" s="7">
        <v>1.701156411473529</v>
      </c>
      <c r="M1464" s="3">
        <v>330</v>
      </c>
      <c r="N1464" s="3">
        <v>123.27</v>
      </c>
    </row>
    <row r="1465" spans="1:14">
      <c r="A1465" s="8" t="s">
        <v>1477</v>
      </c>
      <c r="B1465" s="2">
        <f>HYPERLINK("https://www.suredividend.com/sure-analysis-research-database/","Instructure Holdings Inc")</f>
        <v>0</v>
      </c>
      <c r="C1465" s="1" t="s">
        <v>3178</v>
      </c>
      <c r="D1465" s="3">
        <v>22.1</v>
      </c>
      <c r="E1465" s="4">
        <v>0</v>
      </c>
      <c r="F1465" s="4" t="s">
        <v>3178</v>
      </c>
      <c r="G1465" s="4" t="s">
        <v>3178</v>
      </c>
      <c r="H1465" s="3">
        <v>0</v>
      </c>
      <c r="I1465" s="5">
        <v>3225.005772</v>
      </c>
      <c r="J1465" s="6" t="s">
        <v>3178</v>
      </c>
      <c r="K1465" s="4">
        <v>-0</v>
      </c>
      <c r="L1465" s="7">
        <v>0.9743022964754111</v>
      </c>
      <c r="M1465" s="3">
        <v>28.5</v>
      </c>
      <c r="N1465" s="3">
        <v>18.98</v>
      </c>
    </row>
    <row r="1466" spans="1:14">
      <c r="A1466" s="8" t="s">
        <v>1478</v>
      </c>
      <c r="B1466" s="2">
        <f>HYPERLINK("https://www.suredividend.com/sure-analysis-research-database/","International Seaways Inc")</f>
        <v>0</v>
      </c>
      <c r="C1466" s="1" t="s">
        <v>3179</v>
      </c>
      <c r="D1466" s="3">
        <v>61.66</v>
      </c>
      <c r="E1466" s="4">
        <v>0.090615631924628</v>
      </c>
      <c r="F1466" s="4">
        <v>0</v>
      </c>
      <c r="G1466" s="4">
        <v>0.1486983549970351</v>
      </c>
      <c r="H1466" s="3">
        <v>5.587359864472622</v>
      </c>
      <c r="I1466" s="5">
        <v>3044.343681</v>
      </c>
      <c r="J1466" s="6">
        <v>5.762495539832256</v>
      </c>
      <c r="K1466" s="4">
        <v>0.5221831649039834</v>
      </c>
      <c r="L1466" s="7">
        <v>0.170169866662063</v>
      </c>
      <c r="M1466" s="3">
        <v>65.94</v>
      </c>
      <c r="N1466" s="3">
        <v>34.5</v>
      </c>
    </row>
    <row r="1467" spans="1:14">
      <c r="A1467" s="8" t="s">
        <v>1479</v>
      </c>
      <c r="B1467" s="2">
        <f>HYPERLINK("https://www.suredividend.com/sure-analysis-research-database/","Intel Corp.")</f>
        <v>0</v>
      </c>
      <c r="C1467" s="1" t="s">
        <v>3181</v>
      </c>
      <c r="D1467" s="3">
        <v>30.74</v>
      </c>
      <c r="E1467" s="4">
        <v>0.016117043250347</v>
      </c>
      <c r="F1467" s="4">
        <v>0</v>
      </c>
      <c r="G1467" s="4">
        <v>-0.1764703979923089</v>
      </c>
      <c r="H1467" s="3">
        <v>0.4954379095156871</v>
      </c>
      <c r="I1467" s="5">
        <v>130860.18</v>
      </c>
      <c r="J1467" s="6">
        <v>32.18400885391048</v>
      </c>
      <c r="K1467" s="4">
        <v>0.5159199307671426</v>
      </c>
      <c r="L1467" s="7">
        <v>1.447779928876394</v>
      </c>
      <c r="M1467" s="3">
        <v>50.72</v>
      </c>
      <c r="N1467" s="3">
        <v>29.73</v>
      </c>
    </row>
    <row r="1468" spans="1:14">
      <c r="A1468" s="8" t="s">
        <v>1480</v>
      </c>
      <c r="B1468" s="2">
        <f>HYPERLINK("https://www.suredividend.com/sure-analysis-research-database/","Intergroup Corp.")</f>
        <v>0</v>
      </c>
      <c r="C1468" s="1" t="s">
        <v>3182</v>
      </c>
      <c r="D1468" s="3">
        <v>20.76</v>
      </c>
      <c r="E1468" s="4">
        <v>0</v>
      </c>
      <c r="F1468" s="4" t="s">
        <v>3178</v>
      </c>
      <c r="G1468" s="4" t="s">
        <v>3178</v>
      </c>
      <c r="H1468" s="3">
        <v>0</v>
      </c>
      <c r="I1468" s="5">
        <v>45.406563</v>
      </c>
      <c r="J1468" s="6">
        <v>0</v>
      </c>
      <c r="K1468" s="4" t="s">
        <v>3178</v>
      </c>
      <c r="M1468" s="3">
        <v>38.73</v>
      </c>
      <c r="N1468" s="3">
        <v>16.27</v>
      </c>
    </row>
    <row r="1469" spans="1:14">
      <c r="A1469" s="8" t="s">
        <v>1481</v>
      </c>
      <c r="B1469" s="2">
        <f>HYPERLINK("https://www.suredividend.com/sure-analysis-research-database/","Northern Lights Fund Trust IV")</f>
        <v>0</v>
      </c>
      <c r="C1469" s="1" t="s">
        <v>3180</v>
      </c>
      <c r="D1469" s="3">
        <v>22.6327</v>
      </c>
      <c r="E1469" s="4">
        <v>0.02767489770674</v>
      </c>
      <c r="F1469" s="4" t="s">
        <v>3178</v>
      </c>
      <c r="G1469" s="4" t="s">
        <v>3178</v>
      </c>
      <c r="H1469" s="3">
        <v>0.6263576573273431</v>
      </c>
      <c r="I1469" s="5">
        <v>117.69004</v>
      </c>
      <c r="J1469" s="6">
        <v>0</v>
      </c>
      <c r="K1469" s="4" t="s">
        <v>3178</v>
      </c>
      <c r="L1469" s="7">
        <v>0.8889171023940781</v>
      </c>
      <c r="M1469" s="3">
        <v>23.58</v>
      </c>
      <c r="N1469" s="3">
        <v>18.45</v>
      </c>
    </row>
    <row r="1470" spans="1:14">
      <c r="A1470" s="8" t="s">
        <v>1482</v>
      </c>
      <c r="B1470" s="2">
        <f>HYPERLINK("https://www.suredividend.com/sure-analysis-research-database/","Intest Corp.")</f>
        <v>0</v>
      </c>
      <c r="C1470" s="1" t="s">
        <v>3181</v>
      </c>
      <c r="D1470" s="3">
        <v>9.41</v>
      </c>
      <c r="E1470" s="4">
        <v>0</v>
      </c>
      <c r="F1470" s="4" t="s">
        <v>3178</v>
      </c>
      <c r="G1470" s="4" t="s">
        <v>3178</v>
      </c>
      <c r="H1470" s="3">
        <v>0</v>
      </c>
      <c r="I1470" s="5">
        <v>117.527531</v>
      </c>
      <c r="J1470" s="6">
        <v>0</v>
      </c>
      <c r="K1470" s="4" t="s">
        <v>3178</v>
      </c>
      <c r="L1470" s="7">
        <v>1.535282342078899</v>
      </c>
      <c r="M1470" s="3">
        <v>27.17</v>
      </c>
      <c r="N1470" s="3">
        <v>9.109999999999999</v>
      </c>
    </row>
    <row r="1471" spans="1:14">
      <c r="A1471" s="8" t="s">
        <v>1483</v>
      </c>
      <c r="B1471" s="2">
        <f>HYPERLINK("https://www.suredividend.com/sure-analysis-INTU/","Intuit Inc")</f>
        <v>0</v>
      </c>
      <c r="C1471" s="1" t="s">
        <v>3181</v>
      </c>
      <c r="D1471" s="3">
        <v>573.9</v>
      </c>
      <c r="E1471" s="4">
        <v>0.006272869837950863</v>
      </c>
      <c r="F1471" s="4">
        <v>0.1538461538461537</v>
      </c>
      <c r="G1471" s="4">
        <v>0.1117146479648663</v>
      </c>
      <c r="H1471" s="3">
        <v>3.465077385063404</v>
      </c>
      <c r="I1471" s="5">
        <v>160432.0233</v>
      </c>
      <c r="J1471" s="6">
        <v>52.22396591796875</v>
      </c>
      <c r="K1471" s="4">
        <v>0.3196565853379524</v>
      </c>
      <c r="L1471" s="7">
        <v>1.481876124523893</v>
      </c>
      <c r="M1471" s="3">
        <v>676.62</v>
      </c>
      <c r="N1471" s="3">
        <v>429.08</v>
      </c>
    </row>
    <row r="1472" spans="1:14">
      <c r="A1472" s="8" t="s">
        <v>1484</v>
      </c>
      <c r="B1472" s="2">
        <f>HYPERLINK("https://www.suredividend.com/sure-analysis-research-database/","Inuvo Inc")</f>
        <v>0</v>
      </c>
      <c r="C1472" s="1" t="s">
        <v>3187</v>
      </c>
      <c r="D1472" s="3">
        <v>0.244</v>
      </c>
      <c r="E1472" s="4">
        <v>0</v>
      </c>
      <c r="F1472" s="4" t="s">
        <v>3178</v>
      </c>
      <c r="G1472" s="4" t="s">
        <v>3178</v>
      </c>
      <c r="H1472" s="3">
        <v>0</v>
      </c>
      <c r="I1472" s="5">
        <v>34.131696</v>
      </c>
      <c r="J1472" s="6">
        <v>0</v>
      </c>
      <c r="K1472" s="4" t="s">
        <v>3178</v>
      </c>
      <c r="L1472" s="7">
        <v>0.9306947764968641</v>
      </c>
      <c r="M1472" s="3">
        <v>0.5700000000000001</v>
      </c>
      <c r="N1472" s="3">
        <v>0.1228</v>
      </c>
    </row>
    <row r="1473" spans="1:14">
      <c r="A1473" s="8" t="s">
        <v>1485</v>
      </c>
      <c r="B1473" s="2">
        <f>HYPERLINK("https://www.suredividend.com/sure-analysis-research-database/","Innoviva Inc")</f>
        <v>0</v>
      </c>
      <c r="C1473" s="1" t="s">
        <v>3176</v>
      </c>
      <c r="D1473" s="3">
        <v>16.14</v>
      </c>
      <c r="E1473" s="4">
        <v>0</v>
      </c>
      <c r="F1473" s="4" t="s">
        <v>3178</v>
      </c>
      <c r="G1473" s="4" t="s">
        <v>3178</v>
      </c>
      <c r="H1473" s="3">
        <v>0</v>
      </c>
      <c r="I1473" s="5">
        <v>1007.858717</v>
      </c>
      <c r="J1473" s="6">
        <v>5.556338680515356</v>
      </c>
      <c r="K1473" s="4">
        <v>0</v>
      </c>
      <c r="L1473" s="7">
        <v>0.5865075024777781</v>
      </c>
      <c r="M1473" s="3">
        <v>16.86</v>
      </c>
      <c r="N1473" s="3">
        <v>12.22</v>
      </c>
    </row>
    <row r="1474" spans="1:14">
      <c r="A1474" s="8" t="s">
        <v>1486</v>
      </c>
      <c r="B1474" s="2">
        <f>HYPERLINK("https://www.suredividend.com/sure-analysis-research-database/","Identiv Inc")</f>
        <v>0</v>
      </c>
      <c r="C1474" s="1" t="s">
        <v>3181</v>
      </c>
      <c r="D1474" s="3">
        <v>4.11</v>
      </c>
      <c r="E1474" s="4">
        <v>0</v>
      </c>
      <c r="F1474" s="4" t="s">
        <v>3178</v>
      </c>
      <c r="G1474" s="4" t="s">
        <v>3178</v>
      </c>
      <c r="H1474" s="3">
        <v>0</v>
      </c>
      <c r="I1474" s="5">
        <v>96.101906</v>
      </c>
      <c r="J1474" s="6" t="s">
        <v>3178</v>
      </c>
      <c r="K1474" s="4">
        <v>-0</v>
      </c>
      <c r="L1474" s="7">
        <v>0.949333534794718</v>
      </c>
      <c r="M1474" s="3">
        <v>9.26</v>
      </c>
      <c r="N1474" s="3">
        <v>4.01</v>
      </c>
    </row>
    <row r="1475" spans="1:14">
      <c r="A1475" s="8" t="s">
        <v>1487</v>
      </c>
      <c r="B1475" s="2">
        <f>HYPERLINK("https://www.suredividend.com/sure-analysis-INVH/","Invitation Homes Inc")</f>
        <v>0</v>
      </c>
      <c r="C1475" s="1" t="s">
        <v>3183</v>
      </c>
      <c r="D1475" s="3">
        <v>35.01</v>
      </c>
      <c r="E1475" s="4">
        <v>0.0319908597543559</v>
      </c>
      <c r="F1475" s="4">
        <v>0.07692307692307709</v>
      </c>
      <c r="G1475" s="4">
        <v>0.1658506946484593</v>
      </c>
      <c r="H1475" s="3">
        <v>1.067164306592981</v>
      </c>
      <c r="I1475" s="5">
        <v>21444.873071</v>
      </c>
      <c r="J1475" s="6">
        <v>39.64950897086312</v>
      </c>
      <c r="K1475" s="4">
        <v>1.210623149850234</v>
      </c>
      <c r="L1475" s="7">
        <v>0.975514339872059</v>
      </c>
      <c r="M1475" s="3">
        <v>35.8</v>
      </c>
      <c r="N1475" s="3">
        <v>27.8</v>
      </c>
    </row>
    <row r="1476" spans="1:14">
      <c r="A1476" s="8" t="s">
        <v>1488</v>
      </c>
      <c r="B1476" s="2">
        <f>HYPERLINK("https://www.suredividend.com/sure-analysis-research-database/","ION Geophysical Corp")</f>
        <v>0</v>
      </c>
      <c r="C1476" s="1" t="s">
        <v>3185</v>
      </c>
      <c r="D1476" s="3">
        <v>0.345</v>
      </c>
      <c r="E1476" s="4">
        <v>0</v>
      </c>
      <c r="F1476" s="4" t="s">
        <v>3178</v>
      </c>
      <c r="G1476" s="4" t="s">
        <v>3178</v>
      </c>
      <c r="H1476" s="3">
        <v>0</v>
      </c>
      <c r="I1476" s="5">
        <v>10.217879</v>
      </c>
      <c r="J1476" s="6" t="s">
        <v>3178</v>
      </c>
      <c r="K1476" s="4">
        <v>-0</v>
      </c>
      <c r="L1476" s="7">
        <v>-0.03874677942113</v>
      </c>
      <c r="M1476" s="3">
        <v>2.67</v>
      </c>
      <c r="N1476" s="3">
        <v>0.3</v>
      </c>
    </row>
    <row r="1477" spans="1:14">
      <c r="A1477" s="8" t="s">
        <v>1489</v>
      </c>
      <c r="B1477" s="2">
        <f>HYPERLINK("https://www.suredividend.com/sure-analysis-research-database/","Ionis Pharmaceuticals Inc")</f>
        <v>0</v>
      </c>
      <c r="C1477" s="1" t="s">
        <v>3176</v>
      </c>
      <c r="D1477" s="3">
        <v>38.95</v>
      </c>
      <c r="E1477" s="4">
        <v>0</v>
      </c>
      <c r="F1477" s="4" t="s">
        <v>3178</v>
      </c>
      <c r="G1477" s="4" t="s">
        <v>3178</v>
      </c>
      <c r="H1477" s="3">
        <v>0</v>
      </c>
      <c r="I1477" s="5">
        <v>5685.351317</v>
      </c>
      <c r="J1477" s="6" t="s">
        <v>3178</v>
      </c>
      <c r="K1477" s="4">
        <v>-0</v>
      </c>
      <c r="L1477" s="7">
        <v>0.542600692047969</v>
      </c>
      <c r="M1477" s="3">
        <v>54.44</v>
      </c>
      <c r="N1477" s="3">
        <v>35.95</v>
      </c>
    </row>
    <row r="1478" spans="1:14">
      <c r="A1478" s="8" t="s">
        <v>1490</v>
      </c>
      <c r="B1478" s="2">
        <f>HYPERLINK("https://www.suredividend.com/sure-analysis-research-database/","Income Opportunity Realty Investors, Inc.")</f>
        <v>0</v>
      </c>
      <c r="C1478" s="1" t="s">
        <v>3180</v>
      </c>
      <c r="D1478" s="3">
        <v>16.25</v>
      </c>
      <c r="E1478" s="4">
        <v>0</v>
      </c>
      <c r="F1478" s="4" t="s">
        <v>3178</v>
      </c>
      <c r="G1478" s="4" t="s">
        <v>3178</v>
      </c>
      <c r="H1478" s="3">
        <v>0</v>
      </c>
      <c r="I1478" s="5">
        <v>66.269223</v>
      </c>
      <c r="J1478" s="6">
        <v>0</v>
      </c>
      <c r="K1478" s="4" t="s">
        <v>3178</v>
      </c>
      <c r="M1478" s="3">
        <v>17.82</v>
      </c>
      <c r="N1478" s="3">
        <v>10.8</v>
      </c>
    </row>
    <row r="1479" spans="1:14">
      <c r="A1479" s="8" t="s">
        <v>1491</v>
      </c>
      <c r="B1479" s="2">
        <f>HYPERLINK("https://www.suredividend.com/sure-analysis-research-database/","Innospec Inc")</f>
        <v>0</v>
      </c>
      <c r="C1479" s="1" t="s">
        <v>3177</v>
      </c>
      <c r="D1479" s="3">
        <v>126.25</v>
      </c>
      <c r="E1479" s="4">
        <v>0.011656714509543</v>
      </c>
      <c r="F1479" s="4" t="s">
        <v>3178</v>
      </c>
      <c r="G1479" s="4" t="s">
        <v>3178</v>
      </c>
      <c r="H1479" s="3">
        <v>1.471660206829866</v>
      </c>
      <c r="I1479" s="5">
        <v>3147.822181</v>
      </c>
      <c r="J1479" s="6">
        <v>22.6299222232207</v>
      </c>
      <c r="K1479" s="4">
        <v>0.2646870875593284</v>
      </c>
      <c r="L1479" s="7">
        <v>0.903097290553702</v>
      </c>
      <c r="M1479" s="3">
        <v>132.16</v>
      </c>
      <c r="N1479" s="3">
        <v>93.34</v>
      </c>
    </row>
    <row r="1480" spans="1:14">
      <c r="A1480" s="8" t="s">
        <v>1492</v>
      </c>
      <c r="B1480" s="2">
        <f>HYPERLINK("https://www.suredividend.com/sure-analysis-research-database/","Iovance Biotherapeutics Inc")</f>
        <v>0</v>
      </c>
      <c r="C1480" s="1" t="s">
        <v>3176</v>
      </c>
      <c r="D1480" s="3">
        <v>7.78</v>
      </c>
      <c r="E1480" s="4">
        <v>0</v>
      </c>
      <c r="F1480" s="4" t="s">
        <v>3178</v>
      </c>
      <c r="G1480" s="4" t="s">
        <v>3178</v>
      </c>
      <c r="H1480" s="3">
        <v>0</v>
      </c>
      <c r="I1480" s="5">
        <v>2177.098577</v>
      </c>
      <c r="J1480" s="6">
        <v>0</v>
      </c>
      <c r="K1480" s="4" t="s">
        <v>3178</v>
      </c>
      <c r="L1480" s="7">
        <v>2.141012391019031</v>
      </c>
      <c r="M1480" s="3">
        <v>18.33</v>
      </c>
      <c r="N1480" s="3">
        <v>3.21</v>
      </c>
    </row>
    <row r="1481" spans="1:14">
      <c r="A1481" s="8" t="s">
        <v>1493</v>
      </c>
      <c r="B1481" s="2">
        <f>HYPERLINK("https://www.suredividend.com/sure-analysis-IP/","International Paper Co.")</f>
        <v>0</v>
      </c>
      <c r="C1481" s="1" t="s">
        <v>3182</v>
      </c>
      <c r="D1481" s="3">
        <v>45.21</v>
      </c>
      <c r="E1481" s="4">
        <v>0.04092015040920151</v>
      </c>
      <c r="F1481" s="4">
        <v>0</v>
      </c>
      <c r="G1481" s="4">
        <v>-0.01547137760036332</v>
      </c>
      <c r="H1481" s="3">
        <v>1.816480979931564</v>
      </c>
      <c r="I1481" s="5">
        <v>15702.894368</v>
      </c>
      <c r="J1481" s="6">
        <v>91.29589748860464</v>
      </c>
      <c r="K1481" s="4">
        <v>3.674112014424685</v>
      </c>
      <c r="L1481" s="7">
        <v>0.454944744010108</v>
      </c>
      <c r="M1481" s="3">
        <v>46.34</v>
      </c>
      <c r="N1481" s="3">
        <v>28.71</v>
      </c>
    </row>
    <row r="1482" spans="1:14">
      <c r="A1482" s="8" t="s">
        <v>1494</v>
      </c>
      <c r="B1482" s="2">
        <f>HYPERLINK("https://www.suredividend.com/sure-analysis-IPAR/","Inter Parfums, Inc.")</f>
        <v>0</v>
      </c>
      <c r="C1482" s="1" t="s">
        <v>3184</v>
      </c>
      <c r="D1482" s="3">
        <v>116.5</v>
      </c>
      <c r="E1482" s="4">
        <v>0.02575107296137339</v>
      </c>
      <c r="F1482" s="4" t="s">
        <v>3178</v>
      </c>
      <c r="G1482" s="4" t="s">
        <v>3178</v>
      </c>
      <c r="H1482" s="3">
        <v>2.587549188325357</v>
      </c>
      <c r="I1482" s="5">
        <v>3730.75406</v>
      </c>
      <c r="J1482" s="6">
        <v>26.71809201197416</v>
      </c>
      <c r="K1482" s="4">
        <v>0.5962094903975478</v>
      </c>
      <c r="L1482" s="7">
        <v>1.228635524060466</v>
      </c>
      <c r="M1482" s="3">
        <v>155.03</v>
      </c>
      <c r="N1482" s="3">
        <v>114.71</v>
      </c>
    </row>
    <row r="1483" spans="1:14">
      <c r="A1483" s="8" t="s">
        <v>1495</v>
      </c>
      <c r="B1483" s="2">
        <f>HYPERLINK("https://www.suredividend.com/sure-analysis-IPG/","Interpublic Group Of Cos., Inc.")</f>
        <v>0</v>
      </c>
      <c r="C1483" s="1" t="s">
        <v>3187</v>
      </c>
      <c r="D1483" s="3">
        <v>30.72</v>
      </c>
      <c r="E1483" s="4">
        <v>0.04296875000000001</v>
      </c>
      <c r="F1483" s="4">
        <v>0.06451612903225823</v>
      </c>
      <c r="G1483" s="4">
        <v>0.0702598056972048</v>
      </c>
      <c r="H1483" s="3">
        <v>1.260438746165156</v>
      </c>
      <c r="I1483" s="5">
        <v>11594.450104</v>
      </c>
      <c r="J1483" s="6">
        <v>10.7078408794976</v>
      </c>
      <c r="K1483" s="4">
        <v>0.4469640943848071</v>
      </c>
      <c r="L1483" s="7">
        <v>0.8544990647714831</v>
      </c>
      <c r="M1483" s="3">
        <v>39.31</v>
      </c>
      <c r="N1483" s="3">
        <v>26.36</v>
      </c>
    </row>
    <row r="1484" spans="1:14">
      <c r="A1484" s="8" t="s">
        <v>1496</v>
      </c>
      <c r="B1484" s="2">
        <f>HYPERLINK("https://www.suredividend.com/sure-analysis-research-database/","IPG Photonics Corp")</f>
        <v>0</v>
      </c>
      <c r="C1484" s="1" t="s">
        <v>3181</v>
      </c>
      <c r="D1484" s="3">
        <v>85.84999999999999</v>
      </c>
      <c r="E1484" s="4">
        <v>0</v>
      </c>
      <c r="F1484" s="4" t="s">
        <v>3178</v>
      </c>
      <c r="G1484" s="4" t="s">
        <v>3178</v>
      </c>
      <c r="H1484" s="3">
        <v>0</v>
      </c>
      <c r="I1484" s="5">
        <v>3912.029712</v>
      </c>
      <c r="J1484" s="6">
        <v>21.39568432006869</v>
      </c>
      <c r="K1484" s="4">
        <v>0</v>
      </c>
      <c r="L1484" s="7">
        <v>1.380213699004389</v>
      </c>
      <c r="M1484" s="3">
        <v>141.85</v>
      </c>
      <c r="N1484" s="3">
        <v>80.33</v>
      </c>
    </row>
    <row r="1485" spans="1:14">
      <c r="A1485" s="8" t="s">
        <v>1497</v>
      </c>
      <c r="B1485" s="2">
        <f>HYPERLINK("https://www.suredividend.com/sure-analysis-research-database/","Inphi Corp")</f>
        <v>0</v>
      </c>
      <c r="C1485" s="1" t="s">
        <v>3181</v>
      </c>
      <c r="D1485" s="3">
        <v>172.27</v>
      </c>
      <c r="E1485" s="4">
        <v>0</v>
      </c>
      <c r="F1485" s="4" t="s">
        <v>3178</v>
      </c>
      <c r="G1485" s="4" t="s">
        <v>3178</v>
      </c>
      <c r="H1485" s="3">
        <v>0</v>
      </c>
      <c r="I1485" s="5">
        <v>0</v>
      </c>
      <c r="J1485" s="6">
        <v>0</v>
      </c>
      <c r="K1485" s="4">
        <v>-0</v>
      </c>
    </row>
    <row r="1486" spans="1:14">
      <c r="A1486" s="8" t="s">
        <v>1498</v>
      </c>
      <c r="B1486" s="2">
        <f>HYPERLINK("https://www.suredividend.com/sure-analysis-research-database/","Intrepid Potash Inc")</f>
        <v>0</v>
      </c>
      <c r="C1486" s="1" t="s">
        <v>3177</v>
      </c>
      <c r="D1486" s="3">
        <v>25.15</v>
      </c>
      <c r="E1486" s="4">
        <v>0</v>
      </c>
      <c r="F1486" s="4" t="s">
        <v>3178</v>
      </c>
      <c r="G1486" s="4" t="s">
        <v>3178</v>
      </c>
      <c r="H1486" s="3">
        <v>0</v>
      </c>
      <c r="I1486" s="5">
        <v>333.716909</v>
      </c>
      <c r="J1486" s="6" t="s">
        <v>3178</v>
      </c>
      <c r="K1486" s="4">
        <v>-0</v>
      </c>
      <c r="L1486" s="7">
        <v>1.233801399949676</v>
      </c>
      <c r="M1486" s="3">
        <v>28.3</v>
      </c>
      <c r="N1486" s="3">
        <v>17.52</v>
      </c>
    </row>
    <row r="1487" spans="1:14">
      <c r="A1487" s="8" t="s">
        <v>1499</v>
      </c>
      <c r="B1487" s="2">
        <f>HYPERLINK("https://www.suredividend.com/sure-analysis-research-database/","Ideal Power Inc")</f>
        <v>0</v>
      </c>
      <c r="C1487" s="1" t="s">
        <v>3179</v>
      </c>
      <c r="D1487" s="3">
        <v>6.88</v>
      </c>
      <c r="E1487" s="4">
        <v>0</v>
      </c>
      <c r="F1487" s="4" t="s">
        <v>3178</v>
      </c>
      <c r="G1487" s="4" t="s">
        <v>3178</v>
      </c>
      <c r="H1487" s="3">
        <v>0</v>
      </c>
      <c r="I1487" s="5">
        <v>52.867557</v>
      </c>
      <c r="J1487" s="6" t="s">
        <v>3178</v>
      </c>
      <c r="K1487" s="4">
        <v>-0</v>
      </c>
      <c r="L1487" s="7">
        <v>1.252629415227939</v>
      </c>
      <c r="M1487" s="3">
        <v>13.98</v>
      </c>
      <c r="N1487" s="3">
        <v>6.61</v>
      </c>
    </row>
    <row r="1488" spans="1:14">
      <c r="A1488" s="8" t="s">
        <v>1500</v>
      </c>
      <c r="B1488" s="2">
        <f>HYPERLINK("https://www.suredividend.com/sure-analysis-research-database/","IQVIA Holdings Inc")</f>
        <v>0</v>
      </c>
      <c r="C1488" s="1" t="s">
        <v>3176</v>
      </c>
      <c r="D1488" s="3">
        <v>219.23</v>
      </c>
      <c r="E1488" s="4">
        <v>0</v>
      </c>
      <c r="F1488" s="4" t="s">
        <v>3178</v>
      </c>
      <c r="G1488" s="4" t="s">
        <v>3178</v>
      </c>
      <c r="H1488" s="3">
        <v>0</v>
      </c>
      <c r="I1488" s="5">
        <v>39943.706</v>
      </c>
      <c r="J1488" s="6">
        <v>29.43530287398673</v>
      </c>
      <c r="K1488" s="4">
        <v>0</v>
      </c>
      <c r="L1488" s="7">
        <v>1.307237559703508</v>
      </c>
      <c r="M1488" s="3">
        <v>261.73</v>
      </c>
      <c r="N1488" s="3">
        <v>167.42</v>
      </c>
    </row>
    <row r="1489" spans="1:14">
      <c r="A1489" s="8" t="s">
        <v>1501</v>
      </c>
      <c r="B1489" s="2">
        <f>HYPERLINK("https://www.suredividend.com/sure-analysis-research-database/","Ingersoll-Rand Inc")</f>
        <v>0</v>
      </c>
      <c r="C1489" s="1" t="s">
        <v>3179</v>
      </c>
      <c r="D1489" s="3">
        <v>89.13</v>
      </c>
      <c r="E1489" s="4">
        <v>0.0008972546296770001</v>
      </c>
      <c r="F1489" s="4" t="s">
        <v>3178</v>
      </c>
      <c r="G1489" s="4" t="s">
        <v>3178</v>
      </c>
      <c r="H1489" s="3">
        <v>0.07997230514318</v>
      </c>
      <c r="I1489" s="5">
        <v>35957.883554</v>
      </c>
      <c r="J1489" s="6">
        <v>43.86177549832885</v>
      </c>
      <c r="K1489" s="4">
        <v>0.03978721648914428</v>
      </c>
      <c r="L1489" s="7">
        <v>1.015041409492832</v>
      </c>
      <c r="M1489" s="3">
        <v>96.67</v>
      </c>
      <c r="N1489" s="3">
        <v>59.16</v>
      </c>
    </row>
    <row r="1490" spans="1:14">
      <c r="A1490" s="8" t="s">
        <v>1502</v>
      </c>
      <c r="B1490" s="2">
        <f>HYPERLINK("https://www.suredividend.com/sure-analysis-research-database/","Irobot Corp")</f>
        <v>0</v>
      </c>
      <c r="C1490" s="1" t="s">
        <v>3181</v>
      </c>
      <c r="D1490" s="3">
        <v>9.529999999999999</v>
      </c>
      <c r="E1490" s="4">
        <v>0</v>
      </c>
      <c r="F1490" s="4" t="s">
        <v>3178</v>
      </c>
      <c r="G1490" s="4" t="s">
        <v>3178</v>
      </c>
      <c r="H1490" s="3">
        <v>0</v>
      </c>
      <c r="I1490" s="5">
        <v>274.056631</v>
      </c>
      <c r="J1490" s="6" t="s">
        <v>3178</v>
      </c>
      <c r="K1490" s="4">
        <v>-0</v>
      </c>
      <c r="L1490" s="7">
        <v>0.4414007516253</v>
      </c>
      <c r="M1490" s="3">
        <v>51.49</v>
      </c>
      <c r="N1490" s="3">
        <v>6.48</v>
      </c>
    </row>
    <row r="1491" spans="1:14">
      <c r="A1491" s="8" t="s">
        <v>1503</v>
      </c>
      <c r="B1491" s="2">
        <f>HYPERLINK("https://www.suredividend.com/sure-analysis-research-database/","Iridium Communications Inc")</f>
        <v>0</v>
      </c>
      <c r="C1491" s="1" t="s">
        <v>3187</v>
      </c>
      <c r="D1491" s="3">
        <v>27.99</v>
      </c>
      <c r="E1491" s="4">
        <v>0.018368501684591</v>
      </c>
      <c r="F1491" s="4" t="s">
        <v>3178</v>
      </c>
      <c r="G1491" s="4" t="s">
        <v>3178</v>
      </c>
      <c r="H1491" s="3">
        <v>0.514134362151708</v>
      </c>
      <c r="I1491" s="5">
        <v>3398.784247</v>
      </c>
      <c r="J1491" s="6">
        <v>134.3764775554501</v>
      </c>
      <c r="K1491" s="4">
        <v>2.561705840317429</v>
      </c>
      <c r="L1491" s="7">
        <v>0.731077722647648</v>
      </c>
      <c r="M1491" s="3">
        <v>62.51</v>
      </c>
      <c r="N1491" s="3">
        <v>24.14</v>
      </c>
    </row>
    <row r="1492" spans="1:14">
      <c r="A1492" s="8" t="s">
        <v>1504</v>
      </c>
      <c r="B1492" s="2">
        <f>HYPERLINK("https://www.suredividend.com/sure-analysis-research-database/","Tidal Trust II")</f>
        <v>0</v>
      </c>
      <c r="C1492" s="1" t="s">
        <v>3183</v>
      </c>
      <c r="D1492" s="3">
        <v>19.5854</v>
      </c>
      <c r="E1492" s="4">
        <v>0.0083053453603</v>
      </c>
      <c r="F1492" s="4" t="s">
        <v>3178</v>
      </c>
      <c r="G1492" s="4" t="s">
        <v>3178</v>
      </c>
      <c r="H1492" s="3">
        <v>0.162663511019628</v>
      </c>
      <c r="I1492" s="5">
        <v>2.448175</v>
      </c>
      <c r="J1492" s="6">
        <v>0</v>
      </c>
      <c r="K1492" s="4" t="s">
        <v>3178</v>
      </c>
      <c r="L1492" s="7">
        <v>0.8582033369602481</v>
      </c>
      <c r="M1492" s="3">
        <v>20.82</v>
      </c>
      <c r="N1492" s="3">
        <v>18.67</v>
      </c>
    </row>
    <row r="1493" spans="1:14">
      <c r="A1493" s="8" t="s">
        <v>1505</v>
      </c>
      <c r="B1493" s="2">
        <f>HYPERLINK("https://www.suredividend.com/sure-analysis-research-database/","IRIDEX Corp.")</f>
        <v>0</v>
      </c>
      <c r="C1493" s="1" t="s">
        <v>3176</v>
      </c>
      <c r="D1493" s="3">
        <v>2.3</v>
      </c>
      <c r="E1493" s="4">
        <v>0</v>
      </c>
      <c r="F1493" s="4" t="s">
        <v>3178</v>
      </c>
      <c r="G1493" s="4" t="s">
        <v>3178</v>
      </c>
      <c r="H1493" s="3">
        <v>0</v>
      </c>
      <c r="I1493" s="5">
        <v>37.38178</v>
      </c>
      <c r="J1493" s="6">
        <v>0</v>
      </c>
      <c r="K1493" s="4" t="s">
        <v>3178</v>
      </c>
      <c r="L1493" s="7">
        <v>0.334626192949651</v>
      </c>
      <c r="M1493" s="3">
        <v>3.65</v>
      </c>
      <c r="N1493" s="3">
        <v>1.31</v>
      </c>
    </row>
    <row r="1494" spans="1:14">
      <c r="A1494" s="8" t="s">
        <v>1506</v>
      </c>
      <c r="B1494" s="2">
        <f>HYPERLINK("https://www.suredividend.com/sure-analysis-IRM/","Iron Mountain Inc.")</f>
        <v>0</v>
      </c>
      <c r="C1494" s="1" t="s">
        <v>3183</v>
      </c>
      <c r="D1494" s="3">
        <v>85.47</v>
      </c>
      <c r="E1494" s="4">
        <v>0.03042003042003042</v>
      </c>
      <c r="F1494" s="4">
        <v>0.05092966855295056</v>
      </c>
      <c r="G1494" s="4">
        <v>0.01245196889366262</v>
      </c>
      <c r="H1494" s="3">
        <v>2.534612687549799</v>
      </c>
      <c r="I1494" s="5">
        <v>25054.104946</v>
      </c>
      <c r="J1494" s="6">
        <v>129.3448887241611</v>
      </c>
      <c r="K1494" s="4">
        <v>3.853751995666411</v>
      </c>
      <c r="L1494" s="7">
        <v>1.112538927017576</v>
      </c>
      <c r="M1494" s="3">
        <v>85.63</v>
      </c>
      <c r="N1494" s="3">
        <v>52.25</v>
      </c>
    </row>
    <row r="1495" spans="1:14">
      <c r="A1495" s="8" t="s">
        <v>1507</v>
      </c>
      <c r="B1495" s="2">
        <f>HYPERLINK("https://www.suredividend.com/sure-analysis-research-database/","Iradimed Corp")</f>
        <v>0</v>
      </c>
      <c r="C1495" s="1" t="s">
        <v>3176</v>
      </c>
      <c r="D1495" s="3">
        <v>42.5</v>
      </c>
      <c r="E1495" s="4">
        <v>0.007034185533937001</v>
      </c>
      <c r="F1495" s="4" t="s">
        <v>3178</v>
      </c>
      <c r="G1495" s="4" t="s">
        <v>3178</v>
      </c>
      <c r="H1495" s="3">
        <v>0.298952885192336</v>
      </c>
      <c r="I1495" s="5">
        <v>538.227863</v>
      </c>
      <c r="J1495" s="6">
        <v>30.02960248321133</v>
      </c>
      <c r="K1495" s="4">
        <v>0.212023322831444</v>
      </c>
      <c r="L1495" s="7">
        <v>0.8761397086976721</v>
      </c>
      <c r="M1495" s="3">
        <v>49.98</v>
      </c>
      <c r="N1495" s="3">
        <v>35.37</v>
      </c>
    </row>
    <row r="1496" spans="1:14">
      <c r="A1496" s="8" t="s">
        <v>1508</v>
      </c>
      <c r="B1496" s="2">
        <f>HYPERLINK("https://www.suredividend.com/sure-analysis-research-database/","IF Bancorp Inc")</f>
        <v>0</v>
      </c>
      <c r="C1496" s="1" t="s">
        <v>3180</v>
      </c>
      <c r="D1496" s="3">
        <v>16.72</v>
      </c>
      <c r="E1496" s="4">
        <v>0.023611535074193</v>
      </c>
      <c r="F1496" s="4" t="s">
        <v>3178</v>
      </c>
      <c r="G1496" s="4" t="s">
        <v>3178</v>
      </c>
      <c r="H1496" s="3">
        <v>0.394784866440521</v>
      </c>
      <c r="I1496" s="5">
        <v>56.062595</v>
      </c>
      <c r="J1496" s="6">
        <v>0</v>
      </c>
      <c r="K1496" s="4" t="s">
        <v>3178</v>
      </c>
      <c r="M1496" s="3">
        <v>18.03</v>
      </c>
      <c r="N1496" s="3">
        <v>13.05</v>
      </c>
    </row>
    <row r="1497" spans="1:14">
      <c r="A1497" s="8" t="s">
        <v>1509</v>
      </c>
      <c r="B1497" s="2">
        <f>HYPERLINK("https://www.suredividend.com/sure-analysis-IRT/","Independence Realty Trust Inc")</f>
        <v>0</v>
      </c>
      <c r="C1497" s="1" t="s">
        <v>3183</v>
      </c>
      <c r="D1497" s="3">
        <v>17.33</v>
      </c>
      <c r="E1497" s="4">
        <v>0.03693017888055396</v>
      </c>
      <c r="F1497" s="4">
        <v>0.1428571428571428</v>
      </c>
      <c r="G1497" s="4">
        <v>-0.02328131613882611</v>
      </c>
      <c r="H1497" s="3">
        <v>0.630106303440373</v>
      </c>
      <c r="I1497" s="5">
        <v>3900.638844</v>
      </c>
      <c r="J1497" s="6" t="s">
        <v>3178</v>
      </c>
      <c r="K1497" s="4" t="s">
        <v>3178</v>
      </c>
      <c r="L1497" s="7">
        <v>1.259170208265376</v>
      </c>
      <c r="M1497" s="3">
        <v>18.02</v>
      </c>
      <c r="N1497" s="3">
        <v>11.37</v>
      </c>
    </row>
    <row r="1498" spans="1:14">
      <c r="A1498" s="8" t="s">
        <v>1510</v>
      </c>
      <c r="B1498" s="2">
        <f>HYPERLINK("https://www.suredividend.com/sure-analysis-research-database/","iRhythm Technologies Inc")</f>
        <v>0</v>
      </c>
      <c r="C1498" s="1" t="s">
        <v>3176</v>
      </c>
      <c r="D1498" s="3">
        <v>95.66</v>
      </c>
      <c r="E1498" s="4">
        <v>0</v>
      </c>
      <c r="F1498" s="4" t="s">
        <v>3178</v>
      </c>
      <c r="G1498" s="4" t="s">
        <v>3178</v>
      </c>
      <c r="H1498" s="3">
        <v>0</v>
      </c>
      <c r="I1498" s="5">
        <v>2975.493108</v>
      </c>
      <c r="J1498" s="6" t="s">
        <v>3178</v>
      </c>
      <c r="K1498" s="4">
        <v>-0</v>
      </c>
      <c r="L1498" s="7">
        <v>1.357997960507748</v>
      </c>
      <c r="M1498" s="3">
        <v>124.12</v>
      </c>
      <c r="N1498" s="3">
        <v>70.23999999999999</v>
      </c>
    </row>
    <row r="1499" spans="1:14">
      <c r="A1499" s="8" t="s">
        <v>1511</v>
      </c>
      <c r="B1499" s="2">
        <f>HYPERLINK("https://www.suredividend.com/sure-analysis-research-database/","Ironwood Pharmaceuticals Inc")</f>
        <v>0</v>
      </c>
      <c r="C1499" s="1" t="s">
        <v>3176</v>
      </c>
      <c r="D1499" s="3">
        <v>6.35</v>
      </c>
      <c r="E1499" s="4">
        <v>0</v>
      </c>
      <c r="F1499" s="4" t="s">
        <v>3178</v>
      </c>
      <c r="G1499" s="4" t="s">
        <v>3178</v>
      </c>
      <c r="H1499" s="3">
        <v>0</v>
      </c>
      <c r="I1499" s="5">
        <v>1009.377731</v>
      </c>
      <c r="J1499" s="6" t="s">
        <v>3178</v>
      </c>
      <c r="K1499" s="4">
        <v>-0</v>
      </c>
      <c r="L1499" s="7">
        <v>0.437490646118932</v>
      </c>
      <c r="M1499" s="3">
        <v>15.7</v>
      </c>
      <c r="N1499" s="3">
        <v>5.76</v>
      </c>
    </row>
    <row r="1500" spans="1:14">
      <c r="A1500" s="8" t="s">
        <v>1512</v>
      </c>
      <c r="B1500" s="2">
        <f>HYPERLINK("https://www.suredividend.com/sure-analysis-research-database/","Investors Bancorp Inc")</f>
        <v>0</v>
      </c>
      <c r="C1500" s="1" t="s">
        <v>3180</v>
      </c>
      <c r="D1500" s="3">
        <v>13.87</v>
      </c>
      <c r="E1500" s="4">
        <v>0</v>
      </c>
      <c r="F1500" s="4" t="s">
        <v>3178</v>
      </c>
      <c r="G1500" s="4" t="s">
        <v>3178</v>
      </c>
      <c r="H1500" s="3">
        <v>0.57999999821186</v>
      </c>
      <c r="I1500" s="5">
        <v>0</v>
      </c>
      <c r="J1500" s="6">
        <v>0</v>
      </c>
      <c r="K1500" s="4">
        <v>0.4360902242194436</v>
      </c>
    </row>
    <row r="1501" spans="1:14">
      <c r="A1501" s="8" t="s">
        <v>1513</v>
      </c>
      <c r="B1501" s="2">
        <f>HYPERLINK("https://www.suredividend.com/sure-analysis-research-database/","Issuer Direct Corp")</f>
        <v>0</v>
      </c>
      <c r="C1501" s="1" t="s">
        <v>3181</v>
      </c>
      <c r="D1501" s="3">
        <v>9.48</v>
      </c>
      <c r="E1501" s="4">
        <v>0</v>
      </c>
      <c r="F1501" s="4" t="s">
        <v>3178</v>
      </c>
      <c r="G1501" s="4" t="s">
        <v>3178</v>
      </c>
      <c r="H1501" s="3">
        <v>0</v>
      </c>
      <c r="I1501" s="5">
        <v>36.188753</v>
      </c>
      <c r="J1501" s="6">
        <v>0</v>
      </c>
      <c r="K1501" s="4" t="s">
        <v>3178</v>
      </c>
      <c r="M1501" s="3">
        <v>23.4</v>
      </c>
      <c r="N1501" s="3">
        <v>8.880000000000001</v>
      </c>
    </row>
    <row r="1502" spans="1:14">
      <c r="A1502" s="8" t="s">
        <v>1514</v>
      </c>
      <c r="B1502" s="2">
        <f>HYPERLINK("https://www.suredividend.com/sure-analysis-research-database/","IVERIC bio Inc")</f>
        <v>0</v>
      </c>
      <c r="C1502" s="1" t="s">
        <v>3176</v>
      </c>
      <c r="D1502" s="3">
        <v>39.95</v>
      </c>
      <c r="E1502" s="4">
        <v>0</v>
      </c>
      <c r="F1502" s="4" t="s">
        <v>3178</v>
      </c>
      <c r="G1502" s="4" t="s">
        <v>3178</v>
      </c>
      <c r="H1502" s="3">
        <v>0</v>
      </c>
      <c r="I1502" s="5">
        <v>0</v>
      </c>
      <c r="J1502" s="6">
        <v>0</v>
      </c>
      <c r="K1502" s="4" t="s">
        <v>3178</v>
      </c>
    </row>
    <row r="1503" spans="1:14">
      <c r="A1503" s="8" t="s">
        <v>1515</v>
      </c>
      <c r="B1503" s="2">
        <f>HYPERLINK("https://www.suredividend.com/sure-analysis-research-database/","Image Sensing Systems, Inc.")</f>
        <v>0</v>
      </c>
      <c r="C1503" s="1" t="s">
        <v>3181</v>
      </c>
      <c r="D1503" s="3">
        <v>6.44</v>
      </c>
      <c r="E1503" s="4">
        <v>0.018633539956178</v>
      </c>
      <c r="F1503" s="4" t="s">
        <v>3178</v>
      </c>
      <c r="G1503" s="4" t="s">
        <v>3178</v>
      </c>
      <c r="H1503" s="3">
        <v>0.11999999731779</v>
      </c>
      <c r="I1503" s="5">
        <v>34.48193</v>
      </c>
      <c r="J1503" s="6">
        <v>0</v>
      </c>
      <c r="K1503" s="4" t="s">
        <v>3178</v>
      </c>
      <c r="M1503" s="3">
        <v>11.41</v>
      </c>
      <c r="N1503" s="3">
        <v>3.35</v>
      </c>
    </row>
    <row r="1504" spans="1:14">
      <c r="A1504" s="8" t="s">
        <v>1516</v>
      </c>
      <c r="B1504" s="2">
        <f>HYPERLINK("https://www.suredividend.com/sure-analysis-research-database/","Intuitive Surgical Inc")</f>
        <v>0</v>
      </c>
      <c r="C1504" s="1" t="s">
        <v>3176</v>
      </c>
      <c r="D1504" s="3">
        <v>417.61</v>
      </c>
      <c r="E1504" s="4">
        <v>0</v>
      </c>
      <c r="F1504" s="4" t="s">
        <v>3178</v>
      </c>
      <c r="G1504" s="4" t="s">
        <v>3178</v>
      </c>
      <c r="H1504" s="3">
        <v>0</v>
      </c>
      <c r="I1504" s="5">
        <v>148126.267</v>
      </c>
      <c r="J1504" s="6">
        <v>74.52518967599114</v>
      </c>
      <c r="K1504" s="4">
        <v>0</v>
      </c>
      <c r="L1504" s="7">
        <v>1.373763864286452</v>
      </c>
      <c r="M1504" s="3">
        <v>420.57</v>
      </c>
      <c r="N1504" s="3">
        <v>254.85</v>
      </c>
    </row>
    <row r="1505" spans="1:14">
      <c r="A1505" s="8" t="s">
        <v>1517</v>
      </c>
      <c r="B1505" s="2">
        <f>HYPERLINK("https://www.suredividend.com/sure-analysis-research-database/","Israel Acquisitions Corp")</f>
        <v>0</v>
      </c>
      <c r="C1505" s="1" t="s">
        <v>3178</v>
      </c>
      <c r="D1505" s="3">
        <v>10.99</v>
      </c>
      <c r="E1505" s="4">
        <v>0</v>
      </c>
      <c r="F1505" s="4" t="s">
        <v>3178</v>
      </c>
      <c r="G1505" s="4" t="s">
        <v>3178</v>
      </c>
      <c r="H1505" s="3">
        <v>0</v>
      </c>
      <c r="I1505" s="5">
        <v>88.163044</v>
      </c>
      <c r="J1505" s="6">
        <v>0</v>
      </c>
      <c r="K1505" s="4" t="s">
        <v>3178</v>
      </c>
      <c r="M1505" s="3">
        <v>11.51</v>
      </c>
      <c r="N1505" s="3">
        <v>10.34</v>
      </c>
    </row>
    <row r="1506" spans="1:14">
      <c r="A1506" s="8" t="s">
        <v>1518</v>
      </c>
      <c r="B1506" s="2">
        <f>HYPERLINK("https://www.suredividend.com/sure-analysis-research-database/","Innovative Solutions And Support Inc")</f>
        <v>0</v>
      </c>
      <c r="C1506" s="1" t="s">
        <v>3179</v>
      </c>
      <c r="D1506" s="3">
        <v>6.3</v>
      </c>
      <c r="E1506" s="4">
        <v>0</v>
      </c>
      <c r="F1506" s="4" t="s">
        <v>3178</v>
      </c>
      <c r="G1506" s="4" t="s">
        <v>3178</v>
      </c>
      <c r="H1506" s="3">
        <v>0</v>
      </c>
      <c r="I1506" s="5">
        <v>110.210342</v>
      </c>
      <c r="J1506" s="6">
        <v>17.42823293826193</v>
      </c>
      <c r="K1506" s="4">
        <v>0</v>
      </c>
      <c r="L1506" s="7">
        <v>0.466872706706802</v>
      </c>
      <c r="M1506" s="3">
        <v>9</v>
      </c>
      <c r="N1506" s="3">
        <v>4.91</v>
      </c>
    </row>
    <row r="1507" spans="1:14">
      <c r="A1507" s="8" t="s">
        <v>1519</v>
      </c>
      <c r="B1507" s="2">
        <f>HYPERLINK("https://www.suredividend.com/sure-analysis-research-database/","Investar Holding Corp")</f>
        <v>0</v>
      </c>
      <c r="C1507" s="1" t="s">
        <v>3180</v>
      </c>
      <c r="D1507" s="3">
        <v>15.34</v>
      </c>
      <c r="E1507" s="4">
        <v>0.025665784500933</v>
      </c>
      <c r="F1507" s="4">
        <v>0.05263157894736836</v>
      </c>
      <c r="G1507" s="4">
        <v>0.1075663432482901</v>
      </c>
      <c r="H1507" s="3">
        <v>0.393713134244322</v>
      </c>
      <c r="I1507" s="5">
        <v>150.779882</v>
      </c>
      <c r="J1507" s="6">
        <v>8.580201558072043</v>
      </c>
      <c r="K1507" s="4">
        <v>0.2199514716448726</v>
      </c>
      <c r="L1507" s="7">
        <v>0.8172350529732461</v>
      </c>
      <c r="M1507" s="3">
        <v>17.88</v>
      </c>
      <c r="N1507" s="3">
        <v>8.890000000000001</v>
      </c>
    </row>
    <row r="1508" spans="1:14">
      <c r="A1508" s="8" t="s">
        <v>1520</v>
      </c>
      <c r="B1508" s="2">
        <f>HYPERLINK("https://www.suredividend.com/sure-analysis-research-database/","Gartner, Inc.")</f>
        <v>0</v>
      </c>
      <c r="C1508" s="1" t="s">
        <v>3181</v>
      </c>
      <c r="D1508" s="3">
        <v>434.44</v>
      </c>
      <c r="E1508" s="4">
        <v>0</v>
      </c>
      <c r="F1508" s="4" t="s">
        <v>3178</v>
      </c>
      <c r="G1508" s="4" t="s">
        <v>3178</v>
      </c>
      <c r="H1508" s="3">
        <v>0</v>
      </c>
      <c r="I1508" s="5">
        <v>33725.780518</v>
      </c>
      <c r="J1508" s="6">
        <v>42.30380834330957</v>
      </c>
      <c r="K1508" s="4">
        <v>0</v>
      </c>
      <c r="L1508" s="7">
        <v>1.207948764148479</v>
      </c>
      <c r="M1508" s="3">
        <v>486.54</v>
      </c>
      <c r="N1508" s="3">
        <v>323.61</v>
      </c>
    </row>
    <row r="1509" spans="1:14">
      <c r="A1509" s="8" t="s">
        <v>1521</v>
      </c>
      <c r="B1509" s="2">
        <f>HYPERLINK("https://www.suredividend.com/sure-analysis-research-database/","Intra-Cellular Therapies Inc")</f>
        <v>0</v>
      </c>
      <c r="C1509" s="1" t="s">
        <v>3176</v>
      </c>
      <c r="D1509" s="3">
        <v>68.41</v>
      </c>
      <c r="E1509" s="4">
        <v>0</v>
      </c>
      <c r="F1509" s="4" t="s">
        <v>3178</v>
      </c>
      <c r="G1509" s="4" t="s">
        <v>3178</v>
      </c>
      <c r="H1509" s="3">
        <v>0</v>
      </c>
      <c r="I1509" s="5">
        <v>7222.375831</v>
      </c>
      <c r="J1509" s="6">
        <v>0</v>
      </c>
      <c r="K1509" s="4" t="s">
        <v>3178</v>
      </c>
      <c r="L1509" s="7">
        <v>0.8747237446122601</v>
      </c>
      <c r="M1509" s="3">
        <v>84.89</v>
      </c>
      <c r="N1509" s="3">
        <v>45.5</v>
      </c>
    </row>
    <row r="1510" spans="1:14">
      <c r="A1510" s="8" t="s">
        <v>1522</v>
      </c>
      <c r="B1510" s="2">
        <f>HYPERLINK("https://www.suredividend.com/sure-analysis-research-database/","Integer Holdings Corp")</f>
        <v>0</v>
      </c>
      <c r="C1510" s="1" t="s">
        <v>3176</v>
      </c>
      <c r="D1510" s="3">
        <v>121.11</v>
      </c>
      <c r="E1510" s="4">
        <v>0</v>
      </c>
      <c r="F1510" s="4" t="s">
        <v>3178</v>
      </c>
      <c r="G1510" s="4" t="s">
        <v>3178</v>
      </c>
      <c r="H1510" s="3">
        <v>0</v>
      </c>
      <c r="I1510" s="5">
        <v>4057.635408</v>
      </c>
      <c r="J1510" s="6">
        <v>41.36518822026036</v>
      </c>
      <c r="K1510" s="4">
        <v>0</v>
      </c>
      <c r="L1510" s="7">
        <v>0.744404589015046</v>
      </c>
      <c r="M1510" s="3">
        <v>123.99</v>
      </c>
      <c r="N1510" s="3">
        <v>69.40000000000001</v>
      </c>
    </row>
    <row r="1511" spans="1:14">
      <c r="A1511" s="8" t="s">
        <v>1523</v>
      </c>
      <c r="B1511" s="2">
        <f>HYPERLINK("https://www.suredividend.com/sure-analysis-research-database/","Iteris Inc.")</f>
        <v>0</v>
      </c>
      <c r="C1511" s="1" t="s">
        <v>3181</v>
      </c>
      <c r="D1511" s="3">
        <v>4.4</v>
      </c>
      <c r="E1511" s="4">
        <v>0</v>
      </c>
      <c r="F1511" s="4" t="s">
        <v>3178</v>
      </c>
      <c r="G1511" s="4" t="s">
        <v>3178</v>
      </c>
      <c r="H1511" s="3">
        <v>0</v>
      </c>
      <c r="I1511" s="5">
        <v>188.795306</v>
      </c>
      <c r="J1511" s="6">
        <v>0</v>
      </c>
      <c r="K1511" s="4" t="s">
        <v>3178</v>
      </c>
      <c r="L1511" s="7">
        <v>0.919209941992377</v>
      </c>
      <c r="M1511" s="3">
        <v>5.49</v>
      </c>
      <c r="N1511" s="3">
        <v>3.72</v>
      </c>
    </row>
    <row r="1512" spans="1:14">
      <c r="A1512" s="8" t="s">
        <v>1524</v>
      </c>
      <c r="B1512" s="2">
        <f>HYPERLINK("https://www.suredividend.com/sure-analysis-research-database/","Investors Title Co.")</f>
        <v>0</v>
      </c>
      <c r="C1512" s="1" t="s">
        <v>3180</v>
      </c>
      <c r="D1512" s="3">
        <v>174.88</v>
      </c>
      <c r="E1512" s="4">
        <v>0.03302700730785101</v>
      </c>
      <c r="F1512" s="4">
        <v>0</v>
      </c>
      <c r="G1512" s="4">
        <v>0.008929989071996269</v>
      </c>
      <c r="H1512" s="3">
        <v>5.775763037997096</v>
      </c>
      <c r="I1512" s="5">
        <v>329.449437</v>
      </c>
      <c r="J1512" s="6">
        <v>0</v>
      </c>
      <c r="K1512" s="4" t="s">
        <v>3178</v>
      </c>
      <c r="M1512" s="3">
        <v>192.84</v>
      </c>
      <c r="N1512" s="3">
        <v>123</v>
      </c>
    </row>
    <row r="1513" spans="1:14">
      <c r="A1513" s="8" t="s">
        <v>1525</v>
      </c>
      <c r="B1513" s="2">
        <f>HYPERLINK("https://www.suredividend.com/sure-analysis-research-database/","Itron Inc.")</f>
        <v>0</v>
      </c>
      <c r="C1513" s="1" t="s">
        <v>3181</v>
      </c>
      <c r="D1513" s="3">
        <v>107.15</v>
      </c>
      <c r="E1513" s="4">
        <v>0</v>
      </c>
      <c r="F1513" s="4" t="s">
        <v>3178</v>
      </c>
      <c r="G1513" s="4" t="s">
        <v>3178</v>
      </c>
      <c r="H1513" s="3">
        <v>0</v>
      </c>
      <c r="I1513" s="5">
        <v>4914.903317</v>
      </c>
      <c r="J1513" s="6">
        <v>30.62626693014706</v>
      </c>
      <c r="K1513" s="4">
        <v>0</v>
      </c>
      <c r="L1513" s="7">
        <v>1.45759648504341</v>
      </c>
      <c r="M1513" s="3">
        <v>111</v>
      </c>
      <c r="N1513" s="3">
        <v>56.11</v>
      </c>
    </row>
    <row r="1514" spans="1:14">
      <c r="A1514" s="8" t="s">
        <v>1526</v>
      </c>
      <c r="B1514" s="2">
        <f>HYPERLINK("https://www.suredividend.com/sure-analysis-ITT/","ITT Inc")</f>
        <v>0</v>
      </c>
      <c r="C1514" s="1" t="s">
        <v>3179</v>
      </c>
      <c r="D1514" s="3">
        <v>128.25</v>
      </c>
      <c r="E1514" s="4">
        <v>0.009980506822612086</v>
      </c>
      <c r="F1514" s="4">
        <v>0.1000000000000001</v>
      </c>
      <c r="G1514" s="4">
        <v>0.167601568325342</v>
      </c>
      <c r="H1514" s="3">
        <v>1.213612097583696</v>
      </c>
      <c r="I1514" s="5">
        <v>10554.975</v>
      </c>
      <c r="J1514" s="6">
        <v>25.0414590747331</v>
      </c>
      <c r="K1514" s="4">
        <v>0.23796315638896</v>
      </c>
      <c r="L1514" s="7">
        <v>1.196867980081234</v>
      </c>
      <c r="M1514" s="3">
        <v>139.86</v>
      </c>
      <c r="N1514" s="3">
        <v>84.48999999999999</v>
      </c>
    </row>
    <row r="1515" spans="1:14">
      <c r="A1515" s="8" t="s">
        <v>1527</v>
      </c>
      <c r="B1515" s="2">
        <f>HYPERLINK("https://www.suredividend.com/sure-analysis-ITW/","Illinois Tool Works, Inc.")</f>
        <v>0</v>
      </c>
      <c r="C1515" s="1" t="s">
        <v>3179</v>
      </c>
      <c r="D1515" s="3">
        <v>240.42</v>
      </c>
      <c r="E1515" s="4">
        <v>0.02329257133349971</v>
      </c>
      <c r="F1515" s="4">
        <v>0.06870229007633566</v>
      </c>
      <c r="G1515" s="4">
        <v>0.05523418397771729</v>
      </c>
      <c r="H1515" s="3">
        <v>5.480476435134822</v>
      </c>
      <c r="I1515" s="5">
        <v>71741.32799999999</v>
      </c>
      <c r="J1515" s="6">
        <v>23.42956499020248</v>
      </c>
      <c r="K1515" s="4">
        <v>0.5404809107628029</v>
      </c>
      <c r="L1515" s="7">
        <v>0.712157327683088</v>
      </c>
      <c r="M1515" s="3">
        <v>269.72</v>
      </c>
      <c r="N1515" s="3">
        <v>216.35</v>
      </c>
    </row>
    <row r="1516" spans="1:14">
      <c r="A1516" s="8" t="s">
        <v>1528</v>
      </c>
      <c r="B1516" s="2">
        <f>HYPERLINK("https://www.suredividend.com/sure-analysis-research-database/","Intevac, Inc.")</f>
        <v>0</v>
      </c>
      <c r="C1516" s="1" t="s">
        <v>3179</v>
      </c>
      <c r="D1516" s="3">
        <v>3.97</v>
      </c>
      <c r="E1516" s="4">
        <v>0</v>
      </c>
      <c r="F1516" s="4" t="s">
        <v>3178</v>
      </c>
      <c r="G1516" s="4" t="s">
        <v>3178</v>
      </c>
      <c r="H1516" s="3">
        <v>0</v>
      </c>
      <c r="I1516" s="5">
        <v>105.538706</v>
      </c>
      <c r="J1516" s="6" t="s">
        <v>3178</v>
      </c>
      <c r="K1516" s="4">
        <v>-0</v>
      </c>
      <c r="L1516" s="7">
        <v>0.9335071162911731</v>
      </c>
      <c r="M1516" s="3">
        <v>4.57</v>
      </c>
      <c r="N1516" s="3">
        <v>3.07</v>
      </c>
    </row>
    <row r="1517" spans="1:14">
      <c r="A1517" s="8" t="s">
        <v>1529</v>
      </c>
      <c r="B1517" s="2">
        <f>HYPERLINK("https://www.suredividend.com/sure-analysis-research-database/","Invacare Corp.")</f>
        <v>0</v>
      </c>
      <c r="C1517" s="1" t="s">
        <v>3176</v>
      </c>
      <c r="D1517" s="3">
        <v>0.6598000000000001</v>
      </c>
      <c r="E1517" s="4">
        <v>0</v>
      </c>
      <c r="F1517" s="4" t="s">
        <v>3178</v>
      </c>
      <c r="G1517" s="4" t="s">
        <v>3178</v>
      </c>
      <c r="H1517" s="3">
        <v>0</v>
      </c>
      <c r="I1517" s="5">
        <v>24.91031</v>
      </c>
      <c r="J1517" s="6" t="s">
        <v>3178</v>
      </c>
      <c r="K1517" s="4">
        <v>-0</v>
      </c>
      <c r="M1517" s="3">
        <v>2.53</v>
      </c>
      <c r="N1517" s="3">
        <v>0.33</v>
      </c>
    </row>
    <row r="1518" spans="1:14">
      <c r="A1518" s="8" t="s">
        <v>1530</v>
      </c>
      <c r="B1518" s="2">
        <f>HYPERLINK("https://www.suredividend.com/sure-analysis-research-database/","Invesco Mortgage Capital Inc")</f>
        <v>0</v>
      </c>
      <c r="C1518" s="1" t="s">
        <v>3183</v>
      </c>
      <c r="D1518" s="3">
        <v>9.16</v>
      </c>
      <c r="E1518" s="4">
        <v>0.16384095385548</v>
      </c>
      <c r="F1518" s="4">
        <v>0</v>
      </c>
      <c r="G1518" s="4">
        <v>-0.02328131613882611</v>
      </c>
      <c r="H1518" s="3">
        <v>1.5007831373162</v>
      </c>
      <c r="I1518" s="5">
        <v>447.242441</v>
      </c>
      <c r="J1518" s="6" t="s">
        <v>3178</v>
      </c>
      <c r="K1518" s="4" t="s">
        <v>3178</v>
      </c>
      <c r="L1518" s="7">
        <v>1.569260980473722</v>
      </c>
      <c r="M1518" s="3">
        <v>10.85</v>
      </c>
      <c r="N1518" s="3">
        <v>5.82</v>
      </c>
    </row>
    <row r="1519" spans="1:14">
      <c r="A1519" s="8" t="s">
        <v>1531</v>
      </c>
      <c r="B1519" s="2">
        <f>HYPERLINK("https://www.suredividend.com/sure-analysis-IVZ/","Invesco Ltd")</f>
        <v>0</v>
      </c>
      <c r="C1519" s="1" t="s">
        <v>3180</v>
      </c>
      <c r="D1519" s="3">
        <v>15.03</v>
      </c>
      <c r="E1519" s="4">
        <v>0.05455755156353959</v>
      </c>
      <c r="F1519" s="4">
        <v>0.02499999999999991</v>
      </c>
      <c r="G1519" s="4">
        <v>-0.07938418033734773</v>
      </c>
      <c r="H1519" s="3">
        <v>0.789070140717909</v>
      </c>
      <c r="I1519" s="5">
        <v>6760.961057</v>
      </c>
      <c r="J1519" s="6" t="s">
        <v>3178</v>
      </c>
      <c r="K1519" s="4" t="s">
        <v>3178</v>
      </c>
      <c r="L1519" s="7">
        <v>1.40111421753913</v>
      </c>
      <c r="M1519" s="3">
        <v>17.81</v>
      </c>
      <c r="N1519" s="3">
        <v>11.97</v>
      </c>
    </row>
    <row r="1520" spans="1:14">
      <c r="A1520" s="8" t="s">
        <v>1532</v>
      </c>
      <c r="B1520" s="2">
        <f>HYPERLINK("https://www.suredividend.com/sure-analysis-research-database/","IZEA Worldwide Inc")</f>
        <v>0</v>
      </c>
      <c r="C1520" s="1" t="s">
        <v>3187</v>
      </c>
      <c r="D1520" s="3">
        <v>2.3</v>
      </c>
      <c r="E1520" s="4">
        <v>0</v>
      </c>
      <c r="F1520" s="4" t="s">
        <v>3178</v>
      </c>
      <c r="G1520" s="4" t="s">
        <v>3178</v>
      </c>
      <c r="H1520" s="3">
        <v>0</v>
      </c>
      <c r="I1520" s="5">
        <v>38.423145</v>
      </c>
      <c r="J1520" s="6">
        <v>0</v>
      </c>
      <c r="K1520" s="4" t="s">
        <v>3178</v>
      </c>
      <c r="L1520" s="7">
        <v>0.5264830526009271</v>
      </c>
      <c r="M1520" s="3">
        <v>3.6</v>
      </c>
      <c r="N1520" s="3">
        <v>1.83</v>
      </c>
    </row>
    <row r="1521" spans="1:14">
      <c r="A1521" s="8" t="s">
        <v>1533</v>
      </c>
      <c r="B1521" s="2">
        <f>HYPERLINK("https://www.suredividend.com/sure-analysis-JACK/","Jack In The Box, Inc.")</f>
        <v>0</v>
      </c>
      <c r="C1521" s="1" t="s">
        <v>3182</v>
      </c>
      <c r="D1521" s="3">
        <v>56.6</v>
      </c>
      <c r="E1521" s="4">
        <v>0.03109540636042403</v>
      </c>
      <c r="F1521" s="4" t="s">
        <v>3178</v>
      </c>
      <c r="G1521" s="4" t="s">
        <v>3178</v>
      </c>
      <c r="H1521" s="3">
        <v>1.724666220011119</v>
      </c>
      <c r="I1521" s="5">
        <v>1097.478245</v>
      </c>
      <c r="J1521" s="6">
        <v>9.565914554424378</v>
      </c>
      <c r="K1521" s="4">
        <v>0.3047113462917171</v>
      </c>
      <c r="L1521" s="7">
        <v>0.929486658131576</v>
      </c>
      <c r="M1521" s="3">
        <v>94.76000000000001</v>
      </c>
      <c r="N1521" s="3">
        <v>51.21</v>
      </c>
    </row>
    <row r="1522" spans="1:14">
      <c r="A1522" s="8" t="s">
        <v>1534</v>
      </c>
      <c r="B1522" s="2">
        <f>HYPERLINK("https://www.suredividend.com/sure-analysis-research-database/","Jaguar Health Inc")</f>
        <v>0</v>
      </c>
      <c r="C1522" s="1" t="s">
        <v>3176</v>
      </c>
      <c r="D1522" s="3">
        <v>3.61</v>
      </c>
      <c r="E1522" s="4">
        <v>0</v>
      </c>
      <c r="F1522" s="4" t="s">
        <v>3178</v>
      </c>
      <c r="G1522" s="4" t="s">
        <v>3178</v>
      </c>
      <c r="H1522" s="3">
        <v>0</v>
      </c>
      <c r="I1522" s="5">
        <v>1059.006352</v>
      </c>
      <c r="J1522" s="6" t="s">
        <v>3178</v>
      </c>
      <c r="K1522" s="4">
        <v>-0</v>
      </c>
      <c r="M1522" s="3">
        <v>43.2</v>
      </c>
      <c r="N1522" s="3">
        <v>3.07</v>
      </c>
    </row>
    <row r="1523" spans="1:14">
      <c r="A1523" s="8" t="s">
        <v>1535</v>
      </c>
      <c r="B1523" s="2">
        <f>HYPERLINK("https://www.suredividend.com/sure-analysis-research-database/","Jakks Pacific Inc.")</f>
        <v>0</v>
      </c>
      <c r="C1523" s="1" t="s">
        <v>3182</v>
      </c>
      <c r="D1523" s="3">
        <v>18.18</v>
      </c>
      <c r="E1523" s="4">
        <v>0</v>
      </c>
      <c r="F1523" s="4" t="s">
        <v>3178</v>
      </c>
      <c r="G1523" s="4" t="s">
        <v>3178</v>
      </c>
      <c r="H1523" s="3">
        <v>0</v>
      </c>
      <c r="I1523" s="5">
        <v>196.360217</v>
      </c>
      <c r="J1523" s="6">
        <v>6.676874989288993</v>
      </c>
      <c r="K1523" s="4">
        <v>0</v>
      </c>
      <c r="L1523" s="7">
        <v>1.712999141557577</v>
      </c>
      <c r="M1523" s="3">
        <v>36.84</v>
      </c>
      <c r="N1523" s="3">
        <v>15.3</v>
      </c>
    </row>
    <row r="1524" spans="1:14">
      <c r="A1524" s="8" t="s">
        <v>1536</v>
      </c>
      <c r="B1524" s="2">
        <f>HYPERLINK("https://www.suredividend.com/sure-analysis-research-database/","J. Alexanders Holdings Inc")</f>
        <v>0</v>
      </c>
      <c r="C1524" s="1" t="s">
        <v>3182</v>
      </c>
      <c r="D1524" s="3">
        <v>14</v>
      </c>
      <c r="E1524" s="4">
        <v>0</v>
      </c>
      <c r="F1524" s="4" t="s">
        <v>3178</v>
      </c>
      <c r="G1524" s="4" t="s">
        <v>3178</v>
      </c>
      <c r="H1524" s="3">
        <v>0</v>
      </c>
      <c r="I1524" s="5">
        <v>211.118502</v>
      </c>
      <c r="J1524" s="6">
        <v>27.05260148641722</v>
      </c>
      <c r="K1524" s="4">
        <v>0</v>
      </c>
      <c r="L1524" s="7">
        <v>0.655588971458805</v>
      </c>
      <c r="M1524" s="3">
        <v>14</v>
      </c>
      <c r="N1524" s="3">
        <v>5.12</v>
      </c>
    </row>
    <row r="1525" spans="1:14">
      <c r="A1525" s="8" t="s">
        <v>1537</v>
      </c>
      <c r="B1525" s="2">
        <f>HYPERLINK("https://www.suredividend.com/sure-analysis-research-database/","Jazz Pharmaceuticals plc")</f>
        <v>0</v>
      </c>
      <c r="C1525" s="1" t="s">
        <v>3176</v>
      </c>
      <c r="D1525" s="3">
        <v>112.05</v>
      </c>
      <c r="E1525" s="4">
        <v>0</v>
      </c>
      <c r="F1525" s="4" t="s">
        <v>3178</v>
      </c>
      <c r="G1525" s="4" t="s">
        <v>3178</v>
      </c>
      <c r="H1525" s="3">
        <v>0</v>
      </c>
      <c r="I1525" s="5">
        <v>7063.589197</v>
      </c>
      <c r="J1525" s="6">
        <v>21.35343808200874</v>
      </c>
      <c r="K1525" s="4">
        <v>0</v>
      </c>
      <c r="L1525" s="7">
        <v>0.6503464584758281</v>
      </c>
      <c r="M1525" s="3">
        <v>146.7</v>
      </c>
      <c r="N1525" s="3">
        <v>103.01</v>
      </c>
    </row>
    <row r="1526" spans="1:14">
      <c r="A1526" s="8" t="s">
        <v>1538</v>
      </c>
      <c r="B1526" s="2">
        <f>HYPERLINK("https://www.suredividend.com/sure-analysis-research-database/","JBG SMITH Properties")</f>
        <v>0</v>
      </c>
      <c r="C1526" s="1" t="s">
        <v>3183</v>
      </c>
      <c r="D1526" s="3">
        <v>14.5</v>
      </c>
      <c r="E1526" s="4">
        <v>0.06878367040439801</v>
      </c>
      <c r="F1526" s="4">
        <v>-0.2222222222222222</v>
      </c>
      <c r="G1526" s="4">
        <v>-0.04902060720441037</v>
      </c>
      <c r="H1526" s="3">
        <v>0.997363220863775</v>
      </c>
      <c r="I1526" s="5">
        <v>1332.595211</v>
      </c>
      <c r="J1526" s="6" t="s">
        <v>3178</v>
      </c>
      <c r="K1526" s="4" t="s">
        <v>3178</v>
      </c>
      <c r="L1526" s="7">
        <v>1.705470812821716</v>
      </c>
      <c r="M1526" s="3">
        <v>17.76</v>
      </c>
      <c r="N1526" s="3">
        <v>12.15</v>
      </c>
    </row>
    <row r="1527" spans="1:14">
      <c r="A1527" s="8" t="s">
        <v>1539</v>
      </c>
      <c r="B1527" s="2">
        <f>HYPERLINK("https://www.suredividend.com/sure-analysis-JBHT/","J.B. Hunt Transport Services, Inc.")</f>
        <v>0</v>
      </c>
      <c r="C1527" s="1" t="s">
        <v>3179</v>
      </c>
      <c r="D1527" s="3">
        <v>159.96</v>
      </c>
      <c r="E1527" s="4">
        <v>0.01075268817204301</v>
      </c>
      <c r="F1527" s="4">
        <v>0.02380952380952372</v>
      </c>
      <c r="G1527" s="4">
        <v>0.1058571277811617</v>
      </c>
      <c r="H1527" s="3">
        <v>1.688153843979743</v>
      </c>
      <c r="I1527" s="5">
        <v>16507.323817</v>
      </c>
      <c r="J1527" s="6">
        <v>25.08666075554853</v>
      </c>
      <c r="K1527" s="4">
        <v>0.2675362668747612</v>
      </c>
      <c r="L1527" s="7">
        <v>1.069066225939316</v>
      </c>
      <c r="M1527" s="3">
        <v>218.38</v>
      </c>
      <c r="N1527" s="3">
        <v>154.1</v>
      </c>
    </row>
    <row r="1528" spans="1:14">
      <c r="A1528" s="8" t="s">
        <v>1540</v>
      </c>
      <c r="B1528" s="2">
        <f>HYPERLINK("https://www.suredividend.com/sure-analysis-research-database/","Jabil Inc")</f>
        <v>0</v>
      </c>
      <c r="C1528" s="1" t="s">
        <v>3181</v>
      </c>
      <c r="D1528" s="3">
        <v>113.88</v>
      </c>
      <c r="E1528" s="4">
        <v>0.00280730103183</v>
      </c>
      <c r="F1528" s="4">
        <v>0</v>
      </c>
      <c r="G1528" s="4">
        <v>0</v>
      </c>
      <c r="H1528" s="3">
        <v>0.319695441504875</v>
      </c>
      <c r="I1528" s="5">
        <v>13733.622346</v>
      </c>
      <c r="J1528" s="6">
        <v>9.101141382425448</v>
      </c>
      <c r="K1528" s="4">
        <v>0.02796985489981409</v>
      </c>
      <c r="L1528" s="7">
        <v>1.487295512439152</v>
      </c>
      <c r="M1528" s="3">
        <v>156.83</v>
      </c>
      <c r="N1528" s="3">
        <v>95.06</v>
      </c>
    </row>
    <row r="1529" spans="1:14">
      <c r="A1529" s="8" t="s">
        <v>1541</v>
      </c>
      <c r="B1529" s="2">
        <f>HYPERLINK("https://www.suredividend.com/sure-analysis-research-database/","Jetblue Airways Corp")</f>
        <v>0</v>
      </c>
      <c r="C1529" s="1" t="s">
        <v>3179</v>
      </c>
      <c r="D1529" s="3">
        <v>5.56</v>
      </c>
      <c r="E1529" s="4">
        <v>0</v>
      </c>
      <c r="F1529" s="4" t="s">
        <v>3178</v>
      </c>
      <c r="G1529" s="4" t="s">
        <v>3178</v>
      </c>
      <c r="H1529" s="3">
        <v>0</v>
      </c>
      <c r="I1529" s="5">
        <v>1891.150878</v>
      </c>
      <c r="J1529" s="6" t="s">
        <v>3178</v>
      </c>
      <c r="K1529" s="4">
        <v>-0</v>
      </c>
      <c r="L1529" s="7">
        <v>1.089261394611855</v>
      </c>
      <c r="M1529" s="3">
        <v>9.449999999999999</v>
      </c>
      <c r="N1529" s="3">
        <v>3.42</v>
      </c>
    </row>
    <row r="1530" spans="1:14">
      <c r="A1530" s="8" t="s">
        <v>1542</v>
      </c>
      <c r="B1530" s="2">
        <f>HYPERLINK("https://www.suredividend.com/sure-analysis-research-database/","Sanfilippo (John B.) &amp; Son, Inc")</f>
        <v>0</v>
      </c>
      <c r="C1530" s="1" t="s">
        <v>3184</v>
      </c>
      <c r="D1530" s="3">
        <v>97.77</v>
      </c>
      <c r="E1530" s="4">
        <v>0.008020911472683001</v>
      </c>
      <c r="F1530" s="4" t="s">
        <v>3178</v>
      </c>
      <c r="G1530" s="4" t="s">
        <v>3178</v>
      </c>
      <c r="H1530" s="3">
        <v>0.7842045146842791</v>
      </c>
      <c r="I1530" s="5">
        <v>880.520335</v>
      </c>
      <c r="J1530" s="6">
        <v>13.56545833798086</v>
      </c>
      <c r="K1530" s="4">
        <v>0.1410439774612013</v>
      </c>
      <c r="L1530" s="7">
        <v>0.11200416263421</v>
      </c>
      <c r="M1530" s="3">
        <v>122.35</v>
      </c>
      <c r="N1530" s="3">
        <v>88.23999999999999</v>
      </c>
    </row>
    <row r="1531" spans="1:14">
      <c r="A1531" s="8" t="s">
        <v>1543</v>
      </c>
      <c r="B1531" s="2">
        <f>HYPERLINK("https://www.suredividend.com/sure-analysis-research-database/","John Bean Technologies Corp")</f>
        <v>0</v>
      </c>
      <c r="C1531" s="1" t="s">
        <v>3179</v>
      </c>
      <c r="D1531" s="3">
        <v>92.37</v>
      </c>
      <c r="E1531" s="4">
        <v>0.004323839596956001</v>
      </c>
      <c r="F1531" s="4">
        <v>0</v>
      </c>
      <c r="G1531" s="4">
        <v>0</v>
      </c>
      <c r="H1531" s="3">
        <v>0.399393063570843</v>
      </c>
      <c r="I1531" s="5">
        <v>2940.2618</v>
      </c>
      <c r="J1531" s="6">
        <v>5.071165573473611</v>
      </c>
      <c r="K1531" s="4">
        <v>0.02209032431254663</v>
      </c>
      <c r="L1531" s="7">
        <v>1.092081339682417</v>
      </c>
      <c r="M1531" s="3">
        <v>125.39</v>
      </c>
      <c r="N1531" s="3">
        <v>87.94</v>
      </c>
    </row>
    <row r="1532" spans="1:14">
      <c r="A1532" s="8" t="s">
        <v>1544</v>
      </c>
      <c r="B1532" s="2">
        <f>HYPERLINK("https://www.suredividend.com/sure-analysis-JCI/","Johnson Controls International plc")</f>
        <v>0</v>
      </c>
      <c r="C1532" s="1" t="s">
        <v>3179</v>
      </c>
      <c r="D1532" s="3">
        <v>69.95</v>
      </c>
      <c r="E1532" s="4">
        <v>0.02115796997855611</v>
      </c>
      <c r="F1532" s="4">
        <v>0.0277777777777779</v>
      </c>
      <c r="G1532" s="4">
        <v>0.07311354150601401</v>
      </c>
      <c r="H1532" s="3">
        <v>1.4661803462402</v>
      </c>
      <c r="I1532" s="5">
        <v>47123.605982</v>
      </c>
      <c r="J1532" s="6">
        <v>27.80153745227138</v>
      </c>
      <c r="K1532" s="4">
        <v>0.5912017525162098</v>
      </c>
      <c r="L1532" s="7">
        <v>1.024563916640678</v>
      </c>
      <c r="M1532" s="3">
        <v>74.23</v>
      </c>
      <c r="N1532" s="3">
        <v>47.3</v>
      </c>
    </row>
    <row r="1533" spans="1:14">
      <c r="A1533" s="8" t="s">
        <v>1545</v>
      </c>
      <c r="B1533" s="2">
        <f>HYPERLINK("https://www.suredividend.com/sure-analysis-research-database/","Pineapple Holdings Inc")</f>
        <v>0</v>
      </c>
      <c r="C1533" s="1" t="s">
        <v>3181</v>
      </c>
      <c r="D1533" s="3">
        <v>8.18</v>
      </c>
      <c r="E1533" s="4">
        <v>0</v>
      </c>
      <c r="F1533" s="4" t="s">
        <v>3178</v>
      </c>
      <c r="G1533" s="4" t="s">
        <v>3178</v>
      </c>
      <c r="H1533" s="3">
        <v>0</v>
      </c>
      <c r="I1533" s="5">
        <v>79.514729</v>
      </c>
      <c r="J1533" s="6">
        <v>0</v>
      </c>
      <c r="K1533" s="4" t="s">
        <v>3178</v>
      </c>
      <c r="L1533" s="7">
        <v>0.272415469132382</v>
      </c>
      <c r="M1533" s="3">
        <v>24.79</v>
      </c>
      <c r="N1533" s="3">
        <v>7.32</v>
      </c>
    </row>
    <row r="1534" spans="1:14">
      <c r="A1534" s="8" t="s">
        <v>1546</v>
      </c>
      <c r="B1534" s="2">
        <f>HYPERLINK("https://www.suredividend.com/sure-analysis-research-database/","Jewett-Cameron Trading Co. Ltd.")</f>
        <v>0</v>
      </c>
      <c r="C1534" s="1" t="s">
        <v>3177</v>
      </c>
      <c r="D1534" s="3">
        <v>5.45</v>
      </c>
      <c r="E1534" s="4">
        <v>0</v>
      </c>
      <c r="F1534" s="4" t="s">
        <v>3178</v>
      </c>
      <c r="G1534" s="4" t="s">
        <v>3178</v>
      </c>
      <c r="H1534" s="3">
        <v>0</v>
      </c>
      <c r="I1534" s="5">
        <v>19.101171</v>
      </c>
      <c r="J1534" s="6">
        <v>0</v>
      </c>
      <c r="K1534" s="4" t="s">
        <v>3178</v>
      </c>
      <c r="M1534" s="3">
        <v>6.35</v>
      </c>
      <c r="N1534" s="3">
        <v>3.7</v>
      </c>
    </row>
    <row r="1535" spans="1:14">
      <c r="A1535" s="8" t="s">
        <v>1547</v>
      </c>
      <c r="B1535" s="2">
        <f>HYPERLINK("https://www.suredividend.com/sure-analysis-research-database/","Jefferies Financial Group Inc")</f>
        <v>0</v>
      </c>
      <c r="C1535" s="1" t="s">
        <v>3180</v>
      </c>
      <c r="D1535" s="3">
        <v>44.53</v>
      </c>
      <c r="E1535" s="4">
        <v>0.026661840582103</v>
      </c>
      <c r="F1535" s="4">
        <v>0</v>
      </c>
      <c r="G1535" s="4">
        <v>0.1486983549970351</v>
      </c>
      <c r="H1535" s="3">
        <v>1.187251761121086</v>
      </c>
      <c r="I1535" s="5">
        <v>9442.299727</v>
      </c>
      <c r="J1535" s="6">
        <v>33.76808594030513</v>
      </c>
      <c r="K1535" s="4">
        <v>0.98119980257941</v>
      </c>
      <c r="L1535" s="7">
        <v>1.08520330311397</v>
      </c>
      <c r="M1535" s="3">
        <v>47.87</v>
      </c>
      <c r="N1535" s="3">
        <v>30.16</v>
      </c>
    </row>
    <row r="1536" spans="1:14">
      <c r="A1536" s="8" t="s">
        <v>1548</v>
      </c>
      <c r="B1536" s="2">
        <f>HYPERLINK("https://www.suredividend.com/sure-analysis-research-database/","JELD-WEN Holding Inc.")</f>
        <v>0</v>
      </c>
      <c r="C1536" s="1" t="s">
        <v>3179</v>
      </c>
      <c r="D1536" s="3">
        <v>14.12</v>
      </c>
      <c r="E1536" s="4">
        <v>0</v>
      </c>
      <c r="F1536" s="4" t="s">
        <v>3178</v>
      </c>
      <c r="G1536" s="4" t="s">
        <v>3178</v>
      </c>
      <c r="H1536" s="3">
        <v>0</v>
      </c>
      <c r="I1536" s="5">
        <v>1214.127516</v>
      </c>
      <c r="J1536" s="6">
        <v>62.00538870129206</v>
      </c>
      <c r="K1536" s="4">
        <v>0</v>
      </c>
      <c r="L1536" s="7">
        <v>1.84715792711974</v>
      </c>
      <c r="M1536" s="3">
        <v>21.75</v>
      </c>
      <c r="N1536" s="3">
        <v>11.02</v>
      </c>
    </row>
    <row r="1537" spans="1:14">
      <c r="A1537" s="8" t="s">
        <v>1549</v>
      </c>
      <c r="B1537" s="2">
        <f>HYPERLINK("https://www.suredividend.com/sure-analysis-JHG/","Janus Henderson Group plc")</f>
        <v>0</v>
      </c>
      <c r="C1537" s="1" t="s">
        <v>3180</v>
      </c>
      <c r="D1537" s="3">
        <v>32.36</v>
      </c>
      <c r="E1537" s="4">
        <v>0.04882571075401731</v>
      </c>
      <c r="F1537" s="4">
        <v>0</v>
      </c>
      <c r="G1537" s="4">
        <v>0.01613736474159566</v>
      </c>
      <c r="H1537" s="3">
        <v>1.53034936742814</v>
      </c>
      <c r="I1537" s="5">
        <v>5192.545337</v>
      </c>
      <c r="J1537" s="6">
        <v>12.27842359082526</v>
      </c>
      <c r="K1537" s="4">
        <v>0.5774903273313736</v>
      </c>
      <c r="L1537" s="7">
        <v>1.349989677786401</v>
      </c>
      <c r="M1537" s="3">
        <v>34.96</v>
      </c>
      <c r="N1537" s="3">
        <v>21.29</v>
      </c>
    </row>
    <row r="1538" spans="1:14">
      <c r="A1538" s="8" t="s">
        <v>1550</v>
      </c>
      <c r="B1538" s="2">
        <f>HYPERLINK("https://www.suredividend.com/sure-analysis-research-database/","J.Jill Inc")</f>
        <v>0</v>
      </c>
      <c r="C1538" s="1" t="s">
        <v>3182</v>
      </c>
      <c r="D1538" s="3">
        <v>37.95</v>
      </c>
      <c r="E1538" s="4">
        <v>0.001844532287167</v>
      </c>
      <c r="F1538" s="4" t="s">
        <v>3178</v>
      </c>
      <c r="G1538" s="4" t="s">
        <v>3178</v>
      </c>
      <c r="H1538" s="3">
        <v>0.070000000298023</v>
      </c>
      <c r="I1538" s="5">
        <v>407.880794</v>
      </c>
      <c r="J1538" s="6">
        <v>11.26711399270738</v>
      </c>
      <c r="K1538" s="4">
        <v>0.02788844633387371</v>
      </c>
      <c r="L1538" s="7">
        <v>1.240121569151052</v>
      </c>
      <c r="M1538" s="3">
        <v>39.92</v>
      </c>
      <c r="N1538" s="3">
        <v>18.81</v>
      </c>
    </row>
    <row r="1539" spans="1:14">
      <c r="A1539" s="8" t="s">
        <v>1551</v>
      </c>
      <c r="B1539" s="2">
        <f>HYPERLINK("https://www.suredividend.com/sure-analysis-JJSF/","J&amp;J Snack Foods Corp.")</f>
        <v>0</v>
      </c>
      <c r="C1539" s="1" t="s">
        <v>3184</v>
      </c>
      <c r="D1539" s="3">
        <v>162.85</v>
      </c>
      <c r="E1539" s="4">
        <v>0.01805342339576297</v>
      </c>
      <c r="F1539" s="4">
        <v>0.04999999999999982</v>
      </c>
      <c r="G1539" s="4">
        <v>0.08009875865888949</v>
      </c>
      <c r="H1539" s="3">
        <v>2.875712236618017</v>
      </c>
      <c r="I1539" s="5">
        <v>3157.0101</v>
      </c>
      <c r="J1539" s="6">
        <v>36.70387150779533</v>
      </c>
      <c r="K1539" s="4">
        <v>0.6476829361752291</v>
      </c>
      <c r="L1539" s="7">
        <v>0.3276706773831951</v>
      </c>
      <c r="M1539" s="3">
        <v>173.96</v>
      </c>
      <c r="N1539" s="3">
        <v>133.23</v>
      </c>
    </row>
    <row r="1540" spans="1:14">
      <c r="A1540" s="8" t="s">
        <v>1552</v>
      </c>
      <c r="B1540" s="2">
        <f>HYPERLINK("https://www.suredividend.com/sure-analysis-JKHY/","Jack Henry &amp; Associates, Inc.")</f>
        <v>0</v>
      </c>
      <c r="C1540" s="1" t="s">
        <v>3181</v>
      </c>
      <c r="D1540" s="3">
        <v>164.78</v>
      </c>
      <c r="E1540" s="4">
        <v>0.01335113484646195</v>
      </c>
      <c r="F1540" s="4">
        <v>0.05769230769230771</v>
      </c>
      <c r="G1540" s="4">
        <v>0.06576275663547415</v>
      </c>
      <c r="H1540" s="3">
        <v>2.112795048457837</v>
      </c>
      <c r="I1540" s="5">
        <v>12012.466284</v>
      </c>
      <c r="J1540" s="6">
        <v>31.73568959906583</v>
      </c>
      <c r="K1540" s="4">
        <v>0.4078754919802774</v>
      </c>
      <c r="L1540" s="7">
        <v>0.7507128032714261</v>
      </c>
      <c r="M1540" s="3">
        <v>175.52</v>
      </c>
      <c r="N1540" s="3">
        <v>133.49</v>
      </c>
    </row>
    <row r="1541" spans="1:14">
      <c r="A1541" s="8" t="s">
        <v>1553</v>
      </c>
      <c r="B1541" s="2">
        <f>HYPERLINK("https://www.suredividend.com/sure-analysis-research-database/","Jones Lang Lasalle Inc.")</f>
        <v>0</v>
      </c>
      <c r="C1541" s="1" t="s">
        <v>3183</v>
      </c>
      <c r="D1541" s="3">
        <v>198.94</v>
      </c>
      <c r="E1541" s="4">
        <v>0</v>
      </c>
      <c r="F1541" s="4" t="s">
        <v>3178</v>
      </c>
      <c r="G1541" s="4" t="s">
        <v>3178</v>
      </c>
      <c r="H1541" s="3">
        <v>0</v>
      </c>
      <c r="I1541" s="5">
        <v>9461.69522</v>
      </c>
      <c r="J1541" s="6">
        <v>31.46556441696042</v>
      </c>
      <c r="K1541" s="4">
        <v>0</v>
      </c>
      <c r="L1541" s="7">
        <v>1.574236289649319</v>
      </c>
      <c r="M1541" s="3">
        <v>209.79</v>
      </c>
      <c r="N1541" s="3">
        <v>119.46</v>
      </c>
    </row>
    <row r="1542" spans="1:14">
      <c r="A1542" s="8" t="s">
        <v>1554</v>
      </c>
      <c r="B1542" s="2">
        <f>HYPERLINK("https://www.suredividend.com/sure-analysis-research-database/","Jounce Therapeutics Inc")</f>
        <v>0</v>
      </c>
      <c r="C1542" s="1" t="s">
        <v>3176</v>
      </c>
      <c r="D1542" s="3">
        <v>1.88</v>
      </c>
      <c r="E1542" s="4">
        <v>0</v>
      </c>
      <c r="F1542" s="4" t="s">
        <v>3178</v>
      </c>
      <c r="G1542" s="4" t="s">
        <v>3178</v>
      </c>
      <c r="H1542" s="3">
        <v>0</v>
      </c>
      <c r="I1542" s="5">
        <v>0</v>
      </c>
      <c r="J1542" s="6">
        <v>0</v>
      </c>
      <c r="K1542" s="4" t="s">
        <v>3178</v>
      </c>
    </row>
    <row r="1543" spans="1:14">
      <c r="A1543" s="8" t="s">
        <v>1555</v>
      </c>
      <c r="B1543" s="2">
        <f>HYPERLINK("https://www.suredividend.com/sure-analysis-JNJ/","Johnson &amp; Johnson")</f>
        <v>0</v>
      </c>
      <c r="C1543" s="1" t="s">
        <v>3176</v>
      </c>
      <c r="D1543" s="3">
        <v>147.08</v>
      </c>
      <c r="E1543" s="4">
        <v>0.03372314386728311</v>
      </c>
      <c r="F1543" s="4">
        <v>0.04201680672268915</v>
      </c>
      <c r="G1543" s="4">
        <v>0.05472591271576022</v>
      </c>
      <c r="H1543" s="3">
        <v>4.75427560263084</v>
      </c>
      <c r="I1543" s="5">
        <v>353974.374236</v>
      </c>
      <c r="J1543" s="6">
        <v>9.199874577285582</v>
      </c>
      <c r="K1543" s="4">
        <v>0.3109401963787338</v>
      </c>
      <c r="L1543" s="7">
        <v>0.234359067620416</v>
      </c>
      <c r="M1543" s="3">
        <v>170.63</v>
      </c>
      <c r="N1543" s="3">
        <v>141.57</v>
      </c>
    </row>
    <row r="1544" spans="1:14">
      <c r="A1544" s="8" t="s">
        <v>1556</v>
      </c>
      <c r="B1544" s="2">
        <f>HYPERLINK("https://www.suredividend.com/sure-analysis-JNPR/","Juniper Networks Inc")</f>
        <v>0</v>
      </c>
      <c r="C1544" s="1" t="s">
        <v>3181</v>
      </c>
      <c r="D1544" s="3">
        <v>35.55</v>
      </c>
      <c r="E1544" s="4">
        <v>0.02475386779184248</v>
      </c>
      <c r="F1544" s="4">
        <v>0</v>
      </c>
      <c r="G1544" s="4">
        <v>0.02975477857041309</v>
      </c>
      <c r="H1544" s="3">
        <v>0.8716268614407091</v>
      </c>
      <c r="I1544" s="5">
        <v>11553.319738</v>
      </c>
      <c r="J1544" s="6">
        <v>51.57732026049107</v>
      </c>
      <c r="K1544" s="4">
        <v>1.261764420151577</v>
      </c>
      <c r="L1544" s="7">
        <v>0.346310417853158</v>
      </c>
      <c r="M1544" s="3">
        <v>37.58</v>
      </c>
      <c r="N1544" s="3">
        <v>24.38</v>
      </c>
    </row>
    <row r="1545" spans="1:14">
      <c r="A1545" s="8" t="s">
        <v>1557</v>
      </c>
      <c r="B1545" s="2">
        <f>HYPERLINK("https://www.suredividend.com/sure-analysis-research-database/","GEE Group Inc")</f>
        <v>0</v>
      </c>
      <c r="C1545" s="1" t="s">
        <v>3179</v>
      </c>
      <c r="D1545" s="3">
        <v>0.3483</v>
      </c>
      <c r="E1545" s="4">
        <v>0</v>
      </c>
      <c r="F1545" s="4" t="s">
        <v>3178</v>
      </c>
      <c r="G1545" s="4" t="s">
        <v>3178</v>
      </c>
      <c r="H1545" s="3">
        <v>0</v>
      </c>
      <c r="I1545" s="5">
        <v>37.885141</v>
      </c>
      <c r="J1545" s="6">
        <v>0</v>
      </c>
      <c r="K1545" s="4" t="s">
        <v>3178</v>
      </c>
      <c r="L1545" s="7">
        <v>0.022805967493728</v>
      </c>
      <c r="M1545" s="3">
        <v>0.63</v>
      </c>
      <c r="N1545" s="3">
        <v>0.297</v>
      </c>
    </row>
    <row r="1546" spans="1:14">
      <c r="A1546" s="8" t="s">
        <v>1558</v>
      </c>
      <c r="B1546" s="2">
        <f>HYPERLINK("https://www.suredividend.com/sure-analysis-research-database/","St. Joe Co.")</f>
        <v>0</v>
      </c>
      <c r="C1546" s="1" t="s">
        <v>3183</v>
      </c>
      <c r="D1546" s="3">
        <v>54.99</v>
      </c>
      <c r="E1546" s="4">
        <v>0.008700314240858001</v>
      </c>
      <c r="F1546" s="4" t="s">
        <v>3178</v>
      </c>
      <c r="G1546" s="4" t="s">
        <v>3178</v>
      </c>
      <c r="H1546" s="3">
        <v>0.478430280104823</v>
      </c>
      <c r="I1546" s="5">
        <v>3211.278855</v>
      </c>
      <c r="J1546" s="6">
        <v>39.5297568218915</v>
      </c>
      <c r="K1546" s="4">
        <v>0.3441944461185777</v>
      </c>
      <c r="L1546" s="7">
        <v>1.28861174336471</v>
      </c>
      <c r="M1546" s="3">
        <v>65.42</v>
      </c>
      <c r="N1546" s="3">
        <v>43.75</v>
      </c>
    </row>
    <row r="1547" spans="1:14">
      <c r="A1547" s="8" t="s">
        <v>1559</v>
      </c>
      <c r="B1547" s="2">
        <f>HYPERLINK("https://www.suredividend.com/sure-analysis-research-database/","Johnson Outdoors Inc")</f>
        <v>0</v>
      </c>
      <c r="C1547" s="1" t="s">
        <v>3182</v>
      </c>
      <c r="D1547" s="3">
        <v>35.12</v>
      </c>
      <c r="E1547" s="4">
        <v>0.036262846619635</v>
      </c>
      <c r="F1547" s="4">
        <v>0.06451612903225823</v>
      </c>
      <c r="G1547" s="4">
        <v>0.1870723269950472</v>
      </c>
      <c r="H1547" s="3">
        <v>1.273551173281591</v>
      </c>
      <c r="I1547" s="5">
        <v>319.3666</v>
      </c>
      <c r="J1547" s="6">
        <v>66.77118959648755</v>
      </c>
      <c r="K1547" s="4">
        <v>2.70968334740764</v>
      </c>
      <c r="L1547" s="7">
        <v>0.5744189054104121</v>
      </c>
      <c r="M1547" s="3">
        <v>60.13</v>
      </c>
      <c r="N1547" s="3">
        <v>34.42</v>
      </c>
    </row>
    <row r="1548" spans="1:14">
      <c r="A1548" s="8" t="s">
        <v>1560</v>
      </c>
      <c r="B1548" s="2">
        <f>HYPERLINK("https://www.suredividend.com/sure-analysis-JPM/","JPMorgan Chase &amp; Co.")</f>
        <v>0</v>
      </c>
      <c r="C1548" s="1" t="s">
        <v>3180</v>
      </c>
      <c r="D1548" s="3">
        <v>199.95</v>
      </c>
      <c r="E1548" s="4">
        <v>0.02300575143785947</v>
      </c>
      <c r="F1548" s="4">
        <v>0.1499999999999999</v>
      </c>
      <c r="G1548" s="4">
        <v>0.07528000640556964</v>
      </c>
      <c r="H1548" s="3">
        <v>4.212293952436168</v>
      </c>
      <c r="I1548" s="5">
        <v>574189.992406</v>
      </c>
      <c r="J1548" s="6">
        <v>11.83677240112247</v>
      </c>
      <c r="K1548" s="4">
        <v>0.2542120671355563</v>
      </c>
      <c r="L1548" s="7">
        <v>0.682084088525287</v>
      </c>
      <c r="M1548" s="3">
        <v>205.88</v>
      </c>
      <c r="N1548" s="3">
        <v>133.58</v>
      </c>
    </row>
    <row r="1549" spans="1:14">
      <c r="A1549" s="8" t="s">
        <v>1561</v>
      </c>
      <c r="B1549" s="2">
        <f>HYPERLINK("https://www.suredividend.com/sure-analysis-research-database/","James River Group Holdings Ltd")</f>
        <v>0</v>
      </c>
      <c r="C1549" s="1" t="s">
        <v>3180</v>
      </c>
      <c r="D1549" s="3">
        <v>7.57</v>
      </c>
      <c r="E1549" s="4">
        <v>0.026123139412596</v>
      </c>
      <c r="F1549" s="4" t="s">
        <v>3178</v>
      </c>
      <c r="G1549" s="4" t="s">
        <v>3178</v>
      </c>
      <c r="H1549" s="3">
        <v>0.197752165353356</v>
      </c>
      <c r="I1549" s="5">
        <v>286.341056</v>
      </c>
      <c r="J1549" s="6" t="s">
        <v>3178</v>
      </c>
      <c r="K1549" s="4" t="s">
        <v>3178</v>
      </c>
      <c r="L1549" s="7">
        <v>0.866961225390501</v>
      </c>
      <c r="M1549" s="3">
        <v>20.18</v>
      </c>
      <c r="N1549" s="3">
        <v>6.35</v>
      </c>
    </row>
    <row r="1550" spans="1:14">
      <c r="A1550" s="8" t="s">
        <v>1562</v>
      </c>
      <c r="B1550" s="2">
        <f>HYPERLINK("https://www.suredividend.com/sure-analysis-research-database/","Coffee Holding Co Inc")</f>
        <v>0</v>
      </c>
      <c r="C1550" s="1" t="s">
        <v>3184</v>
      </c>
      <c r="D1550" s="3">
        <v>1.31</v>
      </c>
      <c r="E1550" s="4">
        <v>0</v>
      </c>
      <c r="F1550" s="4" t="s">
        <v>3178</v>
      </c>
      <c r="G1550" s="4" t="s">
        <v>3178</v>
      </c>
      <c r="H1550" s="3">
        <v>0</v>
      </c>
      <c r="I1550" s="5">
        <v>7.478265</v>
      </c>
      <c r="J1550" s="6">
        <v>0</v>
      </c>
      <c r="K1550" s="4" t="s">
        <v>3178</v>
      </c>
      <c r="L1550" s="7">
        <v>0.514368660686233</v>
      </c>
      <c r="M1550" s="3">
        <v>1.85</v>
      </c>
      <c r="N1550" s="3">
        <v>0.67</v>
      </c>
    </row>
    <row r="1551" spans="1:14">
      <c r="A1551" s="8" t="s">
        <v>1563</v>
      </c>
      <c r="B1551" s="2">
        <f>HYPERLINK("https://www.suredividend.com/sure-analysis-JWN/","Nordstrom, Inc.")</f>
        <v>0</v>
      </c>
      <c r="C1551" s="1" t="s">
        <v>3182</v>
      </c>
      <c r="D1551" s="3">
        <v>21.5</v>
      </c>
      <c r="E1551" s="4">
        <v>0.03534883720930233</v>
      </c>
      <c r="F1551" s="4" t="s">
        <v>3178</v>
      </c>
      <c r="G1551" s="4" t="s">
        <v>3178</v>
      </c>
      <c r="H1551" s="3">
        <v>0.7487438377782121</v>
      </c>
      <c r="I1551" s="5">
        <v>3510.051945</v>
      </c>
      <c r="J1551" s="6">
        <v>26.1944175</v>
      </c>
      <c r="K1551" s="4">
        <v>0.9129909008391807</v>
      </c>
      <c r="L1551" s="7">
        <v>1.652379766852302</v>
      </c>
      <c r="M1551" s="3">
        <v>23.35</v>
      </c>
      <c r="N1551" s="3">
        <v>12.47</v>
      </c>
    </row>
    <row r="1552" spans="1:14">
      <c r="A1552" s="8" t="s">
        <v>1564</v>
      </c>
      <c r="B1552" s="2">
        <f>HYPERLINK("https://www.suredividend.com/sure-analysis-research-database/","Joint Corp")</f>
        <v>0</v>
      </c>
      <c r="C1552" s="1" t="s">
        <v>3176</v>
      </c>
      <c r="D1552" s="3">
        <v>14.86</v>
      </c>
      <c r="E1552" s="4">
        <v>0</v>
      </c>
      <c r="F1552" s="4" t="s">
        <v>3178</v>
      </c>
      <c r="G1552" s="4" t="s">
        <v>3178</v>
      </c>
      <c r="H1552" s="3">
        <v>0</v>
      </c>
      <c r="I1552" s="5">
        <v>222.512303</v>
      </c>
      <c r="J1552" s="6" t="s">
        <v>3178</v>
      </c>
      <c r="K1552" s="4">
        <v>-0</v>
      </c>
      <c r="L1552" s="7">
        <v>1.372212468041419</v>
      </c>
      <c r="M1552" s="3">
        <v>17.82</v>
      </c>
      <c r="N1552" s="3">
        <v>7.31</v>
      </c>
    </row>
    <row r="1553" spans="1:14">
      <c r="A1553" s="8" t="s">
        <v>1565</v>
      </c>
      <c r="B1553" s="2">
        <f>HYPERLINK("https://www.suredividend.com/sure-analysis-K/","Kellanova Co")</f>
        <v>0</v>
      </c>
      <c r="C1553" s="1" t="s">
        <v>3184</v>
      </c>
      <c r="D1553" s="3">
        <v>59.63</v>
      </c>
      <c r="E1553" s="4">
        <v>0.03756498406842194</v>
      </c>
      <c r="F1553" s="4">
        <v>-0.05084745762711851</v>
      </c>
      <c r="G1553" s="4">
        <v>-0.003533657305866189</v>
      </c>
      <c r="H1553" s="3">
        <v>2.246188888106243</v>
      </c>
      <c r="I1553" s="5">
        <v>20280.7593</v>
      </c>
      <c r="J1553" s="6">
        <v>22.15926277320652</v>
      </c>
      <c r="K1553" s="4">
        <v>0.8258047382743541</v>
      </c>
      <c r="L1553" s="7">
        <v>0.240835112884749</v>
      </c>
      <c r="M1553" s="3">
        <v>66</v>
      </c>
      <c r="N1553" s="3">
        <v>46.21</v>
      </c>
    </row>
    <row r="1554" spans="1:14">
      <c r="A1554" s="8" t="s">
        <v>1566</v>
      </c>
      <c r="B1554" s="2">
        <f>HYPERLINK("https://www.suredividend.com/sure-analysis-research-database/","Kadant, Inc.")</f>
        <v>0</v>
      </c>
      <c r="C1554" s="1" t="s">
        <v>3179</v>
      </c>
      <c r="D1554" s="3">
        <v>272.58</v>
      </c>
      <c r="E1554" s="4">
        <v>0.00435874959668</v>
      </c>
      <c r="F1554" s="4">
        <v>0.1034482758620692</v>
      </c>
      <c r="G1554" s="4">
        <v>0.06827835368843793</v>
      </c>
      <c r="H1554" s="3">
        <v>1.188107965063161</v>
      </c>
      <c r="I1554" s="5">
        <v>3200.892221</v>
      </c>
      <c r="J1554" s="6">
        <v>28.40616792843641</v>
      </c>
      <c r="K1554" s="4">
        <v>0.1237612463607459</v>
      </c>
      <c r="L1554" s="7">
        <v>1.30385551604823</v>
      </c>
      <c r="M1554" s="3">
        <v>353.65</v>
      </c>
      <c r="N1554" s="3">
        <v>196.33</v>
      </c>
    </row>
    <row r="1555" spans="1:14">
      <c r="A1555" s="8" t="s">
        <v>1567</v>
      </c>
      <c r="B1555" s="2">
        <f>HYPERLINK("https://www.suredividend.com/sure-analysis-research-database/","Kala Bio Inc.")</f>
        <v>0</v>
      </c>
      <c r="C1555" s="1" t="s">
        <v>3176</v>
      </c>
      <c r="D1555" s="3">
        <v>6.57</v>
      </c>
      <c r="E1555" s="4">
        <v>0</v>
      </c>
      <c r="F1555" s="4" t="s">
        <v>3178</v>
      </c>
      <c r="G1555" s="4" t="s">
        <v>3178</v>
      </c>
      <c r="H1555" s="3">
        <v>0</v>
      </c>
      <c r="I1555" s="5">
        <v>18.504103</v>
      </c>
      <c r="J1555" s="6" t="s">
        <v>3178</v>
      </c>
      <c r="K1555" s="4">
        <v>-0</v>
      </c>
      <c r="L1555" s="7">
        <v>0.376350139613681</v>
      </c>
      <c r="M1555" s="3">
        <v>16.83</v>
      </c>
      <c r="N1555" s="3">
        <v>5.1</v>
      </c>
    </row>
    <row r="1556" spans="1:14">
      <c r="A1556" s="8" t="s">
        <v>1568</v>
      </c>
      <c r="B1556" s="2">
        <f>HYPERLINK("https://www.suredividend.com/sure-analysis-KALU/","Kaiser Aluminum Corp")</f>
        <v>0</v>
      </c>
      <c r="C1556" s="1" t="s">
        <v>3177</v>
      </c>
      <c r="D1556" s="3">
        <v>91.02</v>
      </c>
      <c r="E1556" s="4">
        <v>0.03383871676554603</v>
      </c>
      <c r="F1556" s="4">
        <v>0</v>
      </c>
      <c r="G1556" s="4">
        <v>0.05115774595007161</v>
      </c>
      <c r="H1556" s="3">
        <v>2.988057798828636</v>
      </c>
      <c r="I1556" s="5">
        <v>1462.58518</v>
      </c>
      <c r="J1556" s="6">
        <v>26.21120393655914</v>
      </c>
      <c r="K1556" s="4">
        <v>0.8661037098054017</v>
      </c>
      <c r="L1556" s="7">
        <v>1.868052629526563</v>
      </c>
      <c r="M1556" s="3">
        <v>102.42</v>
      </c>
      <c r="N1556" s="3">
        <v>51.53</v>
      </c>
    </row>
    <row r="1557" spans="1:14">
      <c r="A1557" s="8" t="s">
        <v>1569</v>
      </c>
      <c r="B1557" s="2">
        <f>HYPERLINK("https://www.suredividend.com/sure-analysis-research-database/","KalVista Pharmaceuticals Inc")</f>
        <v>0</v>
      </c>
      <c r="C1557" s="1" t="s">
        <v>3176</v>
      </c>
      <c r="D1557" s="3">
        <v>11.68</v>
      </c>
      <c r="E1557" s="4">
        <v>0</v>
      </c>
      <c r="F1557" s="4" t="s">
        <v>3178</v>
      </c>
      <c r="G1557" s="4" t="s">
        <v>3178</v>
      </c>
      <c r="H1557" s="3">
        <v>0</v>
      </c>
      <c r="I1557" s="5">
        <v>492.759297</v>
      </c>
      <c r="J1557" s="6" t="s">
        <v>3178</v>
      </c>
      <c r="K1557" s="4">
        <v>-0</v>
      </c>
      <c r="L1557" s="7">
        <v>0.6021332442039381</v>
      </c>
      <c r="M1557" s="3">
        <v>16.88</v>
      </c>
      <c r="N1557" s="3">
        <v>7.21</v>
      </c>
    </row>
    <row r="1558" spans="1:14">
      <c r="A1558" s="8" t="s">
        <v>1570</v>
      </c>
      <c r="B1558" s="2">
        <f>HYPERLINK("https://www.suredividend.com/sure-analysis-research-database/","Kaman Corp.")</f>
        <v>0</v>
      </c>
      <c r="C1558" s="1" t="s">
        <v>3179</v>
      </c>
      <c r="D1558" s="3">
        <v>45.99</v>
      </c>
      <c r="E1558" s="4">
        <v>0.017224296559852</v>
      </c>
      <c r="F1558" s="4">
        <v>0</v>
      </c>
      <c r="G1558" s="4">
        <v>0</v>
      </c>
      <c r="H1558" s="3">
        <v>0.792145398787625</v>
      </c>
      <c r="I1558" s="5">
        <v>1303.084431</v>
      </c>
      <c r="J1558" s="6">
        <v>163.9718675198188</v>
      </c>
      <c r="K1558" s="4">
        <v>2.825054917216922</v>
      </c>
      <c r="L1558" s="7">
        <v>1.808007216268867</v>
      </c>
      <c r="M1558" s="3">
        <v>46</v>
      </c>
      <c r="N1558" s="3">
        <v>17.83</v>
      </c>
    </row>
    <row r="1559" spans="1:14">
      <c r="A1559" s="8" t="s">
        <v>1571</v>
      </c>
      <c r="B1559" s="2">
        <f>HYPERLINK("https://www.suredividend.com/sure-analysis-research-database/","Openlane Inc.")</f>
        <v>0</v>
      </c>
      <c r="C1559" s="1" t="s">
        <v>3182</v>
      </c>
      <c r="D1559" s="3">
        <v>16.78</v>
      </c>
      <c r="E1559" s="4">
        <v>0</v>
      </c>
      <c r="F1559" s="4" t="s">
        <v>3178</v>
      </c>
      <c r="G1559" s="4" t="s">
        <v>3178</v>
      </c>
      <c r="H1559" s="3">
        <v>0</v>
      </c>
      <c r="I1559" s="5">
        <v>1817.307745</v>
      </c>
      <c r="J1559" s="6" t="s">
        <v>3178</v>
      </c>
      <c r="K1559" s="4">
        <v>-0</v>
      </c>
      <c r="L1559" s="7">
        <v>1.072397468432921</v>
      </c>
      <c r="M1559" s="3">
        <v>18.41</v>
      </c>
      <c r="N1559" s="3">
        <v>12.86</v>
      </c>
    </row>
    <row r="1560" spans="1:14">
      <c r="A1560" s="8" t="s">
        <v>1572</v>
      </c>
      <c r="B1560" s="2">
        <f>HYPERLINK("https://www.suredividend.com/sure-analysis-research-database/","Kimball International, Inc.")</f>
        <v>0</v>
      </c>
      <c r="C1560" s="1" t="s">
        <v>3182</v>
      </c>
      <c r="D1560" s="3">
        <v>12.3</v>
      </c>
      <c r="E1560" s="4">
        <v>0</v>
      </c>
      <c r="F1560" s="4" t="s">
        <v>3178</v>
      </c>
      <c r="G1560" s="4" t="s">
        <v>3178</v>
      </c>
      <c r="H1560" s="3">
        <v>0.360000014305114</v>
      </c>
      <c r="I1560" s="5">
        <v>0</v>
      </c>
      <c r="J1560" s="6">
        <v>0</v>
      </c>
      <c r="K1560" s="4" t="s">
        <v>3178</v>
      </c>
    </row>
    <row r="1561" spans="1:14">
      <c r="A1561" s="8" t="s">
        <v>1573</v>
      </c>
      <c r="B1561" s="2">
        <f>HYPERLINK("https://www.suredividend.com/sure-analysis-research-database/","KB Home")</f>
        <v>0</v>
      </c>
      <c r="C1561" s="1" t="s">
        <v>3182</v>
      </c>
      <c r="D1561" s="3">
        <v>68.15000000000001</v>
      </c>
      <c r="E1561" s="4">
        <v>0.012409952699688</v>
      </c>
      <c r="F1561" s="4">
        <v>0.6666666666666667</v>
      </c>
      <c r="G1561" s="4">
        <v>0.2267032046963888</v>
      </c>
      <c r="H1561" s="3">
        <v>0.8457382764837731</v>
      </c>
      <c r="I1561" s="5">
        <v>5173.948</v>
      </c>
      <c r="J1561" s="6">
        <v>8.639402349059408</v>
      </c>
      <c r="K1561" s="4">
        <v>0.115066432174663</v>
      </c>
      <c r="L1561" s="7">
        <v>1.69733625047575</v>
      </c>
      <c r="M1561" s="3">
        <v>74.66</v>
      </c>
      <c r="N1561" s="3">
        <v>41.66</v>
      </c>
    </row>
    <row r="1562" spans="1:14">
      <c r="A1562" s="8" t="s">
        <v>1574</v>
      </c>
      <c r="B1562" s="2">
        <f>HYPERLINK("https://www.suredividend.com/sure-analysis-research-database/","KBR Inc")</f>
        <v>0</v>
      </c>
      <c r="C1562" s="1" t="s">
        <v>3179</v>
      </c>
      <c r="D1562" s="3">
        <v>63.08</v>
      </c>
      <c r="E1562" s="4">
        <v>0.008767167200339</v>
      </c>
      <c r="F1562" s="4">
        <v>0.1111111111111109</v>
      </c>
      <c r="G1562" s="4">
        <v>0.1339665776330272</v>
      </c>
      <c r="H1562" s="3">
        <v>0.553032906997413</v>
      </c>
      <c r="I1562" s="5">
        <v>8470.107434</v>
      </c>
      <c r="J1562" s="6" t="s">
        <v>3178</v>
      </c>
      <c r="K1562" s="4" t="s">
        <v>3178</v>
      </c>
      <c r="L1562" s="7">
        <v>0.5132474200214401</v>
      </c>
      <c r="M1562" s="3">
        <v>68.68000000000001</v>
      </c>
      <c r="N1562" s="3">
        <v>49.13</v>
      </c>
    </row>
    <row r="1563" spans="1:14">
      <c r="A1563" s="8" t="s">
        <v>1575</v>
      </c>
      <c r="B1563" s="2">
        <f>HYPERLINK("https://www.suredividend.com/sure-analysis-research-database/","Kadmon Holdings Inc")</f>
        <v>0</v>
      </c>
      <c r="C1563" s="1" t="s">
        <v>3176</v>
      </c>
      <c r="D1563" s="3">
        <v>9.5</v>
      </c>
      <c r="E1563" s="4">
        <v>0</v>
      </c>
      <c r="F1563" s="4" t="s">
        <v>3178</v>
      </c>
      <c r="G1563" s="4" t="s">
        <v>3178</v>
      </c>
      <c r="H1563" s="3">
        <v>0</v>
      </c>
      <c r="I1563" s="5">
        <v>0</v>
      </c>
      <c r="J1563" s="6">
        <v>0</v>
      </c>
      <c r="K1563" s="4">
        <v>-0</v>
      </c>
    </row>
    <row r="1564" spans="1:14">
      <c r="A1564" s="8" t="s">
        <v>1576</v>
      </c>
      <c r="B1564" s="2">
        <f>HYPERLINK("https://www.suredividend.com/sure-analysis-KDP/","Keurig Dr Pepper Inc")</f>
        <v>0</v>
      </c>
      <c r="C1564" s="1" t="s">
        <v>3184</v>
      </c>
      <c r="D1564" s="3">
        <v>34.63</v>
      </c>
      <c r="E1564" s="4">
        <v>0.02483395899509096</v>
      </c>
      <c r="F1564" s="4">
        <v>0.07499999999999996</v>
      </c>
      <c r="G1564" s="4">
        <v>0.07465593169226681</v>
      </c>
      <c r="H1564" s="3">
        <v>0.8308695633224901</v>
      </c>
      <c r="I1564" s="5">
        <v>46943.537143</v>
      </c>
      <c r="J1564" s="6">
        <v>21.65292303655443</v>
      </c>
      <c r="K1564" s="4">
        <v>0.5360448795628968</v>
      </c>
      <c r="L1564" s="7">
        <v>0.2522946610581</v>
      </c>
      <c r="M1564" s="3">
        <v>35</v>
      </c>
      <c r="N1564" s="3">
        <v>27.09</v>
      </c>
    </row>
    <row r="1565" spans="1:14">
      <c r="A1565" s="8" t="s">
        <v>1577</v>
      </c>
      <c r="B1565" s="2">
        <f>HYPERLINK("https://www.suredividend.com/sure-analysis-research-database/","Kimball Electronics Inc")</f>
        <v>0</v>
      </c>
      <c r="C1565" s="1" t="s">
        <v>3179</v>
      </c>
      <c r="D1565" s="3">
        <v>21.9</v>
      </c>
      <c r="E1565" s="4">
        <v>0</v>
      </c>
      <c r="F1565" s="4" t="s">
        <v>3178</v>
      </c>
      <c r="G1565" s="4" t="s">
        <v>3178</v>
      </c>
      <c r="H1565" s="3">
        <v>0</v>
      </c>
      <c r="I1565" s="5">
        <v>544.635611</v>
      </c>
      <c r="J1565" s="6">
        <v>16.92992264221324</v>
      </c>
      <c r="K1565" s="4">
        <v>0</v>
      </c>
      <c r="L1565" s="7">
        <v>1.19241799573075</v>
      </c>
      <c r="M1565" s="3">
        <v>31.43</v>
      </c>
      <c r="N1565" s="3">
        <v>19.62</v>
      </c>
    </row>
    <row r="1566" spans="1:14">
      <c r="A1566" s="8" t="s">
        <v>1578</v>
      </c>
      <c r="B1566" s="2">
        <f>HYPERLINK("https://www.suredividend.com/sure-analysis-research-database/","Kelly Services, Inc.")</f>
        <v>0</v>
      </c>
      <c r="C1566" s="1" t="s">
        <v>3179</v>
      </c>
      <c r="D1566" s="3">
        <v>21.64</v>
      </c>
      <c r="E1566" s="4">
        <v>0.013761082686324</v>
      </c>
      <c r="F1566" s="4" t="s">
        <v>3178</v>
      </c>
      <c r="G1566" s="4" t="s">
        <v>3178</v>
      </c>
      <c r="H1566" s="3">
        <v>0.29778982933206</v>
      </c>
      <c r="I1566" s="5">
        <v>769.885776</v>
      </c>
      <c r="J1566" s="6">
        <v>15.33637003027888</v>
      </c>
      <c r="K1566" s="4">
        <v>0.2127070209514714</v>
      </c>
      <c r="L1566" s="7">
        <v>0.576690634250281</v>
      </c>
      <c r="M1566" s="3">
        <v>25.19</v>
      </c>
      <c r="N1566" s="3">
        <v>16.21</v>
      </c>
    </row>
    <row r="1567" spans="1:14">
      <c r="A1567" s="8" t="s">
        <v>1579</v>
      </c>
      <c r="B1567" s="2">
        <f>HYPERLINK("https://www.suredividend.com/sure-analysis-research-database/","KraneShares Trust")</f>
        <v>0</v>
      </c>
      <c r="C1567" s="1" t="s">
        <v>3181</v>
      </c>
      <c r="D1567" s="3">
        <v>25.93</v>
      </c>
      <c r="E1567" s="4">
        <v>0.02706074089421</v>
      </c>
      <c r="F1567" s="4" t="s">
        <v>3178</v>
      </c>
      <c r="G1567" s="4" t="s">
        <v>3178</v>
      </c>
      <c r="H1567" s="3">
        <v>0.701685011386871</v>
      </c>
      <c r="I1567" s="5">
        <v>5.186</v>
      </c>
      <c r="J1567" s="6">
        <v>0</v>
      </c>
      <c r="K1567" s="4" t="s">
        <v>3178</v>
      </c>
      <c r="L1567" s="7">
        <v>0.741970458326762</v>
      </c>
      <c r="M1567" s="3">
        <v>27.19</v>
      </c>
      <c r="N1567" s="3">
        <v>22.82</v>
      </c>
    </row>
    <row r="1568" spans="1:14">
      <c r="A1568" s="8" t="s">
        <v>1580</v>
      </c>
      <c r="B1568" s="2">
        <f>HYPERLINK("https://www.suredividend.com/sure-analysis-research-database/","Kewaunee Scientific Corporation")</f>
        <v>0</v>
      </c>
      <c r="C1568" s="1" t="s">
        <v>3182</v>
      </c>
      <c r="D1568" s="3">
        <v>39.01</v>
      </c>
      <c r="E1568" s="4">
        <v>0</v>
      </c>
      <c r="F1568" s="4" t="s">
        <v>3178</v>
      </c>
      <c r="G1568" s="4" t="s">
        <v>3178</v>
      </c>
      <c r="H1568" s="3">
        <v>0</v>
      </c>
      <c r="I1568" s="5">
        <v>110.987507</v>
      </c>
      <c r="J1568" s="6">
        <v>0</v>
      </c>
      <c r="K1568" s="4" t="s">
        <v>3178</v>
      </c>
      <c r="M1568" s="3">
        <v>45</v>
      </c>
      <c r="N1568" s="3">
        <v>14.56</v>
      </c>
    </row>
    <row r="1569" spans="1:14">
      <c r="A1569" s="8" t="s">
        <v>1581</v>
      </c>
      <c r="B1569" s="2">
        <f>HYPERLINK("https://www.suredividend.com/sure-analysis-research-database/","Kirby Corp.")</f>
        <v>0</v>
      </c>
      <c r="C1569" s="1" t="s">
        <v>3179</v>
      </c>
      <c r="D1569" s="3">
        <v>118.61</v>
      </c>
      <c r="E1569" s="4">
        <v>0</v>
      </c>
      <c r="F1569" s="4" t="s">
        <v>3178</v>
      </c>
      <c r="G1569" s="4" t="s">
        <v>3178</v>
      </c>
      <c r="H1569" s="3">
        <v>0</v>
      </c>
      <c r="I1569" s="5">
        <v>6941.29442</v>
      </c>
      <c r="J1569" s="6">
        <v>27.51817454528156</v>
      </c>
      <c r="K1569" s="4">
        <v>0</v>
      </c>
      <c r="L1569" s="7">
        <v>0.6521105267042411</v>
      </c>
      <c r="M1569" s="3">
        <v>124.92</v>
      </c>
      <c r="N1569" s="3">
        <v>72.11</v>
      </c>
    </row>
    <row r="1570" spans="1:14">
      <c r="A1570" s="8" t="s">
        <v>1582</v>
      </c>
      <c r="B1570" s="2">
        <f>HYPERLINK("https://www.suredividend.com/sure-analysis-KEY/","Keycorp")</f>
        <v>0</v>
      </c>
      <c r="C1570" s="1" t="s">
        <v>3180</v>
      </c>
      <c r="D1570" s="3">
        <v>13.93</v>
      </c>
      <c r="E1570" s="4">
        <v>0.05886575735821967</v>
      </c>
      <c r="F1570" s="4">
        <v>0</v>
      </c>
      <c r="G1570" s="4">
        <v>0.02074303809479527</v>
      </c>
      <c r="H1570" s="3">
        <v>0.802080076878521</v>
      </c>
      <c r="I1570" s="5">
        <v>13134.046236</v>
      </c>
      <c r="J1570" s="6">
        <v>17.96723151253078</v>
      </c>
      <c r="K1570" s="4">
        <v>1.024367914276527</v>
      </c>
      <c r="L1570" s="7">
        <v>1.400877265122242</v>
      </c>
      <c r="M1570" s="3">
        <v>15.64</v>
      </c>
      <c r="N1570" s="3">
        <v>8.529999999999999</v>
      </c>
    </row>
    <row r="1571" spans="1:14">
      <c r="A1571" s="8" t="s">
        <v>1583</v>
      </c>
      <c r="B1571" s="2">
        <f>HYPERLINK("https://www.suredividend.com/sure-analysis-research-database/","Keysight Technologies Inc")</f>
        <v>0</v>
      </c>
      <c r="C1571" s="1" t="s">
        <v>3181</v>
      </c>
      <c r="D1571" s="3">
        <v>135.81</v>
      </c>
      <c r="E1571" s="4">
        <v>0</v>
      </c>
      <c r="F1571" s="4" t="s">
        <v>3178</v>
      </c>
      <c r="G1571" s="4" t="s">
        <v>3178</v>
      </c>
      <c r="H1571" s="3">
        <v>0</v>
      </c>
      <c r="I1571" s="5">
        <v>23704.173913</v>
      </c>
      <c r="J1571" s="6">
        <v>29.19233240490148</v>
      </c>
      <c r="K1571" s="4">
        <v>0</v>
      </c>
      <c r="L1571" s="7">
        <v>1.246377920924257</v>
      </c>
      <c r="M1571" s="3">
        <v>172.72</v>
      </c>
      <c r="N1571" s="3">
        <v>118.57</v>
      </c>
    </row>
    <row r="1572" spans="1:14">
      <c r="A1572" s="8" t="s">
        <v>1584</v>
      </c>
      <c r="B1572" s="2">
        <f>HYPERLINK("https://www.suredividend.com/sure-analysis-research-database/","Kentucky First Federal Bancorp")</f>
        <v>0</v>
      </c>
      <c r="C1572" s="1" t="s">
        <v>3180</v>
      </c>
      <c r="D1572" s="3">
        <v>3.29</v>
      </c>
      <c r="E1572" s="4">
        <v>0.029232410564638</v>
      </c>
      <c r="F1572" s="4" t="s">
        <v>3178</v>
      </c>
      <c r="G1572" s="4" t="s">
        <v>3178</v>
      </c>
      <c r="H1572" s="3">
        <v>0.09617463075766</v>
      </c>
      <c r="I1572" s="5">
        <v>26.644772</v>
      </c>
      <c r="J1572" s="6">
        <v>0</v>
      </c>
      <c r="K1572" s="4" t="s">
        <v>3178</v>
      </c>
      <c r="M1572" s="3">
        <v>6.37</v>
      </c>
      <c r="N1572" s="3">
        <v>3.21</v>
      </c>
    </row>
    <row r="1573" spans="1:14">
      <c r="A1573" s="8" t="s">
        <v>1585</v>
      </c>
      <c r="B1573" s="2">
        <f>HYPERLINK("https://www.suredividend.com/sure-analysis-research-database/","Kforce Inc.")</f>
        <v>0</v>
      </c>
      <c r="C1573" s="1" t="s">
        <v>3179</v>
      </c>
      <c r="D1573" s="3">
        <v>60.65</v>
      </c>
      <c r="E1573" s="4">
        <v>0.02377919820204</v>
      </c>
      <c r="F1573" s="4" t="s">
        <v>3178</v>
      </c>
      <c r="G1573" s="4" t="s">
        <v>3178</v>
      </c>
      <c r="H1573" s="3">
        <v>1.442208370953769</v>
      </c>
      <c r="I1573" s="5">
        <v>1182.12915</v>
      </c>
      <c r="J1573" s="6">
        <v>21.16538619924085</v>
      </c>
      <c r="K1573" s="4">
        <v>0.4990340383923076</v>
      </c>
      <c r="L1573" s="7">
        <v>0.8069406352501881</v>
      </c>
      <c r="M1573" s="3">
        <v>74.38</v>
      </c>
      <c r="N1573" s="3">
        <v>52.23</v>
      </c>
    </row>
    <row r="1574" spans="1:14">
      <c r="A1574" s="8" t="s">
        <v>1586</v>
      </c>
      <c r="B1574" s="2">
        <f>HYPERLINK("https://www.suredividend.com/sure-analysis-research-database/","Korn Ferry")</f>
        <v>0</v>
      </c>
      <c r="C1574" s="1" t="s">
        <v>3179</v>
      </c>
      <c r="D1574" s="3">
        <v>63.27</v>
      </c>
      <c r="E1574" s="4">
        <v>0.01602347266117</v>
      </c>
      <c r="F1574" s="4">
        <v>1.2</v>
      </c>
      <c r="G1574" s="4">
        <v>0.2697048776900042</v>
      </c>
      <c r="H1574" s="3">
        <v>1.013805115272229</v>
      </c>
      <c r="I1574" s="5">
        <v>3324.2058</v>
      </c>
      <c r="J1574" s="6">
        <v>22.43871451136042</v>
      </c>
      <c r="K1574" s="4">
        <v>0.3520156650250795</v>
      </c>
      <c r="L1574" s="7">
        <v>0.9476903859994621</v>
      </c>
      <c r="M1574" s="3">
        <v>69.33</v>
      </c>
      <c r="N1574" s="3">
        <v>43.98</v>
      </c>
    </row>
    <row r="1575" spans="1:14">
      <c r="A1575" s="8" t="s">
        <v>1587</v>
      </c>
      <c r="B1575" s="2">
        <f>HYPERLINK("https://www.suredividend.com/sure-analysis-KHC/","Kraft Heinz Co")</f>
        <v>0</v>
      </c>
      <c r="C1575" s="1" t="s">
        <v>3184</v>
      </c>
      <c r="D1575" s="3">
        <v>34.39</v>
      </c>
      <c r="E1575" s="4">
        <v>0.04652515266065717</v>
      </c>
      <c r="F1575" s="4">
        <v>0</v>
      </c>
      <c r="G1575" s="4">
        <v>0</v>
      </c>
      <c r="H1575" s="3">
        <v>1.546213587793238</v>
      </c>
      <c r="I1575" s="5">
        <v>41759.714479</v>
      </c>
      <c r="J1575" s="6">
        <v>14.80840938970922</v>
      </c>
      <c r="K1575" s="4">
        <v>0.6752024400843833</v>
      </c>
      <c r="L1575" s="7">
        <v>0.177791723059273</v>
      </c>
      <c r="M1575" s="3">
        <v>38.07</v>
      </c>
      <c r="N1575" s="3">
        <v>28.64</v>
      </c>
    </row>
    <row r="1576" spans="1:14">
      <c r="A1576" s="8" t="s">
        <v>1588</v>
      </c>
      <c r="B1576" s="2">
        <f>HYPERLINK("https://www.suredividend.com/sure-analysis-research-database/","OrthoPediatrics corp")</f>
        <v>0</v>
      </c>
      <c r="C1576" s="1" t="s">
        <v>3176</v>
      </c>
      <c r="D1576" s="3">
        <v>30.16</v>
      </c>
      <c r="E1576" s="4">
        <v>0</v>
      </c>
      <c r="F1576" s="4" t="s">
        <v>3178</v>
      </c>
      <c r="G1576" s="4" t="s">
        <v>3178</v>
      </c>
      <c r="H1576" s="3">
        <v>0</v>
      </c>
      <c r="I1576" s="5">
        <v>718.679081</v>
      </c>
      <c r="J1576" s="6" t="s">
        <v>3178</v>
      </c>
      <c r="K1576" s="4">
        <v>-0</v>
      </c>
      <c r="L1576" s="7">
        <v>1.679780880867623</v>
      </c>
      <c r="M1576" s="3">
        <v>48.47</v>
      </c>
      <c r="N1576" s="3">
        <v>23.1</v>
      </c>
    </row>
    <row r="1577" spans="1:14">
      <c r="A1577" s="8" t="s">
        <v>1589</v>
      </c>
      <c r="B1577" s="2">
        <f>HYPERLINK("https://www.suredividend.com/sure-analysis-KIM/","Kimco Realty Corporation")</f>
        <v>0</v>
      </c>
      <c r="C1577" s="1" t="s">
        <v>3183</v>
      </c>
      <c r="D1577" s="3">
        <v>18.79</v>
      </c>
      <c r="E1577" s="4">
        <v>0.05109100585417775</v>
      </c>
      <c r="F1577" s="4">
        <v>0.04347826086956519</v>
      </c>
      <c r="G1577" s="4">
        <v>-0.03035973390442093</v>
      </c>
      <c r="H1577" s="3">
        <v>0.932884162360001</v>
      </c>
      <c r="I1577" s="5">
        <v>12666.648096</v>
      </c>
      <c r="J1577" s="6">
        <v>38.68871956084166</v>
      </c>
      <c r="K1577" s="4">
        <v>1.800239603164803</v>
      </c>
      <c r="L1577" s="7">
        <v>0.9588120489353741</v>
      </c>
      <c r="M1577" s="3">
        <v>22.28</v>
      </c>
      <c r="N1577" s="3">
        <v>15.75</v>
      </c>
    </row>
    <row r="1578" spans="1:14">
      <c r="A1578" s="8" t="s">
        <v>1590</v>
      </c>
      <c r="B1578" s="2">
        <f>HYPERLINK("https://www.suredividend.com/sure-analysis-research-database/","Kindred Biosciences Inc")</f>
        <v>0</v>
      </c>
      <c r="C1578" s="1" t="s">
        <v>3176</v>
      </c>
      <c r="D1578" s="3">
        <v>9.25</v>
      </c>
      <c r="E1578" s="4">
        <v>0</v>
      </c>
      <c r="F1578" s="4" t="s">
        <v>3178</v>
      </c>
      <c r="G1578" s="4" t="s">
        <v>3178</v>
      </c>
      <c r="H1578" s="3">
        <v>0</v>
      </c>
      <c r="I1578" s="5">
        <v>0</v>
      </c>
      <c r="J1578" s="6">
        <v>0</v>
      </c>
      <c r="K1578" s="4" t="s">
        <v>3178</v>
      </c>
    </row>
    <row r="1579" spans="1:14">
      <c r="A1579" s="8" t="s">
        <v>1591</v>
      </c>
      <c r="B1579" s="2">
        <f>HYPERLINK("https://www.suredividend.com/sure-analysis-research-database/","Kingstone Cos. Inc")</f>
        <v>0</v>
      </c>
      <c r="C1579" s="1" t="s">
        <v>3180</v>
      </c>
      <c r="D1579" s="3">
        <v>4.8</v>
      </c>
      <c r="E1579" s="4">
        <v>0</v>
      </c>
      <c r="F1579" s="4" t="s">
        <v>3178</v>
      </c>
      <c r="G1579" s="4" t="s">
        <v>3178</v>
      </c>
      <c r="H1579" s="3">
        <v>0</v>
      </c>
      <c r="I1579" s="5">
        <v>52.838573</v>
      </c>
      <c r="J1579" s="6">
        <v>0</v>
      </c>
      <c r="K1579" s="4" t="s">
        <v>3178</v>
      </c>
      <c r="L1579" s="7">
        <v>0.637574845361168</v>
      </c>
      <c r="M1579" s="3">
        <v>5.23</v>
      </c>
      <c r="N1579" s="3">
        <v>1.05</v>
      </c>
    </row>
    <row r="1580" spans="1:14">
      <c r="A1580" s="8" t="s">
        <v>1592</v>
      </c>
      <c r="B1580" s="2">
        <f>HYPERLINK("https://www.suredividend.com/sure-analysis-research-database/","Kirkland`s Inc")</f>
        <v>0</v>
      </c>
      <c r="C1580" s="1" t="s">
        <v>3182</v>
      </c>
      <c r="D1580" s="3">
        <v>1.9</v>
      </c>
      <c r="E1580" s="4">
        <v>0</v>
      </c>
      <c r="F1580" s="4" t="s">
        <v>3178</v>
      </c>
      <c r="G1580" s="4" t="s">
        <v>3178</v>
      </c>
      <c r="H1580" s="3">
        <v>0</v>
      </c>
      <c r="I1580" s="5">
        <v>24.774058</v>
      </c>
      <c r="J1580" s="6" t="s">
        <v>3178</v>
      </c>
      <c r="K1580" s="4">
        <v>-0</v>
      </c>
      <c r="L1580" s="7">
        <v>1.32073600826256</v>
      </c>
      <c r="M1580" s="3">
        <v>3.88</v>
      </c>
      <c r="N1580" s="3">
        <v>1.4</v>
      </c>
    </row>
    <row r="1581" spans="1:14">
      <c r="A1581" s="8" t="s">
        <v>1593</v>
      </c>
      <c r="B1581" s="2">
        <f>HYPERLINK("https://www.suredividend.com/sure-analysis-KKR/","KKR &amp; Co. Inc")</f>
        <v>0</v>
      </c>
      <c r="C1581" s="1" t="s">
        <v>3180</v>
      </c>
      <c r="D1581" s="3">
        <v>97.98999999999999</v>
      </c>
      <c r="E1581" s="4">
        <v>0.007143586080212267</v>
      </c>
      <c r="F1581" s="4">
        <v>0.06060606060606055</v>
      </c>
      <c r="G1581" s="4">
        <v>0.06961037572506878</v>
      </c>
      <c r="H1581" s="3">
        <v>0.668177578427952</v>
      </c>
      <c r="I1581" s="5">
        <v>84255.079178</v>
      </c>
      <c r="J1581" s="6">
        <v>21.52396988573717</v>
      </c>
      <c r="K1581" s="4">
        <v>0.1522044597785768</v>
      </c>
      <c r="L1581" s="7">
        <v>1.6089938967169</v>
      </c>
      <c r="M1581" s="3">
        <v>108</v>
      </c>
      <c r="N1581" s="3">
        <v>52.49</v>
      </c>
    </row>
    <row r="1582" spans="1:14">
      <c r="A1582" s="8" t="s">
        <v>1594</v>
      </c>
      <c r="B1582" s="2">
        <f>HYPERLINK("https://www.suredividend.com/sure-analysis-KLAC/","KLA Corp.")</f>
        <v>0</v>
      </c>
      <c r="C1582" s="1" t="s">
        <v>3181</v>
      </c>
      <c r="D1582" s="3">
        <v>768.97</v>
      </c>
      <c r="E1582" s="4">
        <v>0.007542556926798184</v>
      </c>
      <c r="F1582" s="4">
        <v>0.1153846153846154</v>
      </c>
      <c r="G1582" s="4">
        <v>0.1409361684229278</v>
      </c>
      <c r="H1582" s="3">
        <v>5.613745528650961</v>
      </c>
      <c r="I1582" s="5">
        <v>103534.08312</v>
      </c>
      <c r="J1582" s="6">
        <v>39.66665049380025</v>
      </c>
      <c r="K1582" s="4">
        <v>0.2940673404217371</v>
      </c>
      <c r="L1582" s="7">
        <v>1.801002508445391</v>
      </c>
      <c r="M1582" s="3">
        <v>791.96</v>
      </c>
      <c r="N1582" s="3">
        <v>434.03</v>
      </c>
    </row>
    <row r="1583" spans="1:14">
      <c r="A1583" s="8" t="s">
        <v>1595</v>
      </c>
      <c r="B1583" s="2">
        <f>HYPERLINK("https://www.suredividend.com/sure-analysis-KLIC/","Kulicke &amp; Soffa Industries, Inc.")</f>
        <v>0</v>
      </c>
      <c r="C1583" s="1" t="s">
        <v>3181</v>
      </c>
      <c r="D1583" s="3">
        <v>45.38</v>
      </c>
      <c r="E1583" s="4">
        <v>0.01762891141472014</v>
      </c>
      <c r="F1583" s="4">
        <v>0.05263157894736836</v>
      </c>
      <c r="G1583" s="4">
        <v>0.1075663432482901</v>
      </c>
      <c r="H1583" s="3">
        <v>0.774160275044891</v>
      </c>
      <c r="I1583" s="5">
        <v>2516.941889</v>
      </c>
      <c r="J1583" s="6" t="s">
        <v>3178</v>
      </c>
      <c r="K1583" s="4" t="s">
        <v>3178</v>
      </c>
      <c r="L1583" s="7">
        <v>1.558252950753682</v>
      </c>
      <c r="M1583" s="3">
        <v>59.29</v>
      </c>
      <c r="N1583" s="3">
        <v>39.75</v>
      </c>
    </row>
    <row r="1584" spans="1:14">
      <c r="A1584" s="8" t="s">
        <v>1596</v>
      </c>
      <c r="B1584" s="2">
        <f>HYPERLINK("https://www.suredividend.com/sure-analysis-research-database/","KLX Energy Services Holdings Inc")</f>
        <v>0</v>
      </c>
      <c r="C1584" s="1" t="s">
        <v>3185</v>
      </c>
      <c r="D1584" s="3">
        <v>4.76</v>
      </c>
      <c r="E1584" s="4">
        <v>0</v>
      </c>
      <c r="F1584" s="4" t="s">
        <v>3178</v>
      </c>
      <c r="G1584" s="4" t="s">
        <v>3178</v>
      </c>
      <c r="H1584" s="3">
        <v>0</v>
      </c>
      <c r="I1584" s="5">
        <v>80.288077</v>
      </c>
      <c r="J1584" s="6" t="s">
        <v>3178</v>
      </c>
      <c r="K1584" s="4">
        <v>-0</v>
      </c>
      <c r="L1584" s="7">
        <v>1.388119972539615</v>
      </c>
      <c r="M1584" s="3">
        <v>13.42</v>
      </c>
      <c r="N1584" s="3">
        <v>4.63</v>
      </c>
    </row>
    <row r="1585" spans="1:14">
      <c r="A1585" s="8" t="s">
        <v>1597</v>
      </c>
      <c r="B1585" s="2">
        <f>HYPERLINK("https://www.suredividend.com/sure-analysis-KMB/","Kimberly-Clark Corp.")</f>
        <v>0</v>
      </c>
      <c r="C1585" s="1" t="s">
        <v>3184</v>
      </c>
      <c r="D1585" s="3">
        <v>134.48</v>
      </c>
      <c r="E1585" s="4">
        <v>0.03628792385484831</v>
      </c>
      <c r="F1585" s="4">
        <v>0.03389830508474589</v>
      </c>
      <c r="G1585" s="4">
        <v>0.03443813160921594</v>
      </c>
      <c r="H1585" s="3">
        <v>4.734096141927786</v>
      </c>
      <c r="I1585" s="5">
        <v>45280.7608</v>
      </c>
      <c r="J1585" s="6">
        <v>24.54241777777777</v>
      </c>
      <c r="K1585" s="4">
        <v>0.8686414939317039</v>
      </c>
      <c r="L1585" s="7">
        <v>0.287761155377026</v>
      </c>
      <c r="M1585" s="3">
        <v>138.51</v>
      </c>
      <c r="N1585" s="3">
        <v>113.05</v>
      </c>
    </row>
    <row r="1586" spans="1:14">
      <c r="A1586" s="8" t="s">
        <v>1598</v>
      </c>
      <c r="B1586" s="2">
        <f>HYPERLINK("https://www.suredividend.com/sure-analysis-KMI/","Kinder Morgan Inc")</f>
        <v>0</v>
      </c>
      <c r="C1586" s="1" t="s">
        <v>3185</v>
      </c>
      <c r="D1586" s="3">
        <v>19.62</v>
      </c>
      <c r="E1586" s="4">
        <v>0.05861365953109072</v>
      </c>
      <c r="F1586" s="4">
        <v>0.01769911504424782</v>
      </c>
      <c r="G1586" s="4">
        <v>0.02834672210021361</v>
      </c>
      <c r="H1586" s="3">
        <v>1.108186466836621</v>
      </c>
      <c r="I1586" s="5">
        <v>43544.323576</v>
      </c>
      <c r="J1586" s="6">
        <v>17.81682634045827</v>
      </c>
      <c r="K1586" s="4">
        <v>1.007442242578746</v>
      </c>
      <c r="L1586" s="7">
        <v>0.537099408117078</v>
      </c>
      <c r="M1586" s="3">
        <v>19.93</v>
      </c>
      <c r="N1586" s="3">
        <v>15.13</v>
      </c>
    </row>
    <row r="1587" spans="1:14">
      <c r="A1587" s="8" t="s">
        <v>1599</v>
      </c>
      <c r="B1587" s="2">
        <f>HYPERLINK("https://www.suredividend.com/sure-analysis-research-database/","Zevra Therapeutics Inc")</f>
        <v>0</v>
      </c>
      <c r="C1587" s="1" t="s">
        <v>3176</v>
      </c>
      <c r="D1587" s="3">
        <v>5.46</v>
      </c>
      <c r="E1587" s="4">
        <v>0</v>
      </c>
      <c r="F1587" s="4" t="s">
        <v>3178</v>
      </c>
      <c r="G1587" s="4" t="s">
        <v>3178</v>
      </c>
      <c r="H1587" s="3">
        <v>0</v>
      </c>
      <c r="I1587" s="5">
        <v>198.057908</v>
      </c>
      <c r="J1587" s="6">
        <v>0</v>
      </c>
      <c r="K1587" s="4" t="s">
        <v>3178</v>
      </c>
      <c r="L1587" s="7">
        <v>0.7818515600498671</v>
      </c>
      <c r="M1587" s="3">
        <v>6.92</v>
      </c>
      <c r="N1587" s="3">
        <v>4</v>
      </c>
    </row>
    <row r="1588" spans="1:14">
      <c r="A1588" s="8" t="s">
        <v>1600</v>
      </c>
      <c r="B1588" s="2">
        <f>HYPERLINK("https://www.suredividend.com/sure-analysis-research-database/","Kemper Corporation")</f>
        <v>0</v>
      </c>
      <c r="C1588" s="1" t="s">
        <v>3180</v>
      </c>
      <c r="D1588" s="3">
        <v>58.73</v>
      </c>
      <c r="E1588" s="4">
        <v>0.02093690324512</v>
      </c>
      <c r="F1588" s="4">
        <v>0</v>
      </c>
      <c r="G1588" s="4">
        <v>0.04396114979019283</v>
      </c>
      <c r="H1588" s="3">
        <v>1.229624327585945</v>
      </c>
      <c r="I1588" s="5">
        <v>3780.764423</v>
      </c>
      <c r="J1588" s="6" t="s">
        <v>3178</v>
      </c>
      <c r="K1588" s="4" t="s">
        <v>3178</v>
      </c>
      <c r="L1588" s="7">
        <v>0.8002278569173331</v>
      </c>
      <c r="M1588" s="3">
        <v>64.36</v>
      </c>
      <c r="N1588" s="3">
        <v>37.63</v>
      </c>
    </row>
    <row r="1589" spans="1:14">
      <c r="A1589" s="8" t="s">
        <v>1601</v>
      </c>
      <c r="B1589" s="2">
        <f>HYPERLINK("https://www.suredividend.com/sure-analysis-research-database/","Kennametal Inc.")</f>
        <v>0</v>
      </c>
      <c r="C1589" s="1" t="s">
        <v>3179</v>
      </c>
      <c r="D1589" s="3">
        <v>24.54</v>
      </c>
      <c r="E1589" s="4">
        <v>0.032213043223486</v>
      </c>
      <c r="F1589" s="4">
        <v>0</v>
      </c>
      <c r="G1589" s="4">
        <v>0</v>
      </c>
      <c r="H1589" s="3">
        <v>0.7905080807043521</v>
      </c>
      <c r="I1589" s="5">
        <v>1930.461431</v>
      </c>
      <c r="J1589" s="6">
        <v>15.8847800228752</v>
      </c>
      <c r="K1589" s="4">
        <v>0.5270053871362347</v>
      </c>
      <c r="L1589" s="7">
        <v>1.124836016224898</v>
      </c>
      <c r="M1589" s="3">
        <v>29.65</v>
      </c>
      <c r="N1589" s="3">
        <v>21.55</v>
      </c>
    </row>
    <row r="1590" spans="1:14">
      <c r="A1590" s="8" t="s">
        <v>1602</v>
      </c>
      <c r="B1590" s="2">
        <f>HYPERLINK("https://www.suredividend.com/sure-analysis-research-database/","Carmax Inc")</f>
        <v>0</v>
      </c>
      <c r="C1590" s="1" t="s">
        <v>3182</v>
      </c>
      <c r="D1590" s="3">
        <v>69.17</v>
      </c>
      <c r="E1590" s="4">
        <v>0</v>
      </c>
      <c r="F1590" s="4" t="s">
        <v>3178</v>
      </c>
      <c r="G1590" s="4" t="s">
        <v>3178</v>
      </c>
      <c r="H1590" s="3">
        <v>0</v>
      </c>
      <c r="I1590" s="5">
        <v>10886.497525</v>
      </c>
      <c r="J1590" s="6">
        <v>22.71787699017537</v>
      </c>
      <c r="K1590" s="4">
        <v>0</v>
      </c>
      <c r="L1590" s="7">
        <v>1.334177289239082</v>
      </c>
      <c r="M1590" s="3">
        <v>88.22</v>
      </c>
      <c r="N1590" s="3">
        <v>59.66</v>
      </c>
    </row>
    <row r="1591" spans="1:14">
      <c r="A1591" s="8" t="s">
        <v>1603</v>
      </c>
      <c r="B1591" s="2">
        <f>HYPERLINK("https://www.suredividend.com/sure-analysis-research-database/","Knowles Corp")</f>
        <v>0</v>
      </c>
      <c r="C1591" s="1" t="s">
        <v>3181</v>
      </c>
      <c r="D1591" s="3">
        <v>17.5</v>
      </c>
      <c r="E1591" s="4">
        <v>0</v>
      </c>
      <c r="F1591" s="4" t="s">
        <v>3178</v>
      </c>
      <c r="G1591" s="4" t="s">
        <v>3178</v>
      </c>
      <c r="H1591" s="3">
        <v>0</v>
      </c>
      <c r="I1591" s="5">
        <v>1570.526038</v>
      </c>
      <c r="J1591" s="6">
        <v>19.60706663545568</v>
      </c>
      <c r="K1591" s="4">
        <v>0</v>
      </c>
      <c r="L1591" s="7">
        <v>1.231922693549075</v>
      </c>
      <c r="M1591" s="3">
        <v>18.48</v>
      </c>
      <c r="N1591" s="3">
        <v>12.78</v>
      </c>
    </row>
    <row r="1592" spans="1:14">
      <c r="A1592" s="8" t="s">
        <v>1604</v>
      </c>
      <c r="B1592" s="2">
        <f>HYPERLINK("https://www.suredividend.com/sure-analysis-research-database/","Knoll Inc")</f>
        <v>0</v>
      </c>
      <c r="C1592" s="1" t="s">
        <v>3179</v>
      </c>
      <c r="D1592" s="3">
        <v>24.81</v>
      </c>
      <c r="E1592" s="4">
        <v>0.009631375487900001</v>
      </c>
      <c r="F1592" s="4" t="s">
        <v>3178</v>
      </c>
      <c r="G1592" s="4" t="s">
        <v>3178</v>
      </c>
      <c r="H1592" s="3">
        <v>0.238954425854811</v>
      </c>
      <c r="I1592" s="5">
        <v>1226.625305</v>
      </c>
      <c r="J1592" s="6" t="s">
        <v>3178</v>
      </c>
      <c r="K1592" s="4" t="s">
        <v>3178</v>
      </c>
      <c r="L1592" s="7">
        <v>0.872901923019448</v>
      </c>
      <c r="M1592" s="3">
        <v>27.24</v>
      </c>
      <c r="N1592" s="3">
        <v>10.75</v>
      </c>
    </row>
    <row r="1593" spans="1:14">
      <c r="A1593" s="8" t="s">
        <v>1605</v>
      </c>
      <c r="B1593" s="2">
        <f>HYPERLINK("https://www.suredividend.com/sure-analysis-research-database/","Kiniksa Pharmaceuticals Ltd")</f>
        <v>0</v>
      </c>
      <c r="C1593" s="1" t="s">
        <v>3176</v>
      </c>
      <c r="D1593" s="3">
        <v>19.06</v>
      </c>
      <c r="E1593" s="4">
        <v>0</v>
      </c>
      <c r="F1593" s="4" t="s">
        <v>3178</v>
      </c>
      <c r="G1593" s="4" t="s">
        <v>3178</v>
      </c>
      <c r="H1593" s="3">
        <v>0</v>
      </c>
      <c r="I1593" s="5">
        <v>768.221019</v>
      </c>
      <c r="J1593" s="6">
        <v>88.8116785317919</v>
      </c>
      <c r="K1593" s="4">
        <v>0</v>
      </c>
      <c r="L1593" s="7">
        <v>1.218329164719056</v>
      </c>
      <c r="M1593" s="3">
        <v>22.09</v>
      </c>
      <c r="N1593" s="3">
        <v>13.56</v>
      </c>
    </row>
    <row r="1594" spans="1:14">
      <c r="A1594" s="8" t="s">
        <v>1606</v>
      </c>
      <c r="B1594" s="2">
        <f>HYPERLINK("https://www.suredividend.com/sure-analysis-research-database/","Kinsale Capital Group Inc")</f>
        <v>0</v>
      </c>
      <c r="C1594" s="1" t="s">
        <v>3180</v>
      </c>
      <c r="D1594" s="3">
        <v>387.36</v>
      </c>
      <c r="E1594" s="4">
        <v>0.0014965338985</v>
      </c>
      <c r="F1594" s="4">
        <v>0.0714285714285714</v>
      </c>
      <c r="G1594" s="4">
        <v>0.1339665776330272</v>
      </c>
      <c r="H1594" s="3">
        <v>0.5796973709231901</v>
      </c>
      <c r="I1594" s="5">
        <v>9016.353664</v>
      </c>
      <c r="J1594" s="6">
        <v>25.67050360682622</v>
      </c>
      <c r="K1594" s="4">
        <v>0.03849252130964077</v>
      </c>
      <c r="L1594" s="7">
        <v>0.390279819422912</v>
      </c>
      <c r="M1594" s="3">
        <v>548.26</v>
      </c>
      <c r="N1594" s="3">
        <v>324.79</v>
      </c>
    </row>
    <row r="1595" spans="1:14">
      <c r="A1595" s="8" t="s">
        <v>1607</v>
      </c>
      <c r="B1595" s="2">
        <f>HYPERLINK("https://www.suredividend.com/sure-analysis-research-database/","Knight-Swift Transportation Holdings Inc")</f>
        <v>0</v>
      </c>
      <c r="C1595" s="1" t="s">
        <v>3179</v>
      </c>
      <c r="D1595" s="3">
        <v>48.04</v>
      </c>
      <c r="E1595" s="4">
        <v>0.009134957086295001</v>
      </c>
      <c r="F1595" s="4" t="s">
        <v>3178</v>
      </c>
      <c r="G1595" s="4" t="s">
        <v>3178</v>
      </c>
      <c r="H1595" s="3">
        <v>0.4388433384256391</v>
      </c>
      <c r="I1595" s="5">
        <v>7763.79244</v>
      </c>
      <c r="J1595" s="6">
        <v>70.43266297741087</v>
      </c>
      <c r="K1595" s="4">
        <v>0.6444101885839045</v>
      </c>
      <c r="L1595" s="7">
        <v>0.8989591209297421</v>
      </c>
      <c r="M1595" s="3">
        <v>60.81</v>
      </c>
      <c r="N1595" s="3">
        <v>45.48</v>
      </c>
    </row>
    <row r="1596" spans="1:14">
      <c r="A1596" s="8" t="s">
        <v>1608</v>
      </c>
      <c r="B1596" s="2">
        <f>HYPERLINK("https://www.suredividend.com/sure-analysis-KO/","Coca-Cola Co")</f>
        <v>0</v>
      </c>
      <c r="C1596" s="1" t="s">
        <v>3184</v>
      </c>
      <c r="D1596" s="3">
        <v>63.91</v>
      </c>
      <c r="E1596" s="4">
        <v>0.03035518698169301</v>
      </c>
      <c r="F1596" s="4">
        <v>0.05434782608695654</v>
      </c>
      <c r="G1596" s="4">
        <v>0.03928904495613805</v>
      </c>
      <c r="H1596" s="3">
        <v>1.843276254637614</v>
      </c>
      <c r="I1596" s="5">
        <v>275321.42367</v>
      </c>
      <c r="J1596" s="6">
        <v>25.53054744717823</v>
      </c>
      <c r="K1596" s="4">
        <v>0.7402715882078771</v>
      </c>
      <c r="L1596" s="7">
        <v>0.353101482501873</v>
      </c>
      <c r="M1596" s="3">
        <v>64.36</v>
      </c>
      <c r="N1596" s="3">
        <v>50.74</v>
      </c>
    </row>
    <row r="1597" spans="1:14">
      <c r="A1597" s="8" t="s">
        <v>1609</v>
      </c>
      <c r="B1597" s="2">
        <f>HYPERLINK("https://www.suredividend.com/sure-analysis-research-database/","Kodiak Sciences Inc")</f>
        <v>0</v>
      </c>
      <c r="C1597" s="1" t="s">
        <v>3176</v>
      </c>
      <c r="D1597" s="3">
        <v>2.89</v>
      </c>
      <c r="E1597" s="4">
        <v>0</v>
      </c>
      <c r="F1597" s="4" t="s">
        <v>3178</v>
      </c>
      <c r="G1597" s="4" t="s">
        <v>3178</v>
      </c>
      <c r="H1597" s="3">
        <v>0</v>
      </c>
      <c r="I1597" s="5">
        <v>151.825997</v>
      </c>
      <c r="J1597" s="6">
        <v>0</v>
      </c>
      <c r="K1597" s="4" t="s">
        <v>3178</v>
      </c>
      <c r="L1597" s="7">
        <v>2.265793969185459</v>
      </c>
      <c r="M1597" s="3">
        <v>9.67</v>
      </c>
      <c r="N1597" s="3">
        <v>1.37</v>
      </c>
    </row>
    <row r="1598" spans="1:14">
      <c r="A1598" s="8" t="s">
        <v>1610</v>
      </c>
      <c r="B1598" s="2">
        <f>HYPERLINK("https://www.suredividend.com/sure-analysis-research-database/","Eastman Kodak Co.")</f>
        <v>0</v>
      </c>
      <c r="C1598" s="1" t="s">
        <v>3179</v>
      </c>
      <c r="D1598" s="3">
        <v>5.67</v>
      </c>
      <c r="E1598" s="4">
        <v>0</v>
      </c>
      <c r="F1598" s="4" t="s">
        <v>3178</v>
      </c>
      <c r="G1598" s="4" t="s">
        <v>3178</v>
      </c>
      <c r="H1598" s="3">
        <v>0</v>
      </c>
      <c r="I1598" s="5">
        <v>454.167</v>
      </c>
      <c r="J1598" s="6">
        <v>0</v>
      </c>
      <c r="K1598" s="4" t="s">
        <v>3178</v>
      </c>
      <c r="L1598" s="7">
        <v>1.827564655273316</v>
      </c>
      <c r="M1598" s="3">
        <v>6.34</v>
      </c>
      <c r="N1598" s="3">
        <v>3.33</v>
      </c>
    </row>
    <row r="1599" spans="1:14">
      <c r="A1599" s="8" t="s">
        <v>1611</v>
      </c>
      <c r="B1599" s="2">
        <f>HYPERLINK("https://www.suredividend.com/sure-analysis-research-database/","Spinnaker ETF Series")</f>
        <v>0</v>
      </c>
      <c r="C1599" s="1" t="s">
        <v>3178</v>
      </c>
      <c r="D1599" s="3">
        <v>10.195</v>
      </c>
      <c r="E1599" s="4">
        <v>0</v>
      </c>
      <c r="F1599" s="4" t="s">
        <v>3178</v>
      </c>
      <c r="G1599" s="4" t="s">
        <v>3178</v>
      </c>
      <c r="H1599" s="3">
        <v>0</v>
      </c>
      <c r="I1599" s="5">
        <v>36.0903</v>
      </c>
      <c r="J1599" s="6">
        <v>0</v>
      </c>
      <c r="K1599" s="4" t="s">
        <v>3178</v>
      </c>
      <c r="L1599" s="7">
        <v>0.9537315384627991</v>
      </c>
      <c r="M1599" s="3">
        <v>10.3</v>
      </c>
      <c r="N1599" s="3">
        <v>9.5</v>
      </c>
    </row>
    <row r="1600" spans="1:14">
      <c r="A1600" s="8" t="s">
        <v>1612</v>
      </c>
      <c r="B1600" s="2">
        <f>HYPERLINK("https://www.suredividend.com/sure-analysis-research-database/","Koppers Holdings Inc")</f>
        <v>0</v>
      </c>
      <c r="C1600" s="1" t="s">
        <v>3177</v>
      </c>
      <c r="D1600" s="3">
        <v>41.58</v>
      </c>
      <c r="E1600" s="4">
        <v>0.006239922864292</v>
      </c>
      <c r="F1600" s="4" t="s">
        <v>3178</v>
      </c>
      <c r="G1600" s="4" t="s">
        <v>3178</v>
      </c>
      <c r="H1600" s="3">
        <v>0.25945599269729</v>
      </c>
      <c r="I1600" s="5">
        <v>881.503651</v>
      </c>
      <c r="J1600" s="6">
        <v>11.49287680208605</v>
      </c>
      <c r="K1600" s="4">
        <v>0.07329265330431922</v>
      </c>
      <c r="L1600" s="7">
        <v>0.896557809710645</v>
      </c>
      <c r="M1600" s="3">
        <v>58.06</v>
      </c>
      <c r="N1600" s="3">
        <v>31.73</v>
      </c>
    </row>
    <row r="1601" spans="1:14">
      <c r="A1601" s="8" t="s">
        <v>1613</v>
      </c>
      <c r="B1601" s="2">
        <f>HYPERLINK("https://www.suredividend.com/sure-analysis-research-database/","Kopin Corp.")</f>
        <v>0</v>
      </c>
      <c r="C1601" s="1" t="s">
        <v>3181</v>
      </c>
      <c r="D1601" s="3">
        <v>0.7513000000000001</v>
      </c>
      <c r="E1601" s="4">
        <v>0</v>
      </c>
      <c r="F1601" s="4" t="s">
        <v>3178</v>
      </c>
      <c r="G1601" s="4" t="s">
        <v>3178</v>
      </c>
      <c r="H1601" s="3">
        <v>0</v>
      </c>
      <c r="I1601" s="5">
        <v>88.97495600000001</v>
      </c>
      <c r="J1601" s="6" t="s">
        <v>3178</v>
      </c>
      <c r="K1601" s="4">
        <v>-0</v>
      </c>
      <c r="L1601" s="7">
        <v>2.476602280826608</v>
      </c>
      <c r="M1601" s="3">
        <v>2.82</v>
      </c>
      <c r="N1601" s="3">
        <v>0.6679</v>
      </c>
    </row>
    <row r="1602" spans="1:14">
      <c r="A1602" s="8" t="s">
        <v>1614</v>
      </c>
      <c r="B1602" s="2">
        <f>HYPERLINK("https://www.suredividend.com/sure-analysis-research-database/","Kosmos Energy Ltd")</f>
        <v>0</v>
      </c>
      <c r="C1602" s="1" t="s">
        <v>3185</v>
      </c>
      <c r="D1602" s="3">
        <v>5.52</v>
      </c>
      <c r="E1602" s="4">
        <v>0</v>
      </c>
      <c r="F1602" s="4" t="s">
        <v>3178</v>
      </c>
      <c r="G1602" s="4" t="s">
        <v>3178</v>
      </c>
      <c r="H1602" s="3">
        <v>0</v>
      </c>
      <c r="I1602" s="5">
        <v>2602.947764</v>
      </c>
      <c r="J1602" s="6">
        <v>11.73043242657629</v>
      </c>
      <c r="K1602" s="4">
        <v>0</v>
      </c>
      <c r="L1602" s="7">
        <v>0.708567485620704</v>
      </c>
      <c r="M1602" s="3">
        <v>8.279999999999999</v>
      </c>
      <c r="N1602" s="3">
        <v>5.23</v>
      </c>
    </row>
    <row r="1603" spans="1:14">
      <c r="A1603" s="8" t="s">
        <v>1615</v>
      </c>
      <c r="B1603" s="2">
        <f>HYPERLINK("https://www.suredividend.com/sure-analysis-research-database/","Karyopharm Therapeutics Inc")</f>
        <v>0</v>
      </c>
      <c r="C1603" s="1" t="s">
        <v>3176</v>
      </c>
      <c r="D1603" s="3">
        <v>0.9602000000000001</v>
      </c>
      <c r="E1603" s="4">
        <v>0</v>
      </c>
      <c r="F1603" s="4" t="s">
        <v>3178</v>
      </c>
      <c r="G1603" s="4" t="s">
        <v>3178</v>
      </c>
      <c r="H1603" s="3">
        <v>0</v>
      </c>
      <c r="I1603" s="5">
        <v>119.656026</v>
      </c>
      <c r="J1603" s="6" t="s">
        <v>3178</v>
      </c>
      <c r="K1603" s="4">
        <v>-0</v>
      </c>
      <c r="L1603" s="7">
        <v>1.51811366793438</v>
      </c>
      <c r="M1603" s="3">
        <v>2.33</v>
      </c>
      <c r="N1603" s="3">
        <v>0.6174000000000001</v>
      </c>
    </row>
    <row r="1604" spans="1:14">
      <c r="A1604" s="8" t="s">
        <v>1616</v>
      </c>
      <c r="B1604" s="2">
        <f>HYPERLINK("https://www.suredividend.com/sure-analysis-KR/","Kroger Co.")</f>
        <v>0</v>
      </c>
      <c r="C1604" s="1" t="s">
        <v>3184</v>
      </c>
      <c r="D1604" s="3">
        <v>51.98</v>
      </c>
      <c r="E1604" s="4">
        <v>0.0223162754905733</v>
      </c>
      <c r="F1604" s="4">
        <v>0.1153846153846152</v>
      </c>
      <c r="G1604" s="4">
        <v>0.1263039392161627</v>
      </c>
      <c r="H1604" s="3">
        <v>1.149876119962997</v>
      </c>
      <c r="I1604" s="5">
        <v>37513.334131</v>
      </c>
      <c r="J1604" s="6">
        <v>17.33518213083179</v>
      </c>
      <c r="K1604" s="4">
        <v>0.3858644697862406</v>
      </c>
      <c r="L1604" s="7">
        <v>0.15740322375103</v>
      </c>
      <c r="M1604" s="3">
        <v>58.03</v>
      </c>
      <c r="N1604" s="3">
        <v>41.61</v>
      </c>
    </row>
    <row r="1605" spans="1:14">
      <c r="A1605" s="8" t="s">
        <v>1617</v>
      </c>
      <c r="B1605" s="2">
        <f>HYPERLINK("https://www.suredividend.com/sure-analysis-research-database/","Kraton Corp")</f>
        <v>0</v>
      </c>
      <c r="C1605" s="1" t="s">
        <v>3177</v>
      </c>
      <c r="D1605" s="3">
        <v>46.49</v>
      </c>
      <c r="E1605" s="4">
        <v>0</v>
      </c>
      <c r="F1605" s="4" t="s">
        <v>3178</v>
      </c>
      <c r="G1605" s="4" t="s">
        <v>3178</v>
      </c>
      <c r="H1605" s="3">
        <v>0</v>
      </c>
      <c r="I1605" s="5">
        <v>1498.066854</v>
      </c>
      <c r="J1605" s="6">
        <v>8.800458531129205</v>
      </c>
      <c r="K1605" s="4">
        <v>0</v>
      </c>
      <c r="L1605" s="7">
        <v>0.5972292481504621</v>
      </c>
      <c r="M1605" s="3">
        <v>46.74</v>
      </c>
      <c r="N1605" s="3">
        <v>30.48</v>
      </c>
    </row>
    <row r="1606" spans="1:14">
      <c r="A1606" s="8" t="s">
        <v>1618</v>
      </c>
      <c r="B1606" s="2">
        <f>HYPERLINK("https://www.suredividend.com/sure-analysis-KRC/","Kilroy Realty Corp.")</f>
        <v>0</v>
      </c>
      <c r="C1606" s="1" t="s">
        <v>3183</v>
      </c>
      <c r="D1606" s="3">
        <v>31.57</v>
      </c>
      <c r="E1606" s="4">
        <v>0.06841938549255623</v>
      </c>
      <c r="F1606" s="4">
        <v>0</v>
      </c>
      <c r="G1606" s="4">
        <v>0.02171649354751848</v>
      </c>
      <c r="H1606" s="3">
        <v>2.112302373309314</v>
      </c>
      <c r="I1606" s="5">
        <v>3705.319125</v>
      </c>
      <c r="J1606" s="6">
        <v>18.17357395198274</v>
      </c>
      <c r="K1606" s="4">
        <v>1.220984030814632</v>
      </c>
      <c r="L1606" s="7">
        <v>1.718958213512952</v>
      </c>
      <c r="M1606" s="3">
        <v>42.15</v>
      </c>
      <c r="N1606" s="3">
        <v>26.03</v>
      </c>
    </row>
    <row r="1607" spans="1:14">
      <c r="A1607" s="8" t="s">
        <v>1619</v>
      </c>
      <c r="B1607" s="2">
        <f>HYPERLINK("https://www.suredividend.com/sure-analysis-KREF/","KKR Real Estate Finance Trust Inc")</f>
        <v>0</v>
      </c>
      <c r="C1607" s="1" t="s">
        <v>3183</v>
      </c>
      <c r="D1607" s="3">
        <v>9.26</v>
      </c>
      <c r="E1607" s="4">
        <v>0.1079913606911447</v>
      </c>
      <c r="F1607" s="4">
        <v>-0.4186046511627907</v>
      </c>
      <c r="G1607" s="4">
        <v>-0.1027895761164154</v>
      </c>
      <c r="H1607" s="3">
        <v>1.467657741354563</v>
      </c>
      <c r="I1607" s="5">
        <v>641.846344</v>
      </c>
      <c r="J1607" s="6" t="s">
        <v>3178</v>
      </c>
      <c r="K1607" s="4" t="s">
        <v>3178</v>
      </c>
      <c r="L1607" s="7">
        <v>1.250339298791446</v>
      </c>
      <c r="M1607" s="3">
        <v>13.35</v>
      </c>
      <c r="N1607" s="3">
        <v>8.859999999999999</v>
      </c>
    </row>
    <row r="1608" spans="1:14">
      <c r="A1608" s="8" t="s">
        <v>1620</v>
      </c>
      <c r="B1608" s="2">
        <f>HYPERLINK("https://www.suredividend.com/sure-analysis-KRG/","Kite Realty Group Trust")</f>
        <v>0</v>
      </c>
      <c r="C1608" s="1" t="s">
        <v>3183</v>
      </c>
      <c r="D1608" s="3">
        <v>22.15</v>
      </c>
      <c r="E1608" s="4">
        <v>0.04514672686230248</v>
      </c>
      <c r="F1608" s="4">
        <v>0.04166666666666674</v>
      </c>
      <c r="G1608" s="4">
        <v>-0.04667878942197823</v>
      </c>
      <c r="H1608" s="3">
        <v>0.963227632277709</v>
      </c>
      <c r="I1608" s="5">
        <v>4864.225543</v>
      </c>
      <c r="J1608" s="6">
        <v>86.45514002630502</v>
      </c>
      <c r="K1608" s="4">
        <v>3.761138743763019</v>
      </c>
      <c r="L1608" s="7">
        <v>0.8141790208712421</v>
      </c>
      <c r="M1608" s="3">
        <v>23.43</v>
      </c>
      <c r="N1608" s="3">
        <v>19.33</v>
      </c>
    </row>
    <row r="1609" spans="1:14">
      <c r="A1609" s="8" t="s">
        <v>1621</v>
      </c>
      <c r="B1609" s="2">
        <f>HYPERLINK("https://www.suredividend.com/sure-analysis-research-database/","Kearny Financial Corp.")</f>
        <v>0</v>
      </c>
      <c r="C1609" s="1" t="s">
        <v>3180</v>
      </c>
      <c r="D1609" s="3">
        <v>5.46</v>
      </c>
      <c r="E1609" s="4">
        <v>0.07826198781760001</v>
      </c>
      <c r="F1609" s="4">
        <v>0</v>
      </c>
      <c r="G1609" s="4">
        <v>0.1288813207301975</v>
      </c>
      <c r="H1609" s="3">
        <v>0.427310453484097</v>
      </c>
      <c r="I1609" s="5">
        <v>351.825993</v>
      </c>
      <c r="J1609" s="6">
        <v>22.80881638249595</v>
      </c>
      <c r="K1609" s="4">
        <v>1.739863409951535</v>
      </c>
      <c r="L1609" s="7">
        <v>1.077648991717327</v>
      </c>
      <c r="M1609" s="3">
        <v>9.130000000000001</v>
      </c>
      <c r="N1609" s="3">
        <v>5.17</v>
      </c>
    </row>
    <row r="1610" spans="1:14">
      <c r="A1610" s="8" t="s">
        <v>1622</v>
      </c>
      <c r="B1610" s="2">
        <f>HYPERLINK("https://www.suredividend.com/sure-analysis-KRO/","Kronos Worldwide, Inc.")</f>
        <v>0</v>
      </c>
      <c r="C1610" s="1" t="s">
        <v>3177</v>
      </c>
      <c r="D1610" s="3">
        <v>13.35</v>
      </c>
      <c r="E1610" s="4">
        <v>0.05692883895131087</v>
      </c>
      <c r="F1610" s="4" t="s">
        <v>3178</v>
      </c>
      <c r="G1610" s="4" t="s">
        <v>3178</v>
      </c>
      <c r="H1610" s="3">
        <v>0.5581074185407751</v>
      </c>
      <c r="I1610" s="5">
        <v>1535.610664</v>
      </c>
      <c r="J1610" s="6" t="s">
        <v>3178</v>
      </c>
      <c r="K1610" s="4" t="s">
        <v>3178</v>
      </c>
      <c r="L1610" s="7">
        <v>1.388493459385036</v>
      </c>
      <c r="M1610" s="3">
        <v>14.5</v>
      </c>
      <c r="N1610" s="3">
        <v>5.9</v>
      </c>
    </row>
    <row r="1611" spans="1:14">
      <c r="A1611" s="8" t="s">
        <v>1623</v>
      </c>
      <c r="B1611" s="2">
        <f>HYPERLINK("https://www.suredividend.com/sure-analysis-research-database/","Krystal Biotech Inc")</f>
        <v>0</v>
      </c>
      <c r="C1611" s="1" t="s">
        <v>3176</v>
      </c>
      <c r="D1611" s="3">
        <v>164.42</v>
      </c>
      <c r="E1611" s="4">
        <v>0</v>
      </c>
      <c r="F1611" s="4" t="s">
        <v>3178</v>
      </c>
      <c r="G1611" s="4" t="s">
        <v>3178</v>
      </c>
      <c r="H1611" s="3">
        <v>0</v>
      </c>
      <c r="I1611" s="5">
        <v>4695.578705</v>
      </c>
      <c r="J1611" s="6">
        <v>0</v>
      </c>
      <c r="K1611" s="4" t="s">
        <v>3178</v>
      </c>
      <c r="L1611" s="7">
        <v>0.925603992206624</v>
      </c>
      <c r="M1611" s="3">
        <v>189.97</v>
      </c>
      <c r="N1611" s="3">
        <v>93.95</v>
      </c>
    </row>
    <row r="1612" spans="1:14">
      <c r="A1612" s="8" t="s">
        <v>1624</v>
      </c>
      <c r="B1612" s="2">
        <f>HYPERLINK("https://www.suredividend.com/sure-analysis-KSS/","Kohl`s Corp.")</f>
        <v>0</v>
      </c>
      <c r="C1612" s="1" t="s">
        <v>3182</v>
      </c>
      <c r="D1612" s="3">
        <v>22.82</v>
      </c>
      <c r="E1612" s="4">
        <v>0.08764241893076249</v>
      </c>
      <c r="F1612" s="4" t="s">
        <v>3178</v>
      </c>
      <c r="G1612" s="4" t="s">
        <v>3178</v>
      </c>
      <c r="H1612" s="3">
        <v>1.470449188321341</v>
      </c>
      <c r="I1612" s="5">
        <v>2537.712545</v>
      </c>
      <c r="J1612" s="6">
        <v>8.005402350347003</v>
      </c>
      <c r="K1612" s="4">
        <v>0.5141430728396298</v>
      </c>
      <c r="L1612" s="7">
        <v>1.961454931407828</v>
      </c>
      <c r="M1612" s="3">
        <v>29.6</v>
      </c>
      <c r="N1612" s="3">
        <v>16.99</v>
      </c>
    </row>
    <row r="1613" spans="1:14">
      <c r="A1613" s="8" t="s">
        <v>1625</v>
      </c>
      <c r="B1613" s="2">
        <f>HYPERLINK("https://www.suredividend.com/sure-analysis-research-database/","Kansas City Southern")</f>
        <v>0</v>
      </c>
      <c r="C1613" s="1" t="s">
        <v>3179</v>
      </c>
      <c r="D1613" s="3">
        <v>293.59</v>
      </c>
      <c r="E1613" s="4">
        <v>0.006996623579219</v>
      </c>
      <c r="F1613" s="4" t="s">
        <v>3178</v>
      </c>
      <c r="G1613" s="4" t="s">
        <v>3178</v>
      </c>
      <c r="H1613" s="3">
        <v>2.054138716623186</v>
      </c>
      <c r="I1613" s="5">
        <v>26710.94738</v>
      </c>
      <c r="J1613" s="6">
        <v>277.6605756715177</v>
      </c>
      <c r="K1613" s="4">
        <v>1.956322587260177</v>
      </c>
      <c r="L1613" s="7">
        <v>0.9391559309247631</v>
      </c>
      <c r="M1613" s="3">
        <v>314.21</v>
      </c>
      <c r="N1613" s="3">
        <v>189</v>
      </c>
    </row>
    <row r="1614" spans="1:14">
      <c r="A1614" s="8" t="s">
        <v>1626</v>
      </c>
      <c r="B1614" s="2">
        <f>HYPERLINK("https://www.suredividend.com/sure-analysis-KTB/","Kontoor Brands Inc")</f>
        <v>0</v>
      </c>
      <c r="C1614" s="1" t="s">
        <v>3182</v>
      </c>
      <c r="D1614" s="3">
        <v>73.45</v>
      </c>
      <c r="E1614" s="4">
        <v>0.02722940776038121</v>
      </c>
      <c r="F1614" s="4" t="s">
        <v>3178</v>
      </c>
      <c r="G1614" s="4" t="s">
        <v>3178</v>
      </c>
      <c r="H1614" s="3">
        <v>1.467565734595889</v>
      </c>
      <c r="I1614" s="5">
        <v>4100.689923</v>
      </c>
      <c r="J1614" s="6">
        <v>18.28991290359269</v>
      </c>
      <c r="K1614" s="4">
        <v>0.3724786128415962</v>
      </c>
      <c r="L1614" s="7">
        <v>1.015696620224478</v>
      </c>
      <c r="M1614" s="3">
        <v>74.90000000000001</v>
      </c>
      <c r="N1614" s="3">
        <v>36.06</v>
      </c>
    </row>
    <row r="1615" spans="1:14">
      <c r="A1615" s="8" t="s">
        <v>1627</v>
      </c>
      <c r="B1615" s="2">
        <f>HYPERLINK("https://www.suredividend.com/sure-analysis-research-database/","Key Tronic Corp.")</f>
        <v>0</v>
      </c>
      <c r="C1615" s="1" t="s">
        <v>3181</v>
      </c>
      <c r="D1615" s="3">
        <v>4.08</v>
      </c>
      <c r="E1615" s="4">
        <v>0</v>
      </c>
      <c r="F1615" s="4" t="s">
        <v>3178</v>
      </c>
      <c r="G1615" s="4" t="s">
        <v>3178</v>
      </c>
      <c r="H1615" s="3">
        <v>0</v>
      </c>
      <c r="I1615" s="5">
        <v>43.908434</v>
      </c>
      <c r="J1615" s="6">
        <v>168.8785910769231</v>
      </c>
      <c r="K1615" s="4">
        <v>0</v>
      </c>
      <c r="L1615" s="7">
        <v>0.7105285173312551</v>
      </c>
      <c r="M1615" s="3">
        <v>6.24</v>
      </c>
      <c r="N1615" s="3">
        <v>3.72</v>
      </c>
    </row>
    <row r="1616" spans="1:14">
      <c r="A1616" s="8" t="s">
        <v>1628</v>
      </c>
      <c r="B1616" s="2">
        <f>HYPERLINK("https://www.suredividend.com/sure-analysis-research-database/","Kratos Defense &amp; Security Solutions Inc")</f>
        <v>0</v>
      </c>
      <c r="C1616" s="1" t="s">
        <v>3179</v>
      </c>
      <c r="D1616" s="3">
        <v>20.38</v>
      </c>
      <c r="E1616" s="4">
        <v>0</v>
      </c>
      <c r="F1616" s="4" t="s">
        <v>3178</v>
      </c>
      <c r="G1616" s="4" t="s">
        <v>3178</v>
      </c>
      <c r="H1616" s="3">
        <v>0</v>
      </c>
      <c r="I1616" s="5">
        <v>3059.00099</v>
      </c>
      <c r="J1616" s="6" t="s">
        <v>3178</v>
      </c>
      <c r="K1616" s="4">
        <v>-0</v>
      </c>
      <c r="L1616" s="7">
        <v>0.998000450648408</v>
      </c>
      <c r="M1616" s="3">
        <v>22.78</v>
      </c>
      <c r="N1616" s="3">
        <v>13.13</v>
      </c>
    </row>
    <row r="1617" spans="1:14">
      <c r="A1617" s="8" t="s">
        <v>1629</v>
      </c>
      <c r="B1617" s="2">
        <f>HYPERLINK("https://www.suredividend.com/sure-analysis-research-database/","Kura Oncology Inc")</f>
        <v>0</v>
      </c>
      <c r="C1617" s="1" t="s">
        <v>3176</v>
      </c>
      <c r="D1617" s="3">
        <v>21.76</v>
      </c>
      <c r="E1617" s="4">
        <v>0</v>
      </c>
      <c r="F1617" s="4" t="s">
        <v>3178</v>
      </c>
      <c r="G1617" s="4" t="s">
        <v>3178</v>
      </c>
      <c r="H1617" s="3">
        <v>0</v>
      </c>
      <c r="I1617" s="5">
        <v>1657.690291</v>
      </c>
      <c r="J1617" s="6">
        <v>0</v>
      </c>
      <c r="K1617" s="4" t="s">
        <v>3178</v>
      </c>
      <c r="L1617" s="7">
        <v>1.403285855426463</v>
      </c>
      <c r="M1617" s="3">
        <v>24.17</v>
      </c>
      <c r="N1617" s="3">
        <v>7.41</v>
      </c>
    </row>
    <row r="1618" spans="1:14">
      <c r="A1618" s="8" t="s">
        <v>1630</v>
      </c>
      <c r="B1618" s="2">
        <f>HYPERLINK("https://www.suredividend.com/sure-analysis-research-database/","KVH Industries, Inc.")</f>
        <v>0</v>
      </c>
      <c r="C1618" s="1" t="s">
        <v>3181</v>
      </c>
      <c r="D1618" s="3">
        <v>5.01</v>
      </c>
      <c r="E1618" s="4">
        <v>0</v>
      </c>
      <c r="F1618" s="4" t="s">
        <v>3178</v>
      </c>
      <c r="G1618" s="4" t="s">
        <v>3178</v>
      </c>
      <c r="H1618" s="3">
        <v>0</v>
      </c>
      <c r="I1618" s="5">
        <v>98.778267</v>
      </c>
      <c r="J1618" s="6" t="s">
        <v>3178</v>
      </c>
      <c r="K1618" s="4">
        <v>-0</v>
      </c>
      <c r="L1618" s="7">
        <v>0.624294796075294</v>
      </c>
      <c r="M1618" s="3">
        <v>10.17</v>
      </c>
      <c r="N1618" s="3">
        <v>4.3</v>
      </c>
    </row>
    <row r="1619" spans="1:14">
      <c r="A1619" s="8" t="s">
        <v>1631</v>
      </c>
      <c r="B1619" s="2">
        <f>HYPERLINK("https://www.suredividend.com/sure-analysis-research-database/","Kennedy-Wilson Holdings Inc")</f>
        <v>0</v>
      </c>
      <c r="C1619" s="1" t="s">
        <v>3183</v>
      </c>
      <c r="D1619" s="3">
        <v>9.859999999999999</v>
      </c>
      <c r="E1619" s="4">
        <v>0.09391022844356101</v>
      </c>
      <c r="F1619" s="4">
        <v>0</v>
      </c>
      <c r="G1619" s="4">
        <v>0.02706608708935176</v>
      </c>
      <c r="H1619" s="3">
        <v>0.9259548524535161</v>
      </c>
      <c r="I1619" s="5">
        <v>1356.027451</v>
      </c>
      <c r="J1619" s="6" t="s">
        <v>3178</v>
      </c>
      <c r="K1619" s="4" t="s">
        <v>3178</v>
      </c>
      <c r="L1619" s="7">
        <v>1.094061656587692</v>
      </c>
      <c r="M1619" s="3">
        <v>16.32</v>
      </c>
      <c r="N1619" s="3">
        <v>7.62</v>
      </c>
    </row>
    <row r="1620" spans="1:14">
      <c r="A1620" s="8" t="s">
        <v>1632</v>
      </c>
      <c r="B1620" s="2">
        <f>HYPERLINK("https://www.suredividend.com/sure-analysis-KWR/","Quaker Houghton")</f>
        <v>0</v>
      </c>
      <c r="C1620" s="1" t="s">
        <v>3177</v>
      </c>
      <c r="D1620" s="3">
        <v>175.23</v>
      </c>
      <c r="E1620" s="4">
        <v>0.01038634936940022</v>
      </c>
      <c r="F1620" s="4">
        <v>0.04597701149425282</v>
      </c>
      <c r="G1620" s="4">
        <v>0.03397522653195018</v>
      </c>
      <c r="H1620" s="3">
        <v>1.793466744681085</v>
      </c>
      <c r="I1620" s="5">
        <v>3152.368775</v>
      </c>
      <c r="J1620" s="6">
        <v>26.74400006074386</v>
      </c>
      <c r="K1620" s="4">
        <v>0.2725633350579156</v>
      </c>
      <c r="L1620" s="7">
        <v>1.161020421235462</v>
      </c>
      <c r="M1620" s="3">
        <v>220.92</v>
      </c>
      <c r="N1620" s="3">
        <v>138.03</v>
      </c>
    </row>
    <row r="1621" spans="1:14">
      <c r="A1621" s="8" t="s">
        <v>1633</v>
      </c>
      <c r="B1621" s="2">
        <f>HYPERLINK("https://www.suredividend.com/sure-analysis-research-database/","Kezar Life Sciences Inc")</f>
        <v>0</v>
      </c>
      <c r="C1621" s="1" t="s">
        <v>3176</v>
      </c>
      <c r="D1621" s="3">
        <v>0.6847000000000001</v>
      </c>
      <c r="E1621" s="4">
        <v>0</v>
      </c>
      <c r="F1621" s="4" t="s">
        <v>3178</v>
      </c>
      <c r="G1621" s="4" t="s">
        <v>3178</v>
      </c>
      <c r="H1621" s="3">
        <v>0</v>
      </c>
      <c r="I1621" s="5">
        <v>49.847091</v>
      </c>
      <c r="J1621" s="6">
        <v>0</v>
      </c>
      <c r="K1621" s="4" t="s">
        <v>3178</v>
      </c>
      <c r="L1621" s="7">
        <v>1.570990278450454</v>
      </c>
      <c r="M1621" s="3">
        <v>2.74</v>
      </c>
      <c r="N1621" s="3">
        <v>0.6452</v>
      </c>
    </row>
    <row r="1622" spans="1:14">
      <c r="A1622" s="8" t="s">
        <v>1634</v>
      </c>
      <c r="B1622" s="2">
        <f>HYPERLINK("https://www.suredividend.com/sure-analysis-research-database/","Loews Corp.")</f>
        <v>0</v>
      </c>
      <c r="C1622" s="1" t="s">
        <v>3180</v>
      </c>
      <c r="D1622" s="3">
        <v>75.25</v>
      </c>
      <c r="E1622" s="4">
        <v>0.003317991092102</v>
      </c>
      <c r="F1622" s="4">
        <v>0</v>
      </c>
      <c r="G1622" s="4">
        <v>0</v>
      </c>
      <c r="H1622" s="3">
        <v>0.249678829680747</v>
      </c>
      <c r="I1622" s="5">
        <v>16660.82099</v>
      </c>
      <c r="J1622" s="6">
        <v>10.98998746025726</v>
      </c>
      <c r="K1622" s="4">
        <v>0.03704433674788531</v>
      </c>
      <c r="L1622" s="7">
        <v>0.366518516127625</v>
      </c>
      <c r="M1622" s="3">
        <v>78.48</v>
      </c>
      <c r="N1622" s="3">
        <v>57.26</v>
      </c>
    </row>
    <row r="1623" spans="1:14">
      <c r="A1623" s="8" t="s">
        <v>1635</v>
      </c>
      <c r="B1623" s="2">
        <f>HYPERLINK("https://www.suredividend.com/sure-analysis-LAD/","Lithia Motors, Inc.")</f>
        <v>0</v>
      </c>
      <c r="C1623" s="1" t="s">
        <v>3182</v>
      </c>
      <c r="D1623" s="3">
        <v>258.1</v>
      </c>
      <c r="E1623" s="4">
        <v>0.008213870592793491</v>
      </c>
      <c r="F1623" s="4">
        <v>0.06000000000000005</v>
      </c>
      <c r="G1623" s="4">
        <v>0.1205491821988536</v>
      </c>
      <c r="H1623" s="3">
        <v>2.02429753395079</v>
      </c>
      <c r="I1623" s="5">
        <v>7097.75</v>
      </c>
      <c r="J1623" s="6">
        <v>7.593612923932812</v>
      </c>
      <c r="K1623" s="4">
        <v>0.05981966707892405</v>
      </c>
      <c r="L1623" s="7">
        <v>1.50158578518818</v>
      </c>
      <c r="M1623" s="3">
        <v>330.72</v>
      </c>
      <c r="N1623" s="3">
        <v>230.06</v>
      </c>
    </row>
    <row r="1624" spans="1:14">
      <c r="A1624" s="8" t="s">
        <v>1636</v>
      </c>
      <c r="B1624" s="2">
        <f>HYPERLINK("https://www.suredividend.com/sure-analysis-LADR/","Ladder Capital Corp")</f>
        <v>0</v>
      </c>
      <c r="C1624" s="1" t="s">
        <v>3183</v>
      </c>
      <c r="D1624" s="3">
        <v>10.83</v>
      </c>
      <c r="E1624" s="4">
        <v>0.08494921514312097</v>
      </c>
      <c r="F1624" s="4" t="s">
        <v>3178</v>
      </c>
      <c r="G1624" s="4" t="s">
        <v>3178</v>
      </c>
      <c r="H1624" s="3">
        <v>0.8918361732094491</v>
      </c>
      <c r="I1624" s="5">
        <v>1385.031101</v>
      </c>
      <c r="J1624" s="6">
        <v>14.529415912238</v>
      </c>
      <c r="K1624" s="4">
        <v>1.170388678752558</v>
      </c>
      <c r="L1624" s="7">
        <v>1.184605196483673</v>
      </c>
      <c r="M1624" s="3">
        <v>11.55</v>
      </c>
      <c r="N1624" s="3">
        <v>8.720000000000001</v>
      </c>
    </row>
    <row r="1625" spans="1:14">
      <c r="A1625" s="8" t="s">
        <v>1637</v>
      </c>
      <c r="B1625" s="2">
        <f>HYPERLINK("https://www.suredividend.com/sure-analysis-research-database/","Lakeland Industries, Inc.")</f>
        <v>0</v>
      </c>
      <c r="C1625" s="1" t="s">
        <v>3182</v>
      </c>
      <c r="D1625" s="3">
        <v>22.36</v>
      </c>
      <c r="E1625" s="4">
        <v>0.00533818698694</v>
      </c>
      <c r="F1625" s="4" t="s">
        <v>3178</v>
      </c>
      <c r="G1625" s="4" t="s">
        <v>3178</v>
      </c>
      <c r="H1625" s="3">
        <v>0.119361861027997</v>
      </c>
      <c r="I1625" s="5">
        <v>164.967943</v>
      </c>
      <c r="J1625" s="6">
        <v>30.40883749308756</v>
      </c>
      <c r="K1625" s="4">
        <v>0.1658955677942974</v>
      </c>
      <c r="L1625" s="7">
        <v>0.7369223687516201</v>
      </c>
      <c r="M1625" s="3">
        <v>22.58</v>
      </c>
      <c r="N1625" s="3">
        <v>12.33</v>
      </c>
    </row>
    <row r="1626" spans="1:14">
      <c r="A1626" s="8" t="s">
        <v>1638</v>
      </c>
      <c r="B1626" s="2">
        <f>HYPERLINK("https://www.suredividend.com/sure-analysis-LAMR/","Lamar Advertising Co")</f>
        <v>0</v>
      </c>
      <c r="C1626" s="1" t="s">
        <v>3183</v>
      </c>
      <c r="D1626" s="3">
        <v>116.85</v>
      </c>
      <c r="E1626" s="4">
        <v>0.04450149764655541</v>
      </c>
      <c r="F1626" s="4">
        <v>0.04000000000000004</v>
      </c>
      <c r="G1626" s="4">
        <v>0.06251341943967748</v>
      </c>
      <c r="H1626" s="3">
        <v>4.878920034706314</v>
      </c>
      <c r="I1626" s="5">
        <v>10261.838162</v>
      </c>
      <c r="J1626" s="6">
        <v>20.62345258691549</v>
      </c>
      <c r="K1626" s="4">
        <v>1.001831629303145</v>
      </c>
      <c r="L1626" s="7">
        <v>1.341143760820641</v>
      </c>
      <c r="M1626" s="3">
        <v>122.22</v>
      </c>
      <c r="N1626" s="3">
        <v>73.81999999999999</v>
      </c>
    </row>
    <row r="1627" spans="1:14">
      <c r="A1627" s="8" t="s">
        <v>1639</v>
      </c>
      <c r="B1627" s="2">
        <f>HYPERLINK("https://www.suredividend.com/sure-analysis-LANC/","Lancaster Colony Corp.")</f>
        <v>0</v>
      </c>
      <c r="C1627" s="1" t="s">
        <v>3184</v>
      </c>
      <c r="D1627" s="3">
        <v>186.06</v>
      </c>
      <c r="E1627" s="4">
        <v>0.01934859722670106</v>
      </c>
      <c r="F1627" s="4">
        <v>0.05882352941176472</v>
      </c>
      <c r="G1627" s="4">
        <v>0.05154749679728043</v>
      </c>
      <c r="H1627" s="3">
        <v>3.5079362483911</v>
      </c>
      <c r="I1627" s="5">
        <v>5121.67362</v>
      </c>
      <c r="J1627" s="6">
        <v>38.6206207442597</v>
      </c>
      <c r="K1627" s="4">
        <v>0.7262807967683437</v>
      </c>
      <c r="L1627" s="7">
        <v>0.458007359838402</v>
      </c>
      <c r="M1627" s="3">
        <v>212.31</v>
      </c>
      <c r="N1627" s="3">
        <v>153.48</v>
      </c>
    </row>
    <row r="1628" spans="1:14">
      <c r="A1628" s="8" t="s">
        <v>1640</v>
      </c>
      <c r="B1628" s="2">
        <f>HYPERLINK("https://www.suredividend.com/sure-analysis-LAND/","Gladstone Land Corp")</f>
        <v>0</v>
      </c>
      <c r="C1628" s="1" t="s">
        <v>3183</v>
      </c>
      <c r="D1628" s="3">
        <v>13.26</v>
      </c>
      <c r="E1628" s="4">
        <v>0.04223227752639518</v>
      </c>
      <c r="F1628" s="4">
        <v>0.002150537634408645</v>
      </c>
      <c r="G1628" s="4">
        <v>0.003469294120445499</v>
      </c>
      <c r="H1628" s="3">
        <v>0.536606209137254</v>
      </c>
      <c r="I1628" s="5">
        <v>475.217741</v>
      </c>
      <c r="J1628" s="6">
        <v>0</v>
      </c>
      <c r="K1628" s="4" t="s">
        <v>3178</v>
      </c>
      <c r="L1628" s="7">
        <v>0.9175155726836691</v>
      </c>
      <c r="M1628" s="3">
        <v>16.36</v>
      </c>
      <c r="N1628" s="3">
        <v>12.19</v>
      </c>
    </row>
    <row r="1629" spans="1:14">
      <c r="A1629" s="8" t="s">
        <v>1641</v>
      </c>
      <c r="B1629" s="2">
        <f>HYPERLINK("https://www.suredividend.com/sure-analysis-LARK/","Landmark Bancorp Inc")</f>
        <v>0</v>
      </c>
      <c r="C1629" s="1" t="s">
        <v>3180</v>
      </c>
      <c r="D1629" s="3">
        <v>19.25</v>
      </c>
      <c r="E1629" s="4">
        <v>0.04363636363636363</v>
      </c>
      <c r="F1629" s="4">
        <v>0</v>
      </c>
      <c r="G1629" s="4">
        <v>0.009805797673485328</v>
      </c>
      <c r="H1629" s="3">
        <v>0.7945204341369371</v>
      </c>
      <c r="I1629" s="5">
        <v>105.37194</v>
      </c>
      <c r="J1629" s="6">
        <v>0</v>
      </c>
      <c r="K1629" s="4" t="s">
        <v>3178</v>
      </c>
      <c r="M1629" s="3">
        <v>20.86</v>
      </c>
      <c r="N1629" s="3">
        <v>14.73</v>
      </c>
    </row>
    <row r="1630" spans="1:14">
      <c r="A1630" s="8" t="s">
        <v>1642</v>
      </c>
      <c r="B1630" s="2">
        <f>HYPERLINK("https://www.suredividend.com/sure-analysis-research-database/","nLIGHT Inc")</f>
        <v>0</v>
      </c>
      <c r="C1630" s="1" t="s">
        <v>3181</v>
      </c>
      <c r="D1630" s="3">
        <v>11.77</v>
      </c>
      <c r="E1630" s="4">
        <v>0</v>
      </c>
      <c r="F1630" s="4" t="s">
        <v>3178</v>
      </c>
      <c r="G1630" s="4" t="s">
        <v>3178</v>
      </c>
      <c r="H1630" s="3">
        <v>0</v>
      </c>
      <c r="I1630" s="5">
        <v>559.842451</v>
      </c>
      <c r="J1630" s="6" t="s">
        <v>3178</v>
      </c>
      <c r="K1630" s="4">
        <v>-0</v>
      </c>
      <c r="L1630" s="7">
        <v>1.50254376900174</v>
      </c>
      <c r="M1630" s="3">
        <v>15.91</v>
      </c>
      <c r="N1630" s="3">
        <v>8.130000000000001</v>
      </c>
    </row>
    <row r="1631" spans="1:14">
      <c r="A1631" s="8" t="s">
        <v>1643</v>
      </c>
      <c r="B1631" s="2">
        <f>HYPERLINK("https://www.suredividend.com/sure-analysis-research-database/","Laureate Education Inc")</f>
        <v>0</v>
      </c>
      <c r="C1631" s="1" t="s">
        <v>3184</v>
      </c>
      <c r="D1631" s="3">
        <v>14.67</v>
      </c>
      <c r="E1631" s="4">
        <v>0</v>
      </c>
      <c r="F1631" s="4" t="s">
        <v>3178</v>
      </c>
      <c r="G1631" s="4" t="s">
        <v>3178</v>
      </c>
      <c r="H1631" s="3">
        <v>0</v>
      </c>
      <c r="I1631" s="5">
        <v>2276.202584</v>
      </c>
      <c r="J1631" s="6">
        <v>18.43885248521621</v>
      </c>
      <c r="K1631" s="4">
        <v>0</v>
      </c>
      <c r="L1631" s="7">
        <v>0.777025339895083</v>
      </c>
      <c r="M1631" s="3">
        <v>16.6</v>
      </c>
      <c r="N1631" s="3">
        <v>10.21</v>
      </c>
    </row>
    <row r="1632" spans="1:14">
      <c r="A1632" s="8" t="s">
        <v>1644</v>
      </c>
      <c r="B1632" s="2">
        <f>HYPERLINK("https://www.suredividend.com/sure-analysis-LAZ/","Lazard Inc.")</f>
        <v>0</v>
      </c>
      <c r="C1632" s="1" t="s">
        <v>3180</v>
      </c>
      <c r="D1632" s="3">
        <v>38.25</v>
      </c>
      <c r="E1632" s="4">
        <v>0.05228758169934641</v>
      </c>
      <c r="F1632" s="4" t="s">
        <v>3178</v>
      </c>
      <c r="G1632" s="4" t="s">
        <v>3178</v>
      </c>
      <c r="H1632" s="3">
        <v>0.993633780991735</v>
      </c>
      <c r="I1632" s="5">
        <v>3343.4325</v>
      </c>
      <c r="J1632" s="6" t="s">
        <v>3178</v>
      </c>
      <c r="K1632" s="4" t="s">
        <v>3178</v>
      </c>
      <c r="L1632" s="7">
        <v>0.8811508431745201</v>
      </c>
      <c r="M1632" s="3">
        <v>42.1</v>
      </c>
      <c r="N1632" s="3">
        <v>33.95</v>
      </c>
    </row>
    <row r="1633" spans="1:14">
      <c r="A1633" s="8" t="s">
        <v>1645</v>
      </c>
      <c r="B1633" s="2">
        <f>HYPERLINK("https://www.suredividend.com/sure-analysis-research-database/","Landbridge Company LLC.")</f>
        <v>0</v>
      </c>
      <c r="C1633" s="1" t="s">
        <v>3182</v>
      </c>
      <c r="D1633" s="3">
        <v>79.92</v>
      </c>
      <c r="E1633" s="4">
        <v>0</v>
      </c>
      <c r="F1633" s="4" t="s">
        <v>3178</v>
      </c>
      <c r="G1633" s="4" t="s">
        <v>3178</v>
      </c>
      <c r="H1633" s="3">
        <v>0</v>
      </c>
      <c r="I1633" s="5">
        <v>0</v>
      </c>
      <c r="J1633" s="6">
        <v>0</v>
      </c>
      <c r="K1633" s="4" t="s">
        <v>3178</v>
      </c>
    </row>
    <row r="1634" spans="1:14">
      <c r="A1634" s="8" t="s">
        <v>1646</v>
      </c>
      <c r="B1634" s="2">
        <f>HYPERLINK("https://www.suredividend.com/sure-analysis-research-database/","Lakeland Bancorp, Inc.")</f>
        <v>0</v>
      </c>
      <c r="C1634" s="1" t="s">
        <v>3180</v>
      </c>
      <c r="D1634" s="3">
        <v>13.43</v>
      </c>
      <c r="E1634" s="4">
        <v>0</v>
      </c>
      <c r="F1634" s="4" t="s">
        <v>3178</v>
      </c>
      <c r="G1634" s="4" t="s">
        <v>3178</v>
      </c>
      <c r="H1634" s="3">
        <v>0.5653461750751051</v>
      </c>
      <c r="I1634" s="5">
        <v>0</v>
      </c>
      <c r="J1634" s="6">
        <v>0</v>
      </c>
      <c r="K1634" s="4">
        <v>0.4382528488954303</v>
      </c>
    </row>
    <row r="1635" spans="1:14">
      <c r="A1635" s="8" t="s">
        <v>1647</v>
      </c>
      <c r="B1635" s="2">
        <f>HYPERLINK("https://www.suredividend.com/sure-analysis-research-database/","Luther Burbank Corp")</f>
        <v>0</v>
      </c>
      <c r="C1635" s="1" t="s">
        <v>3180</v>
      </c>
      <c r="D1635" s="3">
        <v>9.07</v>
      </c>
      <c r="E1635" s="4">
        <v>0</v>
      </c>
      <c r="F1635" s="4" t="s">
        <v>3178</v>
      </c>
      <c r="G1635" s="4" t="s">
        <v>3178</v>
      </c>
      <c r="H1635" s="3">
        <v>0</v>
      </c>
      <c r="I1635" s="5">
        <v>0</v>
      </c>
      <c r="J1635" s="6">
        <v>0</v>
      </c>
      <c r="K1635" s="4">
        <v>0</v>
      </c>
    </row>
    <row r="1636" spans="1:14">
      <c r="A1636" s="8" t="s">
        <v>1648</v>
      </c>
      <c r="B1636" s="2">
        <f>HYPERLINK("https://www.suredividend.com/sure-analysis-research-database/","Liberty Broadband Corp")</f>
        <v>0</v>
      </c>
      <c r="C1636" s="1" t="s">
        <v>3187</v>
      </c>
      <c r="D1636" s="3">
        <v>52.2</v>
      </c>
      <c r="E1636" s="4">
        <v>0</v>
      </c>
      <c r="F1636" s="4" t="s">
        <v>3178</v>
      </c>
      <c r="G1636" s="4" t="s">
        <v>3178</v>
      </c>
      <c r="H1636" s="3">
        <v>0</v>
      </c>
      <c r="I1636" s="5">
        <v>7282.390851</v>
      </c>
      <c r="J1636" s="6">
        <v>8.467896338186046</v>
      </c>
      <c r="K1636" s="4">
        <v>0</v>
      </c>
      <c r="L1636" s="7">
        <v>0.954754398936516</v>
      </c>
      <c r="M1636" s="3">
        <v>95.61</v>
      </c>
      <c r="N1636" s="3">
        <v>47.17</v>
      </c>
    </row>
    <row r="1637" spans="1:14">
      <c r="A1637" s="8" t="s">
        <v>1649</v>
      </c>
      <c r="B1637" s="2">
        <f>HYPERLINK("https://www.suredividend.com/sure-analysis-research-database/","Liberty Broadband Corp")</f>
        <v>0</v>
      </c>
      <c r="C1637" s="1" t="s">
        <v>3187</v>
      </c>
      <c r="D1637" s="3">
        <v>51.64</v>
      </c>
      <c r="E1637" s="4">
        <v>0</v>
      </c>
      <c r="F1637" s="4" t="s">
        <v>3178</v>
      </c>
      <c r="G1637" s="4" t="s">
        <v>3178</v>
      </c>
      <c r="H1637" s="3">
        <v>0</v>
      </c>
      <c r="I1637" s="5">
        <v>7282.390851</v>
      </c>
      <c r="J1637" s="6">
        <v>8.467896338186046</v>
      </c>
      <c r="K1637" s="4">
        <v>0</v>
      </c>
      <c r="L1637" s="7">
        <v>0.967262629785652</v>
      </c>
      <c r="M1637" s="3">
        <v>95.68000000000001</v>
      </c>
      <c r="N1637" s="3">
        <v>46.46</v>
      </c>
    </row>
    <row r="1638" spans="1:14">
      <c r="A1638" s="8" t="s">
        <v>1650</v>
      </c>
      <c r="B1638" s="2">
        <f>HYPERLINK("https://www.suredividend.com/sure-analysis-research-database/","Liberty Energy Inc")</f>
        <v>0</v>
      </c>
      <c r="C1638" s="1" t="s">
        <v>3185</v>
      </c>
      <c r="D1638" s="3">
        <v>22.73</v>
      </c>
      <c r="E1638" s="4">
        <v>0.011388030709141</v>
      </c>
      <c r="F1638" s="4" t="s">
        <v>3178</v>
      </c>
      <c r="G1638" s="4" t="s">
        <v>3178</v>
      </c>
      <c r="H1638" s="3">
        <v>0.258849938018786</v>
      </c>
      <c r="I1638" s="5">
        <v>3787.992982</v>
      </c>
      <c r="J1638" s="6">
        <v>7.965431858190657</v>
      </c>
      <c r="K1638" s="4">
        <v>0.09481682711310843</v>
      </c>
      <c r="L1638" s="7">
        <v>0.703111021913522</v>
      </c>
      <c r="M1638" s="3">
        <v>24.67</v>
      </c>
      <c r="N1638" s="3">
        <v>12.22</v>
      </c>
    </row>
    <row r="1639" spans="1:14">
      <c r="A1639" s="8" t="s">
        <v>1651</v>
      </c>
      <c r="B1639" s="2">
        <f>HYPERLINK("https://www.suredividend.com/sure-analysis-research-database/","Liberty Global Ltd")</f>
        <v>0</v>
      </c>
      <c r="C1639" s="1" t="s">
        <v>3187</v>
      </c>
      <c r="D1639" s="3">
        <v>18.09</v>
      </c>
      <c r="E1639" s="4">
        <v>0</v>
      </c>
      <c r="F1639" s="4" t="s">
        <v>3178</v>
      </c>
      <c r="G1639" s="4" t="s">
        <v>3178</v>
      </c>
      <c r="H1639" s="3">
        <v>0</v>
      </c>
      <c r="I1639" s="5">
        <v>6829.812672</v>
      </c>
      <c r="J1639" s="6" t="s">
        <v>3178</v>
      </c>
      <c r="K1639" s="4">
        <v>-0</v>
      </c>
      <c r="L1639" s="7">
        <v>1.021682745254745</v>
      </c>
      <c r="M1639" s="3">
        <v>20.56</v>
      </c>
      <c r="N1639" s="3">
        <v>15.01</v>
      </c>
    </row>
    <row r="1640" spans="1:14">
      <c r="A1640" s="8" t="s">
        <v>1652</v>
      </c>
      <c r="B1640" s="2">
        <f>HYPERLINK("https://www.suredividend.com/sure-analysis-research-database/","Liberty Global Ltd")</f>
        <v>0</v>
      </c>
      <c r="C1640" s="1" t="s">
        <v>3187</v>
      </c>
      <c r="D1640" s="3">
        <v>18.52</v>
      </c>
      <c r="E1640" s="4">
        <v>0</v>
      </c>
      <c r="F1640" s="4" t="s">
        <v>3178</v>
      </c>
      <c r="G1640" s="4" t="s">
        <v>3178</v>
      </c>
      <c r="H1640" s="3">
        <v>0</v>
      </c>
      <c r="I1640" s="5">
        <v>6829.812672</v>
      </c>
      <c r="J1640" s="6" t="s">
        <v>3178</v>
      </c>
      <c r="K1640" s="4">
        <v>-0</v>
      </c>
      <c r="L1640" s="7">
        <v>1.007977053070728</v>
      </c>
      <c r="M1640" s="3">
        <v>21.83</v>
      </c>
      <c r="N1640" s="3">
        <v>16.03</v>
      </c>
    </row>
    <row r="1641" spans="1:14">
      <c r="A1641" s="8" t="s">
        <v>1653</v>
      </c>
      <c r="B1641" s="2">
        <f>HYPERLINK("https://www.suredividend.com/sure-analysis-research-database/","LendingClub Corp")</f>
        <v>0</v>
      </c>
      <c r="C1641" s="1" t="s">
        <v>3180</v>
      </c>
      <c r="D1641" s="3">
        <v>8.369999999999999</v>
      </c>
      <c r="E1641" s="4">
        <v>0</v>
      </c>
      <c r="F1641" s="4" t="s">
        <v>3178</v>
      </c>
      <c r="G1641" s="4" t="s">
        <v>3178</v>
      </c>
      <c r="H1641" s="3">
        <v>0</v>
      </c>
      <c r="I1641" s="5">
        <v>930.077874</v>
      </c>
      <c r="J1641" s="6">
        <v>24.78687401193934</v>
      </c>
      <c r="K1641" s="4">
        <v>0</v>
      </c>
      <c r="L1641" s="7">
        <v>1.730817275936338</v>
      </c>
      <c r="M1641" s="3">
        <v>10.92</v>
      </c>
      <c r="N1641" s="3">
        <v>4.73</v>
      </c>
    </row>
    <row r="1642" spans="1:14">
      <c r="A1642" s="8" t="s">
        <v>1654</v>
      </c>
      <c r="B1642" s="2">
        <f>HYPERLINK("https://www.suredividend.com/sure-analysis-research-database/","Lannett Co., Inc.")</f>
        <v>0</v>
      </c>
      <c r="C1642" s="1" t="s">
        <v>3176</v>
      </c>
      <c r="D1642" s="3">
        <v>0.6855</v>
      </c>
      <c r="E1642" s="4">
        <v>0</v>
      </c>
      <c r="F1642" s="4" t="s">
        <v>3178</v>
      </c>
      <c r="G1642" s="4" t="s">
        <v>3178</v>
      </c>
      <c r="H1642" s="3">
        <v>0</v>
      </c>
      <c r="I1642" s="5">
        <v>29.521925</v>
      </c>
      <c r="J1642" s="6" t="s">
        <v>3178</v>
      </c>
      <c r="K1642" s="4">
        <v>-0</v>
      </c>
      <c r="L1642" s="7">
        <v>0.9512701405210311</v>
      </c>
      <c r="M1642" s="3">
        <v>3.72</v>
      </c>
      <c r="N1642" s="3">
        <v>0.6375000000000001</v>
      </c>
    </row>
    <row r="1643" spans="1:14">
      <c r="A1643" s="8" t="s">
        <v>1655</v>
      </c>
      <c r="B1643" s="2">
        <f>HYPERLINK("https://www.suredividend.com/sure-analysis-research-database/","LCI Industries")</f>
        <v>0</v>
      </c>
      <c r="C1643" s="1" t="s">
        <v>3182</v>
      </c>
      <c r="D1643" s="3">
        <v>104.29</v>
      </c>
      <c r="E1643" s="4">
        <v>0.039707090482721</v>
      </c>
      <c r="F1643" s="4">
        <v>0</v>
      </c>
      <c r="G1643" s="4">
        <v>0.1006650808520966</v>
      </c>
      <c r="H1643" s="3">
        <v>4.141052466443014</v>
      </c>
      <c r="I1643" s="5">
        <v>2654.159016</v>
      </c>
      <c r="J1643" s="6">
        <v>28.39249704496101</v>
      </c>
      <c r="K1643" s="4">
        <v>1.128352170692919</v>
      </c>
      <c r="L1643" s="7">
        <v>1.397089970532026</v>
      </c>
      <c r="M1643" s="3">
        <v>132.14</v>
      </c>
      <c r="N1643" s="3">
        <v>101.4</v>
      </c>
    </row>
    <row r="1644" spans="1:14">
      <c r="A1644" s="8" t="s">
        <v>1656</v>
      </c>
      <c r="B1644" s="2">
        <f>HYPERLINK("https://www.suredividend.com/sure-analysis-research-database/","LCNB Corp")</f>
        <v>0</v>
      </c>
      <c r="C1644" s="1" t="s">
        <v>3180</v>
      </c>
      <c r="D1644" s="3">
        <v>13.71</v>
      </c>
      <c r="E1644" s="4">
        <v>0.060625027992787</v>
      </c>
      <c r="F1644" s="4">
        <v>0.04761904761904767</v>
      </c>
      <c r="G1644" s="4">
        <v>0.05291848906511043</v>
      </c>
      <c r="H1644" s="3">
        <v>0.8311691337811231</v>
      </c>
      <c r="I1644" s="5">
        <v>193.899982</v>
      </c>
      <c r="J1644" s="6">
        <v>15.46005275075746</v>
      </c>
      <c r="K1644" s="4">
        <v>0.7556083034373846</v>
      </c>
      <c r="L1644" s="7">
        <v>0.692191439302229</v>
      </c>
      <c r="M1644" s="3">
        <v>16.05</v>
      </c>
      <c r="N1644" s="3">
        <v>11.65</v>
      </c>
    </row>
    <row r="1645" spans="1:14">
      <c r="A1645" s="8" t="s">
        <v>1657</v>
      </c>
      <c r="B1645" s="2">
        <f>HYPERLINK("https://www.suredividend.com/sure-analysis-research-database/","Lineage Cell Therapeutics Inc")</f>
        <v>0</v>
      </c>
      <c r="C1645" s="1" t="s">
        <v>3176</v>
      </c>
      <c r="D1645" s="3">
        <v>0.97</v>
      </c>
      <c r="E1645" s="4">
        <v>0</v>
      </c>
      <c r="F1645" s="4" t="s">
        <v>3178</v>
      </c>
      <c r="G1645" s="4" t="s">
        <v>3178</v>
      </c>
      <c r="H1645" s="3">
        <v>0</v>
      </c>
      <c r="I1645" s="5">
        <v>183.134201</v>
      </c>
      <c r="J1645" s="6" t="s">
        <v>3178</v>
      </c>
      <c r="K1645" s="4">
        <v>-0</v>
      </c>
      <c r="L1645" s="7">
        <v>1.194582770840498</v>
      </c>
      <c r="M1645" s="3">
        <v>1.61</v>
      </c>
      <c r="N1645" s="3">
        <v>0.8414</v>
      </c>
    </row>
    <row r="1646" spans="1:14">
      <c r="A1646" s="8" t="s">
        <v>1658</v>
      </c>
      <c r="B1646" s="2">
        <f>HYPERLINK("https://www.suredividend.com/sure-analysis-research-database/","Lifetime Brands, Inc.")</f>
        <v>0</v>
      </c>
      <c r="C1646" s="1" t="s">
        <v>3182</v>
      </c>
      <c r="D1646" s="3">
        <v>10.63</v>
      </c>
      <c r="E1646" s="4">
        <v>0.015790942235406</v>
      </c>
      <c r="F1646" s="4">
        <v>0</v>
      </c>
      <c r="G1646" s="4">
        <v>0</v>
      </c>
      <c r="H1646" s="3">
        <v>0.167857715962367</v>
      </c>
      <c r="I1646" s="5">
        <v>234.638711</v>
      </c>
      <c r="J1646" s="6" t="s">
        <v>3178</v>
      </c>
      <c r="K1646" s="4" t="s">
        <v>3178</v>
      </c>
      <c r="L1646" s="7">
        <v>0.7243260344830961</v>
      </c>
      <c r="M1646" s="3">
        <v>11.68</v>
      </c>
      <c r="N1646" s="3">
        <v>4.11</v>
      </c>
    </row>
    <row r="1647" spans="1:14">
      <c r="A1647" s="8" t="s">
        <v>1659</v>
      </c>
      <c r="B1647" s="2">
        <f>HYPERLINK("https://www.suredividend.com/sure-analysis-research-database/","Lydall, Inc.")</f>
        <v>0</v>
      </c>
      <c r="C1647" s="1" t="s">
        <v>3179</v>
      </c>
      <c r="D1647" s="3">
        <v>62.09</v>
      </c>
      <c r="E1647" s="4">
        <v>0</v>
      </c>
      <c r="F1647" s="4" t="s">
        <v>3178</v>
      </c>
      <c r="G1647" s="4" t="s">
        <v>3178</v>
      </c>
      <c r="H1647" s="3">
        <v>0</v>
      </c>
      <c r="I1647" s="5">
        <v>1119.929872</v>
      </c>
      <c r="J1647" s="6" t="s">
        <v>3178</v>
      </c>
      <c r="K1647" s="4">
        <v>-0</v>
      </c>
      <c r="M1647" s="3">
        <v>62.12</v>
      </c>
      <c r="N1647" s="3">
        <v>16.75</v>
      </c>
    </row>
    <row r="1648" spans="1:14">
      <c r="A1648" s="8" t="s">
        <v>1660</v>
      </c>
      <c r="B1648" s="2">
        <f>HYPERLINK("https://www.suredividend.com/sure-analysis-research-database/","Leidos Holdings Inc")</f>
        <v>0</v>
      </c>
      <c r="C1648" s="1" t="s">
        <v>3181</v>
      </c>
      <c r="D1648" s="3">
        <v>144.85</v>
      </c>
      <c r="E1648" s="4">
        <v>0.01016848613193</v>
      </c>
      <c r="F1648" s="4">
        <v>0.05555555555555558</v>
      </c>
      <c r="G1648" s="4">
        <v>0.03496752704080697</v>
      </c>
      <c r="H1648" s="3">
        <v>1.4729052162102</v>
      </c>
      <c r="I1648" s="5">
        <v>19585.390845</v>
      </c>
      <c r="J1648" s="6">
        <v>61.01367864408099</v>
      </c>
      <c r="K1648" s="4">
        <v>0.6321481614636052</v>
      </c>
      <c r="L1648" s="7">
        <v>0.368428863349924</v>
      </c>
      <c r="M1648" s="3">
        <v>151.32</v>
      </c>
      <c r="N1648" s="3">
        <v>81.69</v>
      </c>
    </row>
    <row r="1649" spans="1:14">
      <c r="A1649" s="8" t="s">
        <v>1661</v>
      </c>
      <c r="B1649" s="2">
        <f>HYPERLINK("https://www.suredividend.com/sure-analysis-research-database/","Lands` End, Inc.")</f>
        <v>0</v>
      </c>
      <c r="C1649" s="1" t="s">
        <v>3182</v>
      </c>
      <c r="D1649" s="3">
        <v>13.82</v>
      </c>
      <c r="E1649" s="4">
        <v>0</v>
      </c>
      <c r="F1649" s="4" t="s">
        <v>3178</v>
      </c>
      <c r="G1649" s="4" t="s">
        <v>3178</v>
      </c>
      <c r="H1649" s="3">
        <v>0</v>
      </c>
      <c r="I1649" s="5">
        <v>434.035729</v>
      </c>
      <c r="J1649" s="6" t="s">
        <v>3178</v>
      </c>
      <c r="K1649" s="4">
        <v>-0</v>
      </c>
      <c r="L1649" s="7">
        <v>1.141474212631263</v>
      </c>
      <c r="M1649" s="3">
        <v>15</v>
      </c>
      <c r="N1649" s="3">
        <v>5.98</v>
      </c>
    </row>
    <row r="1650" spans="1:14">
      <c r="A1650" s="8" t="s">
        <v>1662</v>
      </c>
      <c r="B1650" s="2">
        <f>HYPERLINK("https://www.suredividend.com/sure-analysis-research-database/","Lear Corp.")</f>
        <v>0</v>
      </c>
      <c r="C1650" s="1" t="s">
        <v>3182</v>
      </c>
      <c r="D1650" s="3">
        <v>123.34</v>
      </c>
      <c r="E1650" s="4">
        <v>0.024752261433311</v>
      </c>
      <c r="F1650" s="4" t="s">
        <v>3178</v>
      </c>
      <c r="G1650" s="4" t="s">
        <v>3178</v>
      </c>
      <c r="H1650" s="3">
        <v>3.052943925184669</v>
      </c>
      <c r="I1650" s="5">
        <v>7004.206512</v>
      </c>
      <c r="J1650" s="6">
        <v>13.00688303056639</v>
      </c>
      <c r="K1650" s="4">
        <v>0.3322028210211827</v>
      </c>
      <c r="L1650" s="7">
        <v>0.989393676873446</v>
      </c>
      <c r="M1650" s="3">
        <v>154.37</v>
      </c>
      <c r="N1650" s="3">
        <v>119.65</v>
      </c>
    </row>
    <row r="1651" spans="1:14">
      <c r="A1651" s="8" t="s">
        <v>1663</v>
      </c>
      <c r="B1651" s="2">
        <f>HYPERLINK("https://www.suredividend.com/sure-analysis-research-database/","Leaf Group Ltd")</f>
        <v>0</v>
      </c>
      <c r="C1651" s="1" t="s">
        <v>3187</v>
      </c>
      <c r="D1651" s="3">
        <v>8.49</v>
      </c>
      <c r="E1651" s="4">
        <v>0</v>
      </c>
      <c r="F1651" s="4" t="s">
        <v>3178</v>
      </c>
      <c r="G1651" s="4" t="s">
        <v>3178</v>
      </c>
      <c r="H1651" s="3">
        <v>0</v>
      </c>
      <c r="I1651" s="5">
        <v>305.912487</v>
      </c>
      <c r="J1651" s="6" t="s">
        <v>3178</v>
      </c>
      <c r="K1651" s="4">
        <v>-0</v>
      </c>
      <c r="L1651" s="7">
        <v>0.4975602515426951</v>
      </c>
      <c r="M1651" s="3">
        <v>9.5</v>
      </c>
      <c r="N1651" s="3">
        <v>2.48</v>
      </c>
    </row>
    <row r="1652" spans="1:14">
      <c r="A1652" s="8" t="s">
        <v>1664</v>
      </c>
      <c r="B1652" s="2">
        <f>HYPERLINK("https://www.suredividend.com/sure-analysis-LECO/","Lincoln Electric Holdings, Inc.")</f>
        <v>0</v>
      </c>
      <c r="C1652" s="1" t="s">
        <v>3179</v>
      </c>
      <c r="D1652" s="3">
        <v>187.39</v>
      </c>
      <c r="E1652" s="4">
        <v>0.01515555792731736</v>
      </c>
      <c r="F1652" s="4" t="s">
        <v>3178</v>
      </c>
      <c r="G1652" s="4" t="s">
        <v>3178</v>
      </c>
      <c r="H1652" s="3">
        <v>2.676211017256082</v>
      </c>
      <c r="I1652" s="5">
        <v>10664.052521</v>
      </c>
      <c r="J1652" s="6">
        <v>19.50508205276077</v>
      </c>
      <c r="K1652" s="4">
        <v>0.2840988341036181</v>
      </c>
      <c r="L1652" s="7">
        <v>1.096642182214449</v>
      </c>
      <c r="M1652" s="3">
        <v>259.67</v>
      </c>
      <c r="N1652" s="3">
        <v>162.04</v>
      </c>
    </row>
    <row r="1653" spans="1:14">
      <c r="A1653" s="8" t="s">
        <v>1665</v>
      </c>
      <c r="B1653" s="2">
        <f>HYPERLINK("https://www.suredividend.com/sure-analysis-research-database/","Lee Enterprises, Inc.")</f>
        <v>0</v>
      </c>
      <c r="C1653" s="1" t="s">
        <v>3187</v>
      </c>
      <c r="D1653" s="3">
        <v>12.33</v>
      </c>
      <c r="E1653" s="4">
        <v>0</v>
      </c>
      <c r="F1653" s="4" t="s">
        <v>3178</v>
      </c>
      <c r="G1653" s="4" t="s">
        <v>3178</v>
      </c>
      <c r="H1653" s="3">
        <v>0</v>
      </c>
      <c r="I1653" s="5">
        <v>75.744657</v>
      </c>
      <c r="J1653" s="6" t="s">
        <v>3178</v>
      </c>
      <c r="K1653" s="4">
        <v>-0</v>
      </c>
      <c r="L1653" s="7">
        <v>0.289879152473163</v>
      </c>
      <c r="M1653" s="3">
        <v>15.89</v>
      </c>
      <c r="N1653" s="3">
        <v>7.56</v>
      </c>
    </row>
    <row r="1654" spans="1:14">
      <c r="A1654" s="8" t="s">
        <v>1666</v>
      </c>
      <c r="B1654" s="2">
        <f>HYPERLINK("https://www.suredividend.com/sure-analysis-LEG/","Leggett &amp; Platt, Inc.")</f>
        <v>0</v>
      </c>
      <c r="C1654" s="1" t="s">
        <v>3182</v>
      </c>
      <c r="D1654" s="3">
        <v>12.24</v>
      </c>
      <c r="E1654" s="4">
        <v>0.01633986928104575</v>
      </c>
      <c r="F1654" s="4">
        <v>0.04545454545454541</v>
      </c>
      <c r="G1654" s="4">
        <v>0.02834672210021361</v>
      </c>
      <c r="H1654" s="3">
        <v>1.784045163002122</v>
      </c>
      <c r="I1654" s="5">
        <v>1640.60124</v>
      </c>
      <c r="J1654" s="6" t="s">
        <v>3178</v>
      </c>
      <c r="K1654" s="4" t="s">
        <v>3178</v>
      </c>
      <c r="L1654" s="7">
        <v>0.7915717678991401</v>
      </c>
      <c r="M1654" s="3">
        <v>29.74</v>
      </c>
      <c r="N1654" s="3">
        <v>10.11</v>
      </c>
    </row>
    <row r="1655" spans="1:14">
      <c r="A1655" s="8" t="s">
        <v>1667</v>
      </c>
      <c r="B1655" s="2">
        <f>HYPERLINK("https://www.suredividend.com/sure-analysis-research-database/","Legacy Housing Corp")</f>
        <v>0</v>
      </c>
      <c r="C1655" s="1" t="s">
        <v>3182</v>
      </c>
      <c r="D1655" s="3">
        <v>22.72</v>
      </c>
      <c r="E1655" s="4">
        <v>0</v>
      </c>
      <c r="F1655" s="4" t="s">
        <v>3178</v>
      </c>
      <c r="G1655" s="4" t="s">
        <v>3178</v>
      </c>
      <c r="H1655" s="3">
        <v>0</v>
      </c>
      <c r="I1655" s="5">
        <v>552.470607</v>
      </c>
      <c r="J1655" s="6">
        <v>10.36063699947491</v>
      </c>
      <c r="K1655" s="4">
        <v>0</v>
      </c>
      <c r="L1655" s="7">
        <v>1.085562995500688</v>
      </c>
      <c r="M1655" s="3">
        <v>26.5</v>
      </c>
      <c r="N1655" s="3">
        <v>17.67</v>
      </c>
    </row>
    <row r="1656" spans="1:14">
      <c r="A1656" s="8" t="s">
        <v>1668</v>
      </c>
      <c r="B1656" s="2">
        <f>HYPERLINK("https://www.suredividend.com/sure-analysis-LEN/","Lennar Corp.")</f>
        <v>0</v>
      </c>
      <c r="C1656" s="1" t="s">
        <v>3182</v>
      </c>
      <c r="D1656" s="3">
        <v>154.02</v>
      </c>
      <c r="E1656" s="4">
        <v>0.01298532658096351</v>
      </c>
      <c r="F1656" s="4">
        <v>0.3333333333333333</v>
      </c>
      <c r="G1656" s="4">
        <v>0.6572270086699934</v>
      </c>
      <c r="H1656" s="3">
        <v>1.742233639740782</v>
      </c>
      <c r="I1656" s="5">
        <v>42397.310121</v>
      </c>
      <c r="J1656" s="6">
        <v>10.5663236183456</v>
      </c>
      <c r="K1656" s="4">
        <v>0.1220051568445926</v>
      </c>
      <c r="L1656" s="7">
        <v>1.532981642332591</v>
      </c>
      <c r="M1656" s="3">
        <v>172.02</v>
      </c>
      <c r="N1656" s="3">
        <v>102.23</v>
      </c>
    </row>
    <row r="1657" spans="1:14">
      <c r="A1657" s="8" t="s">
        <v>1669</v>
      </c>
      <c r="B1657" s="2">
        <f>HYPERLINK("https://www.suredividend.com/sure-analysis-research-database/","Centrus Energy Corp")</f>
        <v>0</v>
      </c>
      <c r="C1657" s="1" t="s">
        <v>3185</v>
      </c>
      <c r="D1657" s="3">
        <v>43.56</v>
      </c>
      <c r="E1657" s="4">
        <v>0</v>
      </c>
      <c r="F1657" s="4" t="s">
        <v>3178</v>
      </c>
      <c r="G1657" s="4" t="s">
        <v>3178</v>
      </c>
      <c r="H1657" s="3">
        <v>0</v>
      </c>
      <c r="I1657" s="5">
        <v>665.500097</v>
      </c>
      <c r="J1657" s="6">
        <v>9.360057620253166</v>
      </c>
      <c r="K1657" s="4">
        <v>0</v>
      </c>
      <c r="L1657" s="7">
        <v>1.203666977129893</v>
      </c>
      <c r="M1657" s="3">
        <v>61.35</v>
      </c>
      <c r="N1657" s="3">
        <v>28.43</v>
      </c>
    </row>
    <row r="1658" spans="1:14">
      <c r="A1658" s="8" t="s">
        <v>1670</v>
      </c>
      <c r="B1658" s="2">
        <f>HYPERLINK("https://www.suredividend.com/sure-analysis-research-database/","Levi Strauss &amp; Co.")</f>
        <v>0</v>
      </c>
      <c r="C1658" s="1" t="s">
        <v>3182</v>
      </c>
      <c r="D1658" s="3">
        <v>23.53</v>
      </c>
      <c r="E1658" s="4">
        <v>0.02020028919323</v>
      </c>
      <c r="F1658" s="4" t="s">
        <v>3178</v>
      </c>
      <c r="G1658" s="4" t="s">
        <v>3178</v>
      </c>
      <c r="H1658" s="3">
        <v>0.4753128047167041</v>
      </c>
      <c r="I1658" s="5">
        <v>2431.798229</v>
      </c>
      <c r="J1658" s="6">
        <v>19.56394391576831</v>
      </c>
      <c r="K1658" s="4">
        <v>1.53475235620505</v>
      </c>
      <c r="L1658" s="7">
        <v>1.016433324239613</v>
      </c>
      <c r="M1658" s="3">
        <v>24.34</v>
      </c>
      <c r="N1658" s="3">
        <v>12.15</v>
      </c>
    </row>
    <row r="1659" spans="1:14">
      <c r="A1659" s="8" t="s">
        <v>1671</v>
      </c>
      <c r="B1659" s="2">
        <f>HYPERLINK("https://www.suredividend.com/sure-analysis-LFUS/","Littelfuse, Inc.")</f>
        <v>0</v>
      </c>
      <c r="C1659" s="1" t="s">
        <v>3181</v>
      </c>
      <c r="D1659" s="3">
        <v>248.58</v>
      </c>
      <c r="E1659" s="4">
        <v>0.0104594094456513</v>
      </c>
      <c r="F1659" s="4">
        <v>0.08333333333333326</v>
      </c>
      <c r="G1659" s="4">
        <v>0.06251341943967748</v>
      </c>
      <c r="H1659" s="3">
        <v>2.58475531286018</v>
      </c>
      <c r="I1659" s="5">
        <v>6160.918332</v>
      </c>
      <c r="J1659" s="6">
        <v>28.10740507144422</v>
      </c>
      <c r="K1659" s="4">
        <v>0.296077355424992</v>
      </c>
      <c r="L1659" s="7">
        <v>1.349320248718247</v>
      </c>
      <c r="M1659" s="3">
        <v>304.33</v>
      </c>
      <c r="N1659" s="3">
        <v>209.99</v>
      </c>
    </row>
    <row r="1660" spans="1:14">
      <c r="A1660" s="8" t="s">
        <v>1672</v>
      </c>
      <c r="B1660" s="2">
        <f>HYPERLINK("https://www.suredividend.com/sure-analysis-research-database/","Lifevantage Corporation")</f>
        <v>0</v>
      </c>
      <c r="C1660" s="1" t="s">
        <v>3184</v>
      </c>
      <c r="D1660" s="3">
        <v>7.69</v>
      </c>
      <c r="E1660" s="4">
        <v>0.018574818878774</v>
      </c>
      <c r="F1660" s="4" t="s">
        <v>3178</v>
      </c>
      <c r="G1660" s="4" t="s">
        <v>3178</v>
      </c>
      <c r="H1660" s="3">
        <v>0.142840357177774</v>
      </c>
      <c r="I1660" s="5">
        <v>97.667276</v>
      </c>
      <c r="J1660" s="6">
        <v>27.14487927737632</v>
      </c>
      <c r="K1660" s="4">
        <v>0.507786552356111</v>
      </c>
      <c r="L1660" s="7">
        <v>0.7927794494971501</v>
      </c>
      <c r="M1660" s="3">
        <v>8.42</v>
      </c>
      <c r="N1660" s="3">
        <v>3.63</v>
      </c>
    </row>
    <row r="1661" spans="1:14">
      <c r="A1661" s="8" t="s">
        <v>1673</v>
      </c>
      <c r="B1661" s="2">
        <f>HYPERLINK("https://www.suredividend.com/sure-analysis-research-database/","LGI Homes Inc")</f>
        <v>0</v>
      </c>
      <c r="C1661" s="1" t="s">
        <v>3182</v>
      </c>
      <c r="D1661" s="3">
        <v>93.01000000000001</v>
      </c>
      <c r="E1661" s="4">
        <v>0</v>
      </c>
      <c r="F1661" s="4" t="s">
        <v>3178</v>
      </c>
      <c r="G1661" s="4" t="s">
        <v>3178</v>
      </c>
      <c r="H1661" s="3">
        <v>0</v>
      </c>
      <c r="I1661" s="5">
        <v>2192.007687</v>
      </c>
      <c r="J1661" s="6">
        <v>11.57844308206299</v>
      </c>
      <c r="K1661" s="4">
        <v>0</v>
      </c>
      <c r="L1661" s="7">
        <v>2.148942541607323</v>
      </c>
      <c r="M1661" s="3">
        <v>141.91</v>
      </c>
      <c r="N1661" s="3">
        <v>84.16</v>
      </c>
    </row>
    <row r="1662" spans="1:14">
      <c r="A1662" s="8" t="s">
        <v>1674</v>
      </c>
      <c r="B1662" s="2">
        <f>HYPERLINK("https://www.suredividend.com/sure-analysis-research-database/","LGL Group Inc")</f>
        <v>0</v>
      </c>
      <c r="C1662" s="1" t="s">
        <v>3181</v>
      </c>
      <c r="D1662" s="3">
        <v>5.08</v>
      </c>
      <c r="E1662" s="4">
        <v>0</v>
      </c>
      <c r="F1662" s="4" t="s">
        <v>3178</v>
      </c>
      <c r="G1662" s="4" t="s">
        <v>3178</v>
      </c>
      <c r="H1662" s="3">
        <v>0</v>
      </c>
      <c r="I1662" s="5">
        <v>27.19292</v>
      </c>
      <c r="J1662" s="6">
        <v>0</v>
      </c>
      <c r="K1662" s="4" t="s">
        <v>3178</v>
      </c>
      <c r="M1662" s="3">
        <v>6.76</v>
      </c>
      <c r="N1662" s="3">
        <v>4.2</v>
      </c>
    </row>
    <row r="1663" spans="1:14">
      <c r="A1663" s="8" t="s">
        <v>1675</v>
      </c>
      <c r="B1663" s="2">
        <f>HYPERLINK("https://www.suredividend.com/sure-analysis-research-database/","Ligand Pharmaceuticals, Inc.")</f>
        <v>0</v>
      </c>
      <c r="C1663" s="1" t="s">
        <v>3176</v>
      </c>
      <c r="D1663" s="3">
        <v>81.36</v>
      </c>
      <c r="E1663" s="4">
        <v>0</v>
      </c>
      <c r="F1663" s="4" t="s">
        <v>3178</v>
      </c>
      <c r="G1663" s="4" t="s">
        <v>3178</v>
      </c>
      <c r="H1663" s="3">
        <v>0</v>
      </c>
      <c r="I1663" s="5">
        <v>1464.48</v>
      </c>
      <c r="J1663" s="6">
        <v>15.20053142904592</v>
      </c>
      <c r="K1663" s="4">
        <v>0</v>
      </c>
      <c r="L1663" s="7">
        <v>1.012673388149658</v>
      </c>
      <c r="M1663" s="3">
        <v>94.56999999999999</v>
      </c>
      <c r="N1663" s="3">
        <v>49.24</v>
      </c>
    </row>
    <row r="1664" spans="1:14">
      <c r="A1664" s="8" t="s">
        <v>1676</v>
      </c>
      <c r="B1664" s="2">
        <f>HYPERLINK("https://www.suredividend.com/sure-analysis-research-database/","Labcorp Holdings Inc.")</f>
        <v>0</v>
      </c>
      <c r="C1664" s="1" t="s">
        <v>3176</v>
      </c>
      <c r="D1664" s="3">
        <v>196.6</v>
      </c>
      <c r="E1664" s="4">
        <v>0.0036622585382</v>
      </c>
      <c r="F1664" s="4" t="s">
        <v>3178</v>
      </c>
      <c r="G1664" s="4" t="s">
        <v>3178</v>
      </c>
      <c r="H1664" s="3">
        <v>0.720000028610229</v>
      </c>
      <c r="I1664" s="5">
        <v>0</v>
      </c>
      <c r="J1664" s="6">
        <v>0</v>
      </c>
      <c r="K1664" s="4" t="s">
        <v>3178</v>
      </c>
      <c r="L1664" s="7">
        <v>0.869385893553245</v>
      </c>
      <c r="M1664" s="3">
        <v>213.52</v>
      </c>
      <c r="N1664" s="3">
        <v>191.97</v>
      </c>
    </row>
    <row r="1665" spans="1:14">
      <c r="A1665" s="8" t="s">
        <v>1677</v>
      </c>
      <c r="B1665" s="2">
        <f>HYPERLINK("https://www.suredividend.com/sure-analysis-research-database/","LHC Group Inc")</f>
        <v>0</v>
      </c>
      <c r="C1665" s="1" t="s">
        <v>3176</v>
      </c>
      <c r="D1665" s="3">
        <v>169.81</v>
      </c>
      <c r="E1665" s="4">
        <v>0</v>
      </c>
      <c r="F1665" s="4" t="s">
        <v>3178</v>
      </c>
      <c r="G1665" s="4" t="s">
        <v>3178</v>
      </c>
      <c r="H1665" s="3">
        <v>0</v>
      </c>
      <c r="I1665" s="5">
        <v>0</v>
      </c>
      <c r="J1665" s="6">
        <v>0</v>
      </c>
      <c r="K1665" s="4">
        <v>0</v>
      </c>
    </row>
    <row r="1666" spans="1:14">
      <c r="A1666" s="8" t="s">
        <v>1678</v>
      </c>
      <c r="B1666" s="2">
        <f>HYPERLINK("https://www.suredividend.com/sure-analysis-LHX/","L3Harris Technologies Inc")</f>
        <v>0</v>
      </c>
      <c r="C1666" s="1" t="s">
        <v>3179</v>
      </c>
      <c r="D1666" s="3">
        <v>221.9</v>
      </c>
      <c r="E1666" s="4">
        <v>0.02091031996394772</v>
      </c>
      <c r="F1666" s="4">
        <v>0.01754385964912264</v>
      </c>
      <c r="G1666" s="4">
        <v>0.09113715677213374</v>
      </c>
      <c r="H1666" s="3">
        <v>4.563328612402656</v>
      </c>
      <c r="I1666" s="5">
        <v>42090.070553</v>
      </c>
      <c r="J1666" s="6">
        <v>35.88241308832055</v>
      </c>
      <c r="K1666" s="4">
        <v>0.7408000994160155</v>
      </c>
      <c r="L1666" s="7">
        <v>0.4951933193226921</v>
      </c>
      <c r="M1666" s="3">
        <v>226.99</v>
      </c>
      <c r="N1666" s="3">
        <v>157.61</v>
      </c>
    </row>
    <row r="1667" spans="1:14">
      <c r="A1667" s="8" t="s">
        <v>1679</v>
      </c>
      <c r="B1667" s="2">
        <f>HYPERLINK("https://www.suredividend.com/sure-analysis-LII/","Lennox International Inc")</f>
        <v>0</v>
      </c>
      <c r="C1667" s="1" t="s">
        <v>3179</v>
      </c>
      <c r="D1667" s="3">
        <v>497.03</v>
      </c>
      <c r="E1667" s="4">
        <v>0.00925497454881999</v>
      </c>
      <c r="F1667" s="4">
        <v>0.03773584905660377</v>
      </c>
      <c r="G1667" s="4">
        <v>0.07394092378577932</v>
      </c>
      <c r="H1667" s="3">
        <v>4.383882848078011</v>
      </c>
      <c r="I1667" s="5">
        <v>17706.422372</v>
      </c>
      <c r="J1667" s="6">
        <v>28.7255392141791</v>
      </c>
      <c r="K1667" s="4">
        <v>0.2542855480323672</v>
      </c>
      <c r="L1667" s="7">
        <v>1.194958453546253</v>
      </c>
      <c r="M1667" s="3">
        <v>513.78</v>
      </c>
      <c r="N1667" s="3">
        <v>297.93</v>
      </c>
    </row>
    <row r="1668" spans="1:14">
      <c r="A1668" s="8" t="s">
        <v>1680</v>
      </c>
      <c r="B1668" s="2">
        <f>HYPERLINK("https://www.suredividend.com/sure-analysis-research-database/","Liberty Latin America Ltd")</f>
        <v>0</v>
      </c>
      <c r="C1668" s="1" t="s">
        <v>3187</v>
      </c>
      <c r="D1668" s="3">
        <v>8.85</v>
      </c>
      <c r="E1668" s="4">
        <v>0</v>
      </c>
      <c r="F1668" s="4" t="s">
        <v>3178</v>
      </c>
      <c r="G1668" s="4" t="s">
        <v>3178</v>
      </c>
      <c r="H1668" s="3">
        <v>0</v>
      </c>
      <c r="I1668" s="5">
        <v>1729.551</v>
      </c>
      <c r="J1668" s="6">
        <v>0</v>
      </c>
      <c r="K1668" s="4" t="s">
        <v>3178</v>
      </c>
      <c r="L1668" s="7">
        <v>1.159321343195883</v>
      </c>
      <c r="M1668" s="3">
        <v>9.85</v>
      </c>
      <c r="N1668" s="3">
        <v>5.9</v>
      </c>
    </row>
    <row r="1669" spans="1:14">
      <c r="A1669" s="8" t="s">
        <v>1681</v>
      </c>
      <c r="B1669" s="2">
        <f>HYPERLINK("https://www.suredividend.com/sure-analysis-research-database/","Liberty Latin America Ltd")</f>
        <v>0</v>
      </c>
      <c r="C1669" s="1" t="s">
        <v>3187</v>
      </c>
      <c r="D1669" s="3">
        <v>8.880000000000001</v>
      </c>
      <c r="E1669" s="4">
        <v>0</v>
      </c>
      <c r="F1669" s="4" t="s">
        <v>3178</v>
      </c>
      <c r="G1669" s="4" t="s">
        <v>3178</v>
      </c>
      <c r="H1669" s="3">
        <v>0</v>
      </c>
      <c r="I1669" s="5">
        <v>1729.551</v>
      </c>
      <c r="J1669" s="6">
        <v>0</v>
      </c>
      <c r="K1669" s="4" t="s">
        <v>3178</v>
      </c>
      <c r="L1669" s="7">
        <v>1.192900526988846</v>
      </c>
      <c r="M1669" s="3">
        <v>9.74</v>
      </c>
      <c r="N1669" s="3">
        <v>5.95</v>
      </c>
    </row>
    <row r="1670" spans="1:14">
      <c r="A1670" s="8" t="s">
        <v>1682</v>
      </c>
      <c r="B1670" s="2">
        <f>HYPERLINK("https://www.suredividend.com/sure-analysis-LIN/","Linde Plc.")</f>
        <v>0</v>
      </c>
      <c r="C1670" s="1" t="s">
        <v>3177</v>
      </c>
      <c r="D1670" s="3">
        <v>433.7</v>
      </c>
      <c r="E1670" s="4">
        <v>0.01281992160479594</v>
      </c>
      <c r="F1670" s="4">
        <v>0.09019607843137267</v>
      </c>
      <c r="G1670" s="4">
        <v>0.09698666786739873</v>
      </c>
      <c r="H1670" s="3">
        <v>2.522981961690617</v>
      </c>
      <c r="I1670" s="5">
        <v>208469.30307</v>
      </c>
      <c r="J1670" s="6">
        <v>33.03792441675119</v>
      </c>
      <c r="K1670" s="4">
        <v>0.1958836926778429</v>
      </c>
      <c r="L1670" s="7">
        <v>0.5593842310316161</v>
      </c>
      <c r="M1670" s="3">
        <v>476.18</v>
      </c>
      <c r="N1670" s="3">
        <v>352.86</v>
      </c>
    </row>
    <row r="1671" spans="1:14">
      <c r="A1671" s="8" t="s">
        <v>1683</v>
      </c>
      <c r="B1671" s="2">
        <f>HYPERLINK("https://www.suredividend.com/sure-analysis-research-database/","Lincoln Educational Services Corp")</f>
        <v>0</v>
      </c>
      <c r="C1671" s="1" t="s">
        <v>3184</v>
      </c>
      <c r="D1671" s="3">
        <v>10.27</v>
      </c>
      <c r="E1671" s="4">
        <v>0</v>
      </c>
      <c r="F1671" s="4" t="s">
        <v>3178</v>
      </c>
      <c r="G1671" s="4" t="s">
        <v>3178</v>
      </c>
      <c r="H1671" s="3">
        <v>0</v>
      </c>
      <c r="I1671" s="5">
        <v>322.926912</v>
      </c>
      <c r="J1671" s="6">
        <v>12.47207291711726</v>
      </c>
      <c r="K1671" s="4">
        <v>0</v>
      </c>
      <c r="L1671" s="7">
        <v>1.09993666222241</v>
      </c>
      <c r="M1671" s="3">
        <v>13.05</v>
      </c>
      <c r="N1671" s="3">
        <v>6</v>
      </c>
    </row>
    <row r="1672" spans="1:14">
      <c r="A1672" s="8" t="s">
        <v>1684</v>
      </c>
      <c r="B1672" s="2">
        <f>HYPERLINK("https://www.suredividend.com/sure-analysis-research-database/","Lindblad Expeditions Holdings Inc")</f>
        <v>0</v>
      </c>
      <c r="C1672" s="1" t="s">
        <v>3182</v>
      </c>
      <c r="D1672" s="3">
        <v>7.51</v>
      </c>
      <c r="E1672" s="4">
        <v>0</v>
      </c>
      <c r="F1672" s="4" t="s">
        <v>3178</v>
      </c>
      <c r="G1672" s="4" t="s">
        <v>3178</v>
      </c>
      <c r="H1672" s="3">
        <v>0</v>
      </c>
      <c r="I1672" s="5">
        <v>402.033821</v>
      </c>
      <c r="J1672" s="6" t="s">
        <v>3178</v>
      </c>
      <c r="K1672" s="4">
        <v>-0</v>
      </c>
      <c r="L1672" s="7">
        <v>1.995741559272313</v>
      </c>
      <c r="M1672" s="3">
        <v>12.13</v>
      </c>
      <c r="N1672" s="3">
        <v>5.47</v>
      </c>
    </row>
    <row r="1673" spans="1:14">
      <c r="A1673" s="8" t="s">
        <v>1685</v>
      </c>
      <c r="B1673" s="2">
        <f>HYPERLINK("https://www.suredividend.com/sure-analysis-research-database/","LiqTech International Inc")</f>
        <v>0</v>
      </c>
      <c r="C1673" s="1" t="s">
        <v>3179</v>
      </c>
      <c r="D1673" s="3">
        <v>2.565</v>
      </c>
      <c r="E1673" s="4">
        <v>0</v>
      </c>
      <c r="F1673" s="4" t="s">
        <v>3178</v>
      </c>
      <c r="G1673" s="4" t="s">
        <v>3178</v>
      </c>
      <c r="H1673" s="3">
        <v>0</v>
      </c>
      <c r="I1673" s="5">
        <v>14.895827</v>
      </c>
      <c r="J1673" s="6">
        <v>0</v>
      </c>
      <c r="K1673" s="4" t="s">
        <v>3178</v>
      </c>
      <c r="M1673" s="3">
        <v>4.2</v>
      </c>
      <c r="N1673" s="3">
        <v>2.48</v>
      </c>
    </row>
    <row r="1674" spans="1:14">
      <c r="A1674" s="8" t="s">
        <v>1686</v>
      </c>
      <c r="B1674" s="2">
        <f>HYPERLINK("https://www.suredividend.com/sure-analysis-research-database/","Lumentum Holdings Inc")</f>
        <v>0</v>
      </c>
      <c r="C1674" s="1" t="s">
        <v>3181</v>
      </c>
      <c r="D1674" s="3">
        <v>45.79</v>
      </c>
      <c r="E1674" s="4">
        <v>0</v>
      </c>
      <c r="F1674" s="4" t="s">
        <v>3178</v>
      </c>
      <c r="G1674" s="4" t="s">
        <v>3178</v>
      </c>
      <c r="H1674" s="3">
        <v>0</v>
      </c>
      <c r="I1674" s="5">
        <v>3095.404</v>
      </c>
      <c r="J1674" s="6" t="s">
        <v>3178</v>
      </c>
      <c r="K1674" s="4">
        <v>-0</v>
      </c>
      <c r="L1674" s="7">
        <v>1.917847643449542</v>
      </c>
      <c r="M1674" s="3">
        <v>65.16</v>
      </c>
      <c r="N1674" s="3">
        <v>35.35</v>
      </c>
    </row>
    <row r="1675" spans="1:14">
      <c r="A1675" s="8" t="s">
        <v>1687</v>
      </c>
      <c r="B1675" s="2">
        <f>HYPERLINK("https://www.suredividend.com/sure-analysis-research-database/","Live Ventures Inc")</f>
        <v>0</v>
      </c>
      <c r="C1675" s="1" t="s">
        <v>3182</v>
      </c>
      <c r="D1675" s="3">
        <v>25.45</v>
      </c>
      <c r="E1675" s="4">
        <v>0</v>
      </c>
      <c r="F1675" s="4" t="s">
        <v>3178</v>
      </c>
      <c r="G1675" s="4" t="s">
        <v>3178</v>
      </c>
      <c r="H1675" s="3">
        <v>0</v>
      </c>
      <c r="I1675" s="5">
        <v>80.015513</v>
      </c>
      <c r="J1675" s="6">
        <v>0</v>
      </c>
      <c r="K1675" s="4" t="s">
        <v>3178</v>
      </c>
      <c r="M1675" s="3">
        <v>29.9</v>
      </c>
      <c r="N1675" s="3">
        <v>22.61</v>
      </c>
    </row>
    <row r="1676" spans="1:14">
      <c r="A1676" s="8" t="s">
        <v>1688</v>
      </c>
      <c r="B1676" s="2">
        <f>HYPERLINK("https://www.suredividend.com/sure-analysis-research-database/","LivaNova PLC")</f>
        <v>0</v>
      </c>
      <c r="C1676" s="1" t="s">
        <v>3176</v>
      </c>
      <c r="D1676" s="3">
        <v>53.38</v>
      </c>
      <c r="E1676" s="4">
        <v>0</v>
      </c>
      <c r="F1676" s="4" t="s">
        <v>3178</v>
      </c>
      <c r="G1676" s="4" t="s">
        <v>3178</v>
      </c>
      <c r="H1676" s="3">
        <v>0</v>
      </c>
      <c r="I1676" s="5">
        <v>2890.620148</v>
      </c>
      <c r="J1676" s="6" t="s">
        <v>3178</v>
      </c>
      <c r="K1676" s="4">
        <v>-0</v>
      </c>
      <c r="L1676" s="7">
        <v>1.074838008336399</v>
      </c>
      <c r="M1676" s="3">
        <v>64.47</v>
      </c>
      <c r="N1676" s="3">
        <v>42.75</v>
      </c>
    </row>
    <row r="1677" spans="1:14">
      <c r="A1677" s="8" t="s">
        <v>1689</v>
      </c>
      <c r="B1677" s="2">
        <f>HYPERLINK("https://www.suredividend.com/sure-analysis-research-database/","LiveXLive Media Inc")</f>
        <v>0</v>
      </c>
      <c r="C1677" s="1" t="s">
        <v>3187</v>
      </c>
      <c r="D1677" s="3">
        <v>3.01</v>
      </c>
      <c r="E1677" s="4">
        <v>0</v>
      </c>
      <c r="F1677" s="4" t="s">
        <v>3178</v>
      </c>
      <c r="G1677" s="4" t="s">
        <v>3178</v>
      </c>
      <c r="H1677" s="3">
        <v>0</v>
      </c>
      <c r="I1677" s="5">
        <v>240.518751</v>
      </c>
      <c r="J1677" s="6" t="s">
        <v>3178</v>
      </c>
      <c r="K1677" s="4">
        <v>-0</v>
      </c>
      <c r="L1677" s="7">
        <v>1.49641861883758</v>
      </c>
      <c r="M1677" s="3">
        <v>6.95</v>
      </c>
      <c r="N1677" s="3">
        <v>1.78</v>
      </c>
    </row>
    <row r="1678" spans="1:14">
      <c r="A1678" s="8" t="s">
        <v>1690</v>
      </c>
      <c r="B1678" s="2">
        <f>HYPERLINK("https://www.suredividend.com/sure-analysis-research-database/","La Jolla Pharmaceutical Co.")</f>
        <v>0</v>
      </c>
      <c r="C1678" s="1" t="s">
        <v>3176</v>
      </c>
      <c r="D1678" s="3">
        <v>6.22</v>
      </c>
      <c r="E1678" s="4">
        <v>0</v>
      </c>
      <c r="F1678" s="4" t="s">
        <v>3178</v>
      </c>
      <c r="G1678" s="4" t="s">
        <v>3178</v>
      </c>
      <c r="H1678" s="3">
        <v>0</v>
      </c>
      <c r="I1678" s="5">
        <v>0</v>
      </c>
      <c r="J1678" s="6">
        <v>0</v>
      </c>
      <c r="K1678" s="4" t="s">
        <v>3178</v>
      </c>
    </row>
    <row r="1679" spans="1:14">
      <c r="A1679" s="8" t="s">
        <v>1691</v>
      </c>
      <c r="B1679" s="2">
        <f>HYPERLINK("https://www.suredividend.com/sure-analysis-research-database/","Lakeland Financial Corp.")</f>
        <v>0</v>
      </c>
      <c r="C1679" s="1" t="s">
        <v>3180</v>
      </c>
      <c r="D1679" s="3">
        <v>61.22</v>
      </c>
      <c r="E1679" s="4">
        <v>0.03011319580532</v>
      </c>
      <c r="F1679" s="4">
        <v>0.04347826086956519</v>
      </c>
      <c r="G1679" s="4">
        <v>0.09856054330611763</v>
      </c>
      <c r="H1679" s="3">
        <v>1.843529847201711</v>
      </c>
      <c r="I1679" s="5">
        <v>1561.319679</v>
      </c>
      <c r="J1679" s="6">
        <v>16.80826438260308</v>
      </c>
      <c r="K1679" s="4">
        <v>0.5106730878675101</v>
      </c>
      <c r="L1679" s="7">
        <v>0.973410512002957</v>
      </c>
      <c r="M1679" s="3">
        <v>72.11</v>
      </c>
      <c r="N1679" s="3">
        <v>42.65</v>
      </c>
    </row>
    <row r="1680" spans="1:14">
      <c r="A1680" s="8" t="s">
        <v>1692</v>
      </c>
      <c r="B1680" s="2">
        <f>HYPERLINK("https://www.suredividend.com/sure-analysis-research-database/","LKQ Corp")</f>
        <v>0</v>
      </c>
      <c r="C1680" s="1" t="s">
        <v>3182</v>
      </c>
      <c r="D1680" s="3">
        <v>42.21</v>
      </c>
      <c r="E1680" s="4">
        <v>0.027319988684502</v>
      </c>
      <c r="F1680" s="4" t="s">
        <v>3178</v>
      </c>
      <c r="G1680" s="4" t="s">
        <v>3178</v>
      </c>
      <c r="H1680" s="3">
        <v>1.15317672237285</v>
      </c>
      <c r="I1680" s="5">
        <v>11260.608586</v>
      </c>
      <c r="J1680" s="6">
        <v>13.66578711928398</v>
      </c>
      <c r="K1680" s="4">
        <v>0.3756275968641205</v>
      </c>
      <c r="L1680" s="7">
        <v>0.819037699306812</v>
      </c>
      <c r="M1680" s="3">
        <v>56.86</v>
      </c>
      <c r="N1680" s="3">
        <v>39.94</v>
      </c>
    </row>
    <row r="1681" spans="1:14">
      <c r="A1681" s="8" t="s">
        <v>1693</v>
      </c>
      <c r="B1681" s="2">
        <f>HYPERLINK("https://www.suredividend.com/sure-analysis-research-database/","LL Flooring Holdings Inc")</f>
        <v>0</v>
      </c>
      <c r="C1681" s="1" t="s">
        <v>3182</v>
      </c>
      <c r="D1681" s="3">
        <v>1.62</v>
      </c>
      <c r="E1681" s="4">
        <v>0</v>
      </c>
      <c r="F1681" s="4" t="s">
        <v>3178</v>
      </c>
      <c r="G1681" s="4" t="s">
        <v>3178</v>
      </c>
      <c r="H1681" s="3">
        <v>0</v>
      </c>
      <c r="I1681" s="5">
        <v>49.531903</v>
      </c>
      <c r="J1681" s="6" t="s">
        <v>3178</v>
      </c>
      <c r="K1681" s="4">
        <v>-0</v>
      </c>
      <c r="L1681" s="7">
        <v>0.6880349033951351</v>
      </c>
      <c r="M1681" s="3">
        <v>4.97</v>
      </c>
      <c r="N1681" s="3">
        <v>1.46</v>
      </c>
    </row>
    <row r="1682" spans="1:14">
      <c r="A1682" s="8" t="s">
        <v>1694</v>
      </c>
      <c r="B1682" s="2">
        <f>HYPERLINK("https://www.suredividend.com/sure-analysis-LLY/","Lilly(Eli) &amp; Co")</f>
        <v>0</v>
      </c>
      <c r="C1682" s="1" t="s">
        <v>3176</v>
      </c>
      <c r="D1682" s="3">
        <v>849.99</v>
      </c>
      <c r="E1682" s="4">
        <v>0.006117719031988612</v>
      </c>
      <c r="F1682" s="4">
        <v>0.1504424778761064</v>
      </c>
      <c r="G1682" s="4">
        <v>0.150473785969176</v>
      </c>
      <c r="H1682" s="3">
        <v>4.847917656356328</v>
      </c>
      <c r="I1682" s="5">
        <v>807835.074046</v>
      </c>
      <c r="J1682" s="6">
        <v>131.6035243786883</v>
      </c>
      <c r="K1682" s="4">
        <v>0.713979036282228</v>
      </c>
      <c r="L1682" s="7">
        <v>0.570048563349382</v>
      </c>
      <c r="M1682" s="3">
        <v>856.8099999999999</v>
      </c>
      <c r="N1682" s="3">
        <v>431.12</v>
      </c>
    </row>
    <row r="1683" spans="1:14">
      <c r="A1683" s="8" t="s">
        <v>1695</v>
      </c>
      <c r="B1683" s="2">
        <f>HYPERLINK("https://www.suredividend.com/sure-analysis-LMAT/","Lemaitre Vascular Inc")</f>
        <v>0</v>
      </c>
      <c r="C1683" s="1" t="s">
        <v>3176</v>
      </c>
      <c r="D1683" s="3">
        <v>77.48</v>
      </c>
      <c r="E1683" s="4">
        <v>0.008260196179659266</v>
      </c>
      <c r="F1683" s="4">
        <v>0.1428571428571428</v>
      </c>
      <c r="G1683" s="4">
        <v>0.1348545713431601</v>
      </c>
      <c r="H1683" s="3">
        <v>0.5960823598299271</v>
      </c>
      <c r="I1683" s="5">
        <v>1739.124525</v>
      </c>
      <c r="J1683" s="6">
        <v>57.76862731506395</v>
      </c>
      <c r="K1683" s="4">
        <v>0.4448375819626321</v>
      </c>
      <c r="L1683" s="7">
        <v>0.959736087396417</v>
      </c>
      <c r="M1683" s="3">
        <v>81.68000000000001</v>
      </c>
      <c r="N1683" s="3">
        <v>43.64</v>
      </c>
    </row>
    <row r="1684" spans="1:14">
      <c r="A1684" s="8" t="s">
        <v>1696</v>
      </c>
      <c r="B1684" s="2">
        <f>HYPERLINK("https://www.suredividend.com/sure-analysis-research-database/","LM Funding America Inc")</f>
        <v>0</v>
      </c>
      <c r="C1684" s="1" t="s">
        <v>3180</v>
      </c>
      <c r="D1684" s="3">
        <v>4.78</v>
      </c>
      <c r="E1684" s="4">
        <v>0</v>
      </c>
      <c r="F1684" s="4" t="s">
        <v>3178</v>
      </c>
      <c r="G1684" s="4" t="s">
        <v>3178</v>
      </c>
      <c r="H1684" s="3">
        <v>0</v>
      </c>
      <c r="I1684" s="5">
        <v>11.916368</v>
      </c>
      <c r="J1684" s="6">
        <v>0</v>
      </c>
      <c r="K1684" s="4" t="s">
        <v>3178</v>
      </c>
      <c r="L1684" s="7">
        <v>0.8357116359344661</v>
      </c>
      <c r="M1684" s="3">
        <v>5.82</v>
      </c>
      <c r="N1684" s="3">
        <v>1.63</v>
      </c>
    </row>
    <row r="1685" spans="1:14">
      <c r="A1685" s="8" t="s">
        <v>1697</v>
      </c>
      <c r="B1685" s="2">
        <f>HYPERLINK("https://www.suredividend.com/sure-analysis-research-database/","Limoneira Co")</f>
        <v>0</v>
      </c>
      <c r="C1685" s="1" t="s">
        <v>3184</v>
      </c>
      <c r="D1685" s="3">
        <v>21.26</v>
      </c>
      <c r="E1685" s="4">
        <v>0.013984206959796</v>
      </c>
      <c r="F1685" s="4">
        <v>0</v>
      </c>
      <c r="G1685" s="4">
        <v>0</v>
      </c>
      <c r="H1685" s="3">
        <v>0.297304239965275</v>
      </c>
      <c r="I1685" s="5">
        <v>382.913329</v>
      </c>
      <c r="J1685" s="6" t="s">
        <v>3178</v>
      </c>
      <c r="K1685" s="4" t="s">
        <v>3178</v>
      </c>
      <c r="L1685" s="7">
        <v>0.724019332511966</v>
      </c>
      <c r="M1685" s="3">
        <v>22.72</v>
      </c>
      <c r="N1685" s="3">
        <v>13.73</v>
      </c>
    </row>
    <row r="1686" spans="1:14">
      <c r="A1686" s="8" t="s">
        <v>1698</v>
      </c>
      <c r="B1686" s="2">
        <f>HYPERLINK("https://www.suredividend.com/sure-analysis-research-database/","Luminex Corp")</f>
        <v>0</v>
      </c>
      <c r="C1686" s="1" t="s">
        <v>3176</v>
      </c>
      <c r="D1686" s="3">
        <v>36.99</v>
      </c>
      <c r="E1686" s="4">
        <v>0</v>
      </c>
      <c r="F1686" s="4" t="s">
        <v>3178</v>
      </c>
      <c r="G1686" s="4" t="s">
        <v>3178</v>
      </c>
      <c r="H1686" s="3">
        <v>0.390000008046627</v>
      </c>
      <c r="I1686" s="5">
        <v>0</v>
      </c>
      <c r="J1686" s="6">
        <v>0</v>
      </c>
      <c r="K1686" s="4">
        <v>0.7792207952979561</v>
      </c>
    </row>
    <row r="1687" spans="1:14">
      <c r="A1687" s="8" t="s">
        <v>1699</v>
      </c>
      <c r="B1687" s="2">
        <f>HYPERLINK("https://www.suredividend.com/sure-analysis-research-database/","Limestone Bancorp Inc")</f>
        <v>0</v>
      </c>
      <c r="C1687" s="1" t="s">
        <v>3180</v>
      </c>
      <c r="D1687" s="3">
        <v>23.42</v>
      </c>
      <c r="E1687" s="4">
        <v>0</v>
      </c>
      <c r="F1687" s="4" t="s">
        <v>3178</v>
      </c>
      <c r="G1687" s="4" t="s">
        <v>3178</v>
      </c>
      <c r="H1687" s="3">
        <v>0.200000002980232</v>
      </c>
      <c r="I1687" s="5">
        <v>0</v>
      </c>
      <c r="J1687" s="6">
        <v>0</v>
      </c>
      <c r="K1687" s="4">
        <v>0.08474576397467459</v>
      </c>
    </row>
    <row r="1688" spans="1:14">
      <c r="A1688" s="8" t="s">
        <v>1700</v>
      </c>
      <c r="B1688" s="2">
        <f>HYPERLINK("https://www.suredividend.com/sure-analysis-LMT/","Lockheed Martin Corp.")</f>
        <v>0</v>
      </c>
      <c r="C1688" s="1" t="s">
        <v>3179</v>
      </c>
      <c r="D1688" s="3">
        <v>470.13</v>
      </c>
      <c r="E1688" s="4">
        <v>0.02680109756875758</v>
      </c>
      <c r="F1688" s="4">
        <v>0.05000000000000004</v>
      </c>
      <c r="G1688" s="4">
        <v>0.07442863557808499</v>
      </c>
      <c r="H1688" s="3">
        <v>12.32228185678561</v>
      </c>
      <c r="I1688" s="5">
        <v>112802.119639</v>
      </c>
      <c r="J1688" s="6">
        <v>16.64730218989374</v>
      </c>
      <c r="K1688" s="4">
        <v>0.4503757988591231</v>
      </c>
      <c r="L1688" s="7">
        <v>0.161350210908406</v>
      </c>
      <c r="M1688" s="3">
        <v>475.29</v>
      </c>
      <c r="N1688" s="3">
        <v>385.54</v>
      </c>
    </row>
    <row r="1689" spans="1:14">
      <c r="A1689" s="8" t="s">
        <v>1701</v>
      </c>
      <c r="B1689" s="2">
        <f>HYPERLINK("https://www.suredividend.com/sure-analysis-LNC/","Lincoln National Corp.")</f>
        <v>0</v>
      </c>
      <c r="C1689" s="1" t="s">
        <v>3180</v>
      </c>
      <c r="D1689" s="3">
        <v>32.43</v>
      </c>
      <c r="E1689" s="4">
        <v>0.05550416281221092</v>
      </c>
      <c r="F1689" s="4">
        <v>0</v>
      </c>
      <c r="G1689" s="4">
        <v>0.02383625553960966</v>
      </c>
      <c r="H1689" s="3">
        <v>1.757903385407826</v>
      </c>
      <c r="I1689" s="5">
        <v>5513.969708</v>
      </c>
      <c r="J1689" s="6">
        <v>4.090481979035609</v>
      </c>
      <c r="K1689" s="4">
        <v>0.2230841859654602</v>
      </c>
      <c r="L1689" s="7">
        <v>1.483506185172927</v>
      </c>
      <c r="M1689" s="3">
        <v>33.33</v>
      </c>
      <c r="N1689" s="3">
        <v>20.22</v>
      </c>
    </row>
    <row r="1690" spans="1:14">
      <c r="A1690" s="8" t="s">
        <v>1702</v>
      </c>
      <c r="B1690" s="2">
        <f>HYPERLINK("https://www.suredividend.com/sure-analysis-research-database/","Cheniere Energy Inc.")</f>
        <v>0</v>
      </c>
      <c r="C1690" s="1" t="s">
        <v>3185</v>
      </c>
      <c r="D1690" s="3">
        <v>159.59</v>
      </c>
      <c r="E1690" s="4">
        <v>0.002725734710095</v>
      </c>
      <c r="F1690" s="4" t="s">
        <v>3178</v>
      </c>
      <c r="G1690" s="4" t="s">
        <v>3178</v>
      </c>
      <c r="H1690" s="3">
        <v>0.435000002384185</v>
      </c>
      <c r="I1690" s="5">
        <v>36532.146035</v>
      </c>
      <c r="J1690" s="6">
        <v>7.381722779266519</v>
      </c>
      <c r="K1690" s="4">
        <v>0.02108579749802157</v>
      </c>
      <c r="L1690" s="7">
        <v>0.327255373801458</v>
      </c>
      <c r="M1690" s="3">
        <v>181.97</v>
      </c>
      <c r="N1690" s="3">
        <v>141.18</v>
      </c>
    </row>
    <row r="1691" spans="1:14">
      <c r="A1691" s="8" t="s">
        <v>1703</v>
      </c>
      <c r="B1691" s="2">
        <f>HYPERLINK("https://www.suredividend.com/sure-analysis-LNN/","Lindsay Corporation")</f>
        <v>0</v>
      </c>
      <c r="C1691" s="1" t="s">
        <v>3179</v>
      </c>
      <c r="D1691" s="3">
        <v>113.82</v>
      </c>
      <c r="E1691" s="4">
        <v>0.01230012300123001</v>
      </c>
      <c r="F1691" s="4" t="s">
        <v>3178</v>
      </c>
      <c r="G1691" s="4" t="s">
        <v>3178</v>
      </c>
      <c r="H1691" s="3">
        <v>1.393981986147741</v>
      </c>
      <c r="I1691" s="5">
        <v>1256.376574</v>
      </c>
      <c r="J1691" s="6">
        <v>18.14209805233062</v>
      </c>
      <c r="K1691" s="4">
        <v>0.2226808284581056</v>
      </c>
      <c r="L1691" s="7">
        <v>0.783158244921319</v>
      </c>
      <c r="M1691" s="3">
        <v>136.15</v>
      </c>
      <c r="N1691" s="3">
        <v>105.56</v>
      </c>
    </row>
    <row r="1692" spans="1:14">
      <c r="A1692" s="8" t="s">
        <v>1704</v>
      </c>
      <c r="B1692" s="2">
        <f>HYPERLINK("https://www.suredividend.com/sure-analysis-LNT/","Alliant Energy Corp.")</f>
        <v>0</v>
      </c>
      <c r="C1692" s="1" t="s">
        <v>3186</v>
      </c>
      <c r="D1692" s="3">
        <v>50.13</v>
      </c>
      <c r="E1692" s="4">
        <v>0.03830041891083184</v>
      </c>
      <c r="F1692" s="4">
        <v>0.06077348066298338</v>
      </c>
      <c r="G1692" s="4">
        <v>0.06219090110539627</v>
      </c>
      <c r="H1692" s="3">
        <v>1.813081133790833</v>
      </c>
      <c r="I1692" s="5">
        <v>12852.280874</v>
      </c>
      <c r="J1692" s="6">
        <v>18.41300984836676</v>
      </c>
      <c r="K1692" s="4">
        <v>0.6617084429893551</v>
      </c>
      <c r="L1692" s="7">
        <v>0.5171077964567441</v>
      </c>
      <c r="M1692" s="3">
        <v>52.31</v>
      </c>
      <c r="N1692" s="3">
        <v>42.62</v>
      </c>
    </row>
    <row r="1693" spans="1:14">
      <c r="A1693" s="8" t="s">
        <v>1705</v>
      </c>
      <c r="B1693" s="2">
        <f>HYPERLINK("https://www.suredividend.com/sure-analysis-research-database/","Lantheus Holdings Inc")</f>
        <v>0</v>
      </c>
      <c r="C1693" s="1" t="s">
        <v>3176</v>
      </c>
      <c r="D1693" s="3">
        <v>79.90000000000001</v>
      </c>
      <c r="E1693" s="4">
        <v>0</v>
      </c>
      <c r="F1693" s="4" t="s">
        <v>3178</v>
      </c>
      <c r="G1693" s="4" t="s">
        <v>3178</v>
      </c>
      <c r="H1693" s="3">
        <v>0</v>
      </c>
      <c r="I1693" s="5">
        <v>5538.075781</v>
      </c>
      <c r="J1693" s="6">
        <v>12.02533533072477</v>
      </c>
      <c r="K1693" s="4">
        <v>0</v>
      </c>
      <c r="L1693" s="7">
        <v>0.9471924304884761</v>
      </c>
      <c r="M1693" s="3">
        <v>94.47</v>
      </c>
      <c r="N1693" s="3">
        <v>50.2</v>
      </c>
    </row>
    <row r="1694" spans="1:14">
      <c r="A1694" s="8" t="s">
        <v>1706</v>
      </c>
      <c r="B1694" s="2">
        <f>HYPERLINK("https://www.suredividend.com/sure-analysis-research-database/","Manhattan Bridge Capital Inc")</f>
        <v>0</v>
      </c>
      <c r="C1694" s="1" t="s">
        <v>3183</v>
      </c>
      <c r="D1694" s="3">
        <v>5.09</v>
      </c>
      <c r="E1694" s="4">
        <v>0.08315435953191501</v>
      </c>
      <c r="F1694" s="4">
        <v>0.02222222222222214</v>
      </c>
      <c r="G1694" s="4">
        <v>-0.008475799035301268</v>
      </c>
      <c r="H1694" s="3">
        <v>0.423255690017447</v>
      </c>
      <c r="I1694" s="5">
        <v>58.222734</v>
      </c>
      <c r="J1694" s="6">
        <v>10.22754132280765</v>
      </c>
      <c r="K1694" s="4">
        <v>0.8517924934945603</v>
      </c>
      <c r="L1694" s="7">
        <v>0.010331581802799</v>
      </c>
      <c r="M1694" s="3">
        <v>5.35</v>
      </c>
      <c r="N1694" s="3">
        <v>3.88</v>
      </c>
    </row>
    <row r="1695" spans="1:14">
      <c r="A1695" s="8" t="s">
        <v>1707</v>
      </c>
      <c r="B1695" s="2">
        <f>HYPERLINK("https://www.suredividend.com/sure-analysis-research-database/","Live Oak Bancshares Inc")</f>
        <v>0</v>
      </c>
      <c r="C1695" s="1" t="s">
        <v>3180</v>
      </c>
      <c r="D1695" s="3">
        <v>32.42</v>
      </c>
      <c r="E1695" s="4">
        <v>0.003696711294796</v>
      </c>
      <c r="F1695" s="4">
        <v>0</v>
      </c>
      <c r="G1695" s="4">
        <v>0</v>
      </c>
      <c r="H1695" s="3">
        <v>0.119847380177309</v>
      </c>
      <c r="I1695" s="5">
        <v>1457.904706</v>
      </c>
      <c r="J1695" s="6">
        <v>19.72860843324583</v>
      </c>
      <c r="K1695" s="4">
        <v>0.07307767083982256</v>
      </c>
      <c r="L1695" s="7">
        <v>1.58494207159055</v>
      </c>
      <c r="M1695" s="3">
        <v>47.14</v>
      </c>
      <c r="N1695" s="3">
        <v>23.9</v>
      </c>
    </row>
    <row r="1696" spans="1:14">
      <c r="A1696" s="8" t="s">
        <v>1708</v>
      </c>
      <c r="B1696" s="2">
        <f>HYPERLINK("https://www.suredividend.com/sure-analysis-research-database/","El Pollo Loco Holdings Inc")</f>
        <v>0</v>
      </c>
      <c r="C1696" s="1" t="s">
        <v>3182</v>
      </c>
      <c r="D1696" s="3">
        <v>10.36</v>
      </c>
      <c r="E1696" s="4">
        <v>0</v>
      </c>
      <c r="F1696" s="4" t="s">
        <v>3178</v>
      </c>
      <c r="G1696" s="4" t="s">
        <v>3178</v>
      </c>
      <c r="H1696" s="3">
        <v>0</v>
      </c>
      <c r="I1696" s="5">
        <v>322.19197</v>
      </c>
      <c r="J1696" s="6">
        <v>12.1362049856863</v>
      </c>
      <c r="K1696" s="4">
        <v>0</v>
      </c>
      <c r="L1696" s="7">
        <v>1.233029174694306</v>
      </c>
      <c r="M1696" s="3">
        <v>11.99</v>
      </c>
      <c r="N1696" s="3">
        <v>8.109999999999999</v>
      </c>
    </row>
    <row r="1697" spans="1:14">
      <c r="A1697" s="8" t="s">
        <v>1709</v>
      </c>
      <c r="B1697" s="2">
        <f>HYPERLINK("https://www.suredividend.com/sure-analysis-research-database/","Comstock Inc")</f>
        <v>0</v>
      </c>
      <c r="C1697" s="1" t="s">
        <v>3183</v>
      </c>
      <c r="D1697" s="3">
        <v>0.2109</v>
      </c>
      <c r="E1697" s="4">
        <v>0</v>
      </c>
      <c r="F1697" s="4" t="s">
        <v>3178</v>
      </c>
      <c r="G1697" s="4" t="s">
        <v>3178</v>
      </c>
      <c r="H1697" s="3">
        <v>0</v>
      </c>
      <c r="I1697" s="5">
        <v>29.155885</v>
      </c>
      <c r="J1697" s="6">
        <v>0</v>
      </c>
      <c r="K1697" s="4" t="s">
        <v>3178</v>
      </c>
      <c r="L1697" s="7">
        <v>1.848194165698002</v>
      </c>
      <c r="M1697" s="3">
        <v>0.989</v>
      </c>
      <c r="N1697" s="3">
        <v>0.2004</v>
      </c>
    </row>
    <row r="1698" spans="1:14">
      <c r="A1698" s="8" t="s">
        <v>1710</v>
      </c>
      <c r="B1698" s="2">
        <f>HYPERLINK("https://www.suredividend.com/sure-analysis-research-database/","Lonestar Resources US Inc")</f>
        <v>0</v>
      </c>
      <c r="C1698" s="1" t="s">
        <v>3185</v>
      </c>
      <c r="D1698" s="3">
        <v>16</v>
      </c>
      <c r="E1698" s="4">
        <v>0</v>
      </c>
      <c r="F1698" s="4" t="s">
        <v>3178</v>
      </c>
      <c r="G1698" s="4" t="s">
        <v>3178</v>
      </c>
      <c r="H1698" s="3">
        <v>0</v>
      </c>
      <c r="I1698" s="5">
        <v>161.713296</v>
      </c>
      <c r="J1698" s="6">
        <v>0</v>
      </c>
      <c r="K1698" s="4" t="s">
        <v>3178</v>
      </c>
      <c r="M1698" s="3">
        <v>20.99</v>
      </c>
      <c r="N1698" s="3">
        <v>4.01</v>
      </c>
    </row>
    <row r="1699" spans="1:14">
      <c r="A1699" s="8" t="s">
        <v>1711</v>
      </c>
      <c r="B1699" s="2">
        <f>HYPERLINK("https://www.suredividend.com/sure-analysis-research-database/","Loop Industries Inc")</f>
        <v>0</v>
      </c>
      <c r="C1699" s="1" t="s">
        <v>3177</v>
      </c>
      <c r="D1699" s="3">
        <v>2.51</v>
      </c>
      <c r="E1699" s="4">
        <v>0</v>
      </c>
      <c r="F1699" s="4" t="s">
        <v>3178</v>
      </c>
      <c r="G1699" s="4" t="s">
        <v>3178</v>
      </c>
      <c r="H1699" s="3">
        <v>0</v>
      </c>
      <c r="I1699" s="5">
        <v>119.32225</v>
      </c>
      <c r="J1699" s="6">
        <v>0</v>
      </c>
      <c r="K1699" s="4" t="s">
        <v>3178</v>
      </c>
      <c r="L1699" s="7">
        <v>0.65176966817349</v>
      </c>
      <c r="M1699" s="3">
        <v>4.7</v>
      </c>
      <c r="N1699" s="3">
        <v>2.38</v>
      </c>
    </row>
    <row r="1700" spans="1:14">
      <c r="A1700" s="8" t="s">
        <v>1712</v>
      </c>
      <c r="B1700" s="2">
        <f>HYPERLINK("https://www.suredividend.com/sure-analysis-research-database/","Grand Canyon Education Inc")</f>
        <v>0</v>
      </c>
      <c r="C1700" s="1" t="s">
        <v>3184</v>
      </c>
      <c r="D1700" s="3">
        <v>142.92</v>
      </c>
      <c r="E1700" s="4">
        <v>0</v>
      </c>
      <c r="F1700" s="4" t="s">
        <v>3178</v>
      </c>
      <c r="G1700" s="4" t="s">
        <v>3178</v>
      </c>
      <c r="H1700" s="3">
        <v>0</v>
      </c>
      <c r="I1700" s="5">
        <v>4250.209555</v>
      </c>
      <c r="J1700" s="6">
        <v>19.91374053178779</v>
      </c>
      <c r="K1700" s="4">
        <v>0</v>
      </c>
      <c r="L1700" s="7">
        <v>0.569414018913406</v>
      </c>
      <c r="M1700" s="3">
        <v>156.56</v>
      </c>
      <c r="N1700" s="3">
        <v>99.65000000000001</v>
      </c>
    </row>
    <row r="1701" spans="1:14">
      <c r="A1701" s="8" t="s">
        <v>1713</v>
      </c>
      <c r="B1701" s="2">
        <f>HYPERLINK("https://www.suredividend.com/sure-analysis-research-database/","Loral Space &amp; Communications Inc")</f>
        <v>0</v>
      </c>
      <c r="C1701" s="1" t="s">
        <v>3187</v>
      </c>
      <c r="D1701" s="3">
        <v>41.52</v>
      </c>
      <c r="E1701" s="4">
        <v>0</v>
      </c>
      <c r="F1701" s="4" t="s">
        <v>3178</v>
      </c>
      <c r="G1701" s="4" t="s">
        <v>3178</v>
      </c>
      <c r="H1701" s="3">
        <v>0</v>
      </c>
      <c r="I1701" s="5">
        <v>0</v>
      </c>
      <c r="J1701" s="6">
        <v>0</v>
      </c>
      <c r="K1701" s="4" t="s">
        <v>3178</v>
      </c>
    </row>
    <row r="1702" spans="1:14">
      <c r="A1702" s="8" t="s">
        <v>1714</v>
      </c>
      <c r="B1702" s="2">
        <f>HYPERLINK("https://www.suredividend.com/sure-analysis-research-database/","Lovesac Company")</f>
        <v>0</v>
      </c>
      <c r="C1702" s="1" t="s">
        <v>3182</v>
      </c>
      <c r="D1702" s="3">
        <v>26.36</v>
      </c>
      <c r="E1702" s="4">
        <v>0</v>
      </c>
      <c r="F1702" s="4" t="s">
        <v>3178</v>
      </c>
      <c r="G1702" s="4" t="s">
        <v>3178</v>
      </c>
      <c r="H1702" s="3">
        <v>0</v>
      </c>
      <c r="I1702" s="5">
        <v>408.308176</v>
      </c>
      <c r="J1702" s="6">
        <v>17.11194734839277</v>
      </c>
      <c r="K1702" s="4">
        <v>0</v>
      </c>
      <c r="L1702" s="7">
        <v>1.679884009158145</v>
      </c>
      <c r="M1702" s="3">
        <v>29.81</v>
      </c>
      <c r="N1702" s="3">
        <v>14.18</v>
      </c>
    </row>
    <row r="1703" spans="1:14">
      <c r="A1703" s="8" t="s">
        <v>1715</v>
      </c>
      <c r="B1703" s="2">
        <f>HYPERLINK("https://www.suredividend.com/sure-analysis-LOW/","Lowe`s Cos., Inc.")</f>
        <v>0</v>
      </c>
      <c r="C1703" s="1" t="s">
        <v>3182</v>
      </c>
      <c r="D1703" s="3">
        <v>216.67</v>
      </c>
      <c r="E1703" s="4">
        <v>0.02030737988646329</v>
      </c>
      <c r="F1703" s="4">
        <v>0.04761904761904767</v>
      </c>
      <c r="G1703" s="4">
        <v>0.1486983549970351</v>
      </c>
      <c r="H1703" s="3">
        <v>4.366986227086303</v>
      </c>
      <c r="I1703" s="5">
        <v>123466.209034</v>
      </c>
      <c r="J1703" s="6">
        <v>17.14332255404749</v>
      </c>
      <c r="K1703" s="4">
        <v>0.3501993766709144</v>
      </c>
      <c r="L1703" s="7">
        <v>1.078335292402837</v>
      </c>
      <c r="M1703" s="3">
        <v>261.24</v>
      </c>
      <c r="N1703" s="3">
        <v>180.08</v>
      </c>
    </row>
    <row r="1704" spans="1:14">
      <c r="A1704" s="8" t="s">
        <v>1716</v>
      </c>
      <c r="B1704" s="2">
        <f>HYPERLINK("https://www.suredividend.com/sure-analysis-research-database/","Lipocine Inc")</f>
        <v>0</v>
      </c>
      <c r="C1704" s="1" t="s">
        <v>3176</v>
      </c>
      <c r="D1704" s="3">
        <v>7.52</v>
      </c>
      <c r="E1704" s="4">
        <v>0</v>
      </c>
      <c r="F1704" s="4" t="s">
        <v>3178</v>
      </c>
      <c r="G1704" s="4" t="s">
        <v>3178</v>
      </c>
      <c r="H1704" s="3">
        <v>0</v>
      </c>
      <c r="I1704" s="5">
        <v>40.216509</v>
      </c>
      <c r="J1704" s="6">
        <v>0</v>
      </c>
      <c r="K1704" s="4" t="s">
        <v>3178</v>
      </c>
      <c r="L1704" s="7">
        <v>0.565520666721219</v>
      </c>
      <c r="M1704" s="3">
        <v>7.66</v>
      </c>
      <c r="N1704" s="3">
        <v>2.31</v>
      </c>
    </row>
    <row r="1705" spans="1:14">
      <c r="A1705" s="8" t="s">
        <v>1717</v>
      </c>
      <c r="B1705" s="2">
        <f>HYPERLINK("https://www.suredividend.com/sure-analysis-research-database/","Dorian LPG Ltd")</f>
        <v>0</v>
      </c>
      <c r="C1705" s="1" t="s">
        <v>3185</v>
      </c>
      <c r="D1705" s="3">
        <v>44.27</v>
      </c>
      <c r="E1705" s="4">
        <v>0</v>
      </c>
      <c r="F1705" s="4" t="s">
        <v>3178</v>
      </c>
      <c r="G1705" s="4" t="s">
        <v>3178</v>
      </c>
      <c r="H1705" s="3">
        <v>0</v>
      </c>
      <c r="I1705" s="5">
        <v>1798.222963</v>
      </c>
      <c r="J1705" s="6">
        <v>5.848889310396166</v>
      </c>
      <c r="K1705" s="4">
        <v>0</v>
      </c>
      <c r="L1705" s="7">
        <v>0.8640347521554721</v>
      </c>
      <c r="M1705" s="3">
        <v>51.66</v>
      </c>
      <c r="N1705" s="3">
        <v>20.71</v>
      </c>
    </row>
    <row r="1706" spans="1:14">
      <c r="A1706" s="8" t="s">
        <v>1718</v>
      </c>
      <c r="B1706" s="2">
        <f>HYPERLINK("https://www.suredividend.com/sure-analysis-research-database/","LPL Financial Holdings Inc")</f>
        <v>0</v>
      </c>
      <c r="C1706" s="1" t="s">
        <v>3180</v>
      </c>
      <c r="D1706" s="3">
        <v>280.06</v>
      </c>
      <c r="E1706" s="4">
        <v>0.004271309038739</v>
      </c>
      <c r="F1706" s="4">
        <v>0</v>
      </c>
      <c r="G1706" s="4">
        <v>0.03713728933664817</v>
      </c>
      <c r="H1706" s="3">
        <v>1.19622280938929</v>
      </c>
      <c r="I1706" s="5">
        <v>20922.983216</v>
      </c>
      <c r="J1706" s="6">
        <v>20.59085276082785</v>
      </c>
      <c r="K1706" s="4">
        <v>0.09034915478771072</v>
      </c>
      <c r="L1706" s="7">
        <v>0.4843097146375621</v>
      </c>
      <c r="M1706" s="3">
        <v>287.8</v>
      </c>
      <c r="N1706" s="3">
        <v>193.93</v>
      </c>
    </row>
    <row r="1707" spans="1:14">
      <c r="A1707" s="8" t="s">
        <v>1719</v>
      </c>
      <c r="B1707" s="2">
        <f>HYPERLINK("https://www.suredividend.com/sure-analysis-research-database/","Liveperson Inc")</f>
        <v>0</v>
      </c>
      <c r="C1707" s="1" t="s">
        <v>3181</v>
      </c>
      <c r="D1707" s="3">
        <v>0.6454000000000001</v>
      </c>
      <c r="E1707" s="4">
        <v>0</v>
      </c>
      <c r="F1707" s="4" t="s">
        <v>3178</v>
      </c>
      <c r="G1707" s="4" t="s">
        <v>3178</v>
      </c>
      <c r="H1707" s="3">
        <v>0</v>
      </c>
      <c r="I1707" s="5">
        <v>57.191538</v>
      </c>
      <c r="J1707" s="6" t="s">
        <v>3178</v>
      </c>
      <c r="K1707" s="4">
        <v>-0</v>
      </c>
      <c r="L1707" s="7">
        <v>2.307199596350952</v>
      </c>
      <c r="M1707" s="3">
        <v>6.41</v>
      </c>
      <c r="N1707" s="3">
        <v>0.4505</v>
      </c>
    </row>
    <row r="1708" spans="1:14">
      <c r="A1708" s="8" t="s">
        <v>1720</v>
      </c>
      <c r="B1708" s="2">
        <f>HYPERLINK("https://www.suredividend.com/sure-analysis-research-database/","Lightpath Technologies, Inc.")</f>
        <v>0</v>
      </c>
      <c r="C1708" s="1" t="s">
        <v>3181</v>
      </c>
      <c r="D1708" s="3">
        <v>1.24</v>
      </c>
      <c r="E1708" s="4">
        <v>0</v>
      </c>
      <c r="F1708" s="4" t="s">
        <v>3178</v>
      </c>
      <c r="G1708" s="4" t="s">
        <v>3178</v>
      </c>
      <c r="H1708" s="3">
        <v>0</v>
      </c>
      <c r="I1708" s="5">
        <v>48.121216</v>
      </c>
      <c r="J1708" s="6">
        <v>0</v>
      </c>
      <c r="K1708" s="4" t="s">
        <v>3178</v>
      </c>
      <c r="L1708" s="7">
        <v>0.515813921120708</v>
      </c>
      <c r="M1708" s="3">
        <v>2</v>
      </c>
      <c r="N1708" s="3">
        <v>1.12</v>
      </c>
    </row>
    <row r="1709" spans="1:14">
      <c r="A1709" s="8" t="s">
        <v>1721</v>
      </c>
      <c r="B1709" s="2">
        <f>HYPERLINK("https://www.suredividend.com/sure-analysis-research-database/","Louisiana-Pacific Corp.")</f>
        <v>0</v>
      </c>
      <c r="C1709" s="1" t="s">
        <v>3179</v>
      </c>
      <c r="D1709" s="3">
        <v>89.98</v>
      </c>
      <c r="E1709" s="4">
        <v>0.011059134457588</v>
      </c>
      <c r="F1709" s="4">
        <v>0.08333333333333348</v>
      </c>
      <c r="G1709" s="4">
        <v>0.1400605448519747</v>
      </c>
      <c r="H1709" s="3">
        <v>0.99510091849379</v>
      </c>
      <c r="I1709" s="5">
        <v>6451.566</v>
      </c>
      <c r="J1709" s="6">
        <v>24.3455320754717</v>
      </c>
      <c r="K1709" s="4">
        <v>0.270407858286356</v>
      </c>
      <c r="L1709" s="7">
        <v>1.51480635036876</v>
      </c>
      <c r="M1709" s="3">
        <v>93.83</v>
      </c>
      <c r="N1709" s="3">
        <v>48.94</v>
      </c>
    </row>
    <row r="1710" spans="1:14">
      <c r="A1710" s="8" t="s">
        <v>1722</v>
      </c>
      <c r="B1710" s="2">
        <f>HYPERLINK("https://www.suredividend.com/sure-analysis-research-database/","Liquidia Corp")</f>
        <v>0</v>
      </c>
      <c r="C1710" s="1" t="s">
        <v>3176</v>
      </c>
      <c r="D1710" s="3">
        <v>13.77</v>
      </c>
      <c r="E1710" s="4">
        <v>0</v>
      </c>
      <c r="F1710" s="4" t="s">
        <v>3178</v>
      </c>
      <c r="G1710" s="4" t="s">
        <v>3178</v>
      </c>
      <c r="H1710" s="3">
        <v>0</v>
      </c>
      <c r="I1710" s="5">
        <v>1051.790027</v>
      </c>
      <c r="J1710" s="6" t="s">
        <v>3178</v>
      </c>
      <c r="K1710" s="4">
        <v>-0</v>
      </c>
      <c r="L1710" s="7">
        <v>-0.215503767053049</v>
      </c>
      <c r="M1710" s="3">
        <v>16.99</v>
      </c>
      <c r="N1710" s="3">
        <v>5.71</v>
      </c>
    </row>
    <row r="1711" spans="1:14">
      <c r="A1711" s="8" t="s">
        <v>1723</v>
      </c>
      <c r="B1711" s="2">
        <f>HYPERLINK("https://www.suredividend.com/sure-analysis-research-database/","Liquidity Services Inc")</f>
        <v>0</v>
      </c>
      <c r="C1711" s="1" t="s">
        <v>3182</v>
      </c>
      <c r="D1711" s="3">
        <v>19.2</v>
      </c>
      <c r="E1711" s="4">
        <v>0</v>
      </c>
      <c r="F1711" s="4" t="s">
        <v>3178</v>
      </c>
      <c r="G1711" s="4" t="s">
        <v>3178</v>
      </c>
      <c r="H1711" s="3">
        <v>0</v>
      </c>
      <c r="I1711" s="5">
        <v>585.261024</v>
      </c>
      <c r="J1711" s="6">
        <v>28.71601118688975</v>
      </c>
      <c r="K1711" s="4">
        <v>0</v>
      </c>
      <c r="L1711" s="7">
        <v>0.7023735456076581</v>
      </c>
      <c r="M1711" s="3">
        <v>21.1</v>
      </c>
      <c r="N1711" s="3">
        <v>13.99</v>
      </c>
    </row>
    <row r="1712" spans="1:14">
      <c r="A1712" s="8" t="s">
        <v>1724</v>
      </c>
      <c r="B1712" s="2">
        <f>HYPERLINK("https://www.suredividend.com/sure-analysis-LRCX/","Lam Research Corp.")</f>
        <v>0</v>
      </c>
      <c r="C1712" s="1" t="s">
        <v>3181</v>
      </c>
      <c r="D1712" s="3">
        <v>962.72</v>
      </c>
      <c r="E1712" s="4">
        <v>0.008257852750540137</v>
      </c>
      <c r="F1712" s="4">
        <v>0.1594202898550725</v>
      </c>
      <c r="G1712" s="4">
        <v>0.1270092020979254</v>
      </c>
      <c r="H1712" s="3">
        <v>7.682203329416513</v>
      </c>
      <c r="I1712" s="5">
        <v>125866.97552</v>
      </c>
      <c r="J1712" s="6">
        <v>34.86593743481697</v>
      </c>
      <c r="K1712" s="4">
        <v>0.2826417707658762</v>
      </c>
      <c r="L1712" s="7">
        <v>1.788633634248849</v>
      </c>
      <c r="M1712" s="3">
        <v>1005.23</v>
      </c>
      <c r="N1712" s="3">
        <v>570.0700000000001</v>
      </c>
    </row>
    <row r="1713" spans="1:14">
      <c r="A1713" s="8" t="s">
        <v>1725</v>
      </c>
      <c r="B1713" s="2">
        <f>HYPERLINK("https://www.suredividend.com/sure-analysis-research-database/","Stride Inc")</f>
        <v>0</v>
      </c>
      <c r="C1713" s="1" t="s">
        <v>3184</v>
      </c>
      <c r="D1713" s="3">
        <v>68.14</v>
      </c>
      <c r="E1713" s="4">
        <v>0</v>
      </c>
      <c r="F1713" s="4" t="s">
        <v>3178</v>
      </c>
      <c r="G1713" s="4" t="s">
        <v>3178</v>
      </c>
      <c r="H1713" s="3">
        <v>0</v>
      </c>
      <c r="I1713" s="5">
        <v>2947.391475</v>
      </c>
      <c r="J1713" s="6">
        <v>15.95141863432428</v>
      </c>
      <c r="K1713" s="4">
        <v>0</v>
      </c>
      <c r="L1713" s="7">
        <v>0.269794921779705</v>
      </c>
      <c r="M1713" s="3">
        <v>73.33</v>
      </c>
      <c r="N1713" s="3">
        <v>35.61</v>
      </c>
    </row>
    <row r="1714" spans="1:14">
      <c r="A1714" s="8" t="s">
        <v>1726</v>
      </c>
      <c r="B1714" s="2">
        <f>HYPERLINK("https://www.suredividend.com/sure-analysis-research-database/","Lake Shore Bancorp")</f>
        <v>0</v>
      </c>
      <c r="C1714" s="1" t="s">
        <v>3180</v>
      </c>
      <c r="D1714" s="3">
        <v>12.95</v>
      </c>
      <c r="E1714" s="4">
        <v>0</v>
      </c>
      <c r="F1714" s="4" t="s">
        <v>3178</v>
      </c>
      <c r="G1714" s="4" t="s">
        <v>3178</v>
      </c>
      <c r="H1714" s="3">
        <v>0</v>
      </c>
      <c r="I1714" s="5">
        <v>74.294616</v>
      </c>
      <c r="J1714" s="6">
        <v>0</v>
      </c>
      <c r="K1714" s="4" t="s">
        <v>3178</v>
      </c>
      <c r="M1714" s="3">
        <v>13.15</v>
      </c>
      <c r="N1714" s="3">
        <v>9.220000000000001</v>
      </c>
    </row>
    <row r="1715" spans="1:14">
      <c r="A1715" s="8" t="s">
        <v>1727</v>
      </c>
      <c r="B1715" s="2">
        <f>HYPERLINK("https://www.suredividend.com/sure-analysis-research-database/","Lattice Semiconductor Corp.")</f>
        <v>0</v>
      </c>
      <c r="C1715" s="1" t="s">
        <v>3181</v>
      </c>
      <c r="D1715" s="3">
        <v>60.77</v>
      </c>
      <c r="E1715" s="4">
        <v>0</v>
      </c>
      <c r="F1715" s="4" t="s">
        <v>3178</v>
      </c>
      <c r="G1715" s="4" t="s">
        <v>3178</v>
      </c>
      <c r="H1715" s="3">
        <v>0</v>
      </c>
      <c r="I1715" s="5">
        <v>8358.694667</v>
      </c>
      <c r="J1715" s="6">
        <v>38.35424792473869</v>
      </c>
      <c r="K1715" s="4">
        <v>0</v>
      </c>
      <c r="L1715" s="7">
        <v>2.014861090099953</v>
      </c>
      <c r="M1715" s="3">
        <v>98.3</v>
      </c>
      <c r="N1715" s="3">
        <v>51.96</v>
      </c>
    </row>
    <row r="1716" spans="1:14">
      <c r="A1716" s="8" t="s">
        <v>1728</v>
      </c>
      <c r="B1716" s="2">
        <f>HYPERLINK("https://www.suredividend.com/sure-analysis-research-database/","Life Storage Inc")</f>
        <v>0</v>
      </c>
      <c r="C1716" s="1" t="s">
        <v>3183</v>
      </c>
      <c r="D1716" s="3">
        <v>133.1</v>
      </c>
      <c r="E1716" s="4">
        <v>0.032499886804601</v>
      </c>
      <c r="F1716" s="4" t="s">
        <v>3178</v>
      </c>
      <c r="G1716" s="4" t="s">
        <v>3178</v>
      </c>
      <c r="H1716" s="3">
        <v>4.32573493369241</v>
      </c>
      <c r="I1716" s="5">
        <v>11325.443329</v>
      </c>
      <c r="J1716" s="6">
        <v>30.93022831268213</v>
      </c>
      <c r="K1716" s="4">
        <v>1.008329821373522</v>
      </c>
      <c r="M1716" s="3">
        <v>144.48</v>
      </c>
      <c r="N1716" s="3">
        <v>91.54000000000001</v>
      </c>
    </row>
    <row r="1717" spans="1:14">
      <c r="A1717" s="8" t="s">
        <v>1729</v>
      </c>
      <c r="B1717" s="2">
        <f>HYPERLINK("https://www.suredividend.com/sure-analysis-research-database/","Landstar System, Inc.")</f>
        <v>0</v>
      </c>
      <c r="C1717" s="1" t="s">
        <v>3179</v>
      </c>
      <c r="D1717" s="3">
        <v>180.19</v>
      </c>
      <c r="E1717" s="4">
        <v>0.018232132582585</v>
      </c>
      <c r="F1717" s="4">
        <v>0</v>
      </c>
      <c r="G1717" s="4">
        <v>0.09460878422315755</v>
      </c>
      <c r="H1717" s="3">
        <v>3.285247970056117</v>
      </c>
      <c r="I1717" s="5">
        <v>6443.961627</v>
      </c>
      <c r="J1717" s="6">
        <v>27.62151622289376</v>
      </c>
      <c r="K1717" s="4">
        <v>0.5046463855692961</v>
      </c>
      <c r="L1717" s="7">
        <v>0.858883603347095</v>
      </c>
      <c r="M1717" s="3">
        <v>201.76</v>
      </c>
      <c r="N1717" s="3">
        <v>156.09</v>
      </c>
    </row>
    <row r="1718" spans="1:14">
      <c r="A1718" s="8" t="s">
        <v>1730</v>
      </c>
      <c r="B1718" s="2">
        <f>HYPERLINK("https://www.suredividend.com/sure-analysis-research-database/","Liberty Media Corp.")</f>
        <v>0</v>
      </c>
      <c r="C1718" s="1" t="s">
        <v>3187</v>
      </c>
      <c r="D1718" s="3">
        <v>21.01</v>
      </c>
      <c r="E1718" s="4">
        <v>0</v>
      </c>
      <c r="F1718" s="4" t="s">
        <v>3178</v>
      </c>
      <c r="G1718" s="4" t="s">
        <v>3178</v>
      </c>
      <c r="H1718" s="3">
        <v>0</v>
      </c>
      <c r="I1718" s="5">
        <v>26659.555536</v>
      </c>
      <c r="J1718" s="6">
        <v>0</v>
      </c>
      <c r="K1718" s="4" t="s">
        <v>3178</v>
      </c>
      <c r="L1718" s="7">
        <v>0.834380334381833</v>
      </c>
      <c r="M1718" s="3">
        <v>31.69</v>
      </c>
      <c r="N1718" s="3">
        <v>20.73</v>
      </c>
    </row>
    <row r="1719" spans="1:14">
      <c r="A1719" s="8" t="s">
        <v>1731</v>
      </c>
      <c r="B1719" s="2">
        <f>HYPERLINK("https://www.suredividend.com/sure-analysis-research-database/","Liberty Media Corp.")</f>
        <v>0</v>
      </c>
      <c r="C1719" s="1" t="s">
        <v>3187</v>
      </c>
      <c r="D1719" s="3">
        <v>20.91</v>
      </c>
      <c r="E1719" s="4">
        <v>0</v>
      </c>
      <c r="F1719" s="4" t="s">
        <v>3178</v>
      </c>
      <c r="G1719" s="4" t="s">
        <v>3178</v>
      </c>
      <c r="H1719" s="3">
        <v>0</v>
      </c>
      <c r="I1719" s="5">
        <v>26659.555536</v>
      </c>
      <c r="J1719" s="6">
        <v>0</v>
      </c>
      <c r="K1719" s="4" t="s">
        <v>3178</v>
      </c>
      <c r="L1719" s="7">
        <v>0.8624131251425611</v>
      </c>
      <c r="M1719" s="3">
        <v>31.67</v>
      </c>
      <c r="N1719" s="3">
        <v>20.62</v>
      </c>
    </row>
    <row r="1720" spans="1:14">
      <c r="A1720" s="8" t="s">
        <v>1732</v>
      </c>
      <c r="B1720" s="2">
        <f>HYPERLINK("https://www.suredividend.com/sure-analysis-research-database/","Lightbridge Corp")</f>
        <v>0</v>
      </c>
      <c r="C1720" s="1" t="s">
        <v>3179</v>
      </c>
      <c r="D1720" s="3">
        <v>2.43</v>
      </c>
      <c r="E1720" s="4">
        <v>0</v>
      </c>
      <c r="F1720" s="4" t="s">
        <v>3178</v>
      </c>
      <c r="G1720" s="4" t="s">
        <v>3178</v>
      </c>
      <c r="H1720" s="3">
        <v>0</v>
      </c>
      <c r="I1720" s="5">
        <v>35.075786</v>
      </c>
      <c r="J1720" s="6">
        <v>0</v>
      </c>
      <c r="K1720" s="4" t="s">
        <v>3178</v>
      </c>
      <c r="L1720" s="7">
        <v>1.103198869945129</v>
      </c>
      <c r="M1720" s="3">
        <v>6.7</v>
      </c>
      <c r="N1720" s="3">
        <v>2.21</v>
      </c>
    </row>
    <row r="1721" spans="1:14">
      <c r="A1721" s="8" t="s">
        <v>1733</v>
      </c>
      <c r="B1721" s="2">
        <f>HYPERLINK("https://www.suredividend.com/sure-analysis-LTC/","LTC Properties, Inc.")</f>
        <v>0</v>
      </c>
      <c r="C1721" s="1" t="s">
        <v>3183</v>
      </c>
      <c r="D1721" s="3">
        <v>33.95</v>
      </c>
      <c r="E1721" s="4">
        <v>0.06715758468335786</v>
      </c>
      <c r="F1721" s="4">
        <v>0</v>
      </c>
      <c r="G1721" s="4">
        <v>0</v>
      </c>
      <c r="H1721" s="3">
        <v>2.208376388605118</v>
      </c>
      <c r="I1721" s="5">
        <v>1475.989457</v>
      </c>
      <c r="J1721" s="6">
        <v>18.38460286669822</v>
      </c>
      <c r="K1721" s="4">
        <v>1.150196035731832</v>
      </c>
      <c r="L1721" s="7">
        <v>0.6632534843787581</v>
      </c>
      <c r="M1721" s="3">
        <v>35.05</v>
      </c>
      <c r="N1721" s="3">
        <v>29.28</v>
      </c>
    </row>
    <row r="1722" spans="1:14">
      <c r="A1722" s="8" t="s">
        <v>1734</v>
      </c>
      <c r="B1722" s="2">
        <f>HYPERLINK("https://www.suredividend.com/sure-analysis-research-database/","Livent Corp")</f>
        <v>0</v>
      </c>
      <c r="C1722" s="1" t="s">
        <v>3177</v>
      </c>
      <c r="D1722" s="3">
        <v>16.51</v>
      </c>
      <c r="E1722" s="4">
        <v>0</v>
      </c>
      <c r="F1722" s="4" t="s">
        <v>3178</v>
      </c>
      <c r="G1722" s="4" t="s">
        <v>3178</v>
      </c>
      <c r="H1722" s="3">
        <v>0</v>
      </c>
      <c r="I1722" s="5">
        <v>2967.333005</v>
      </c>
      <c r="J1722" s="6">
        <v>7.910778472060785</v>
      </c>
      <c r="K1722" s="4">
        <v>0</v>
      </c>
      <c r="L1722" s="7">
        <v>1.889855900685523</v>
      </c>
      <c r="M1722" s="3">
        <v>29.18</v>
      </c>
      <c r="N1722" s="3">
        <v>12.76</v>
      </c>
    </row>
    <row r="1723" spans="1:14">
      <c r="A1723" s="8" t="s">
        <v>1735</v>
      </c>
      <c r="B1723" s="2">
        <f>HYPERLINK("https://www.suredividend.com/sure-analysis-research-database/","Liberty TripAdvisor Holdings Inc")</f>
        <v>0</v>
      </c>
      <c r="C1723" s="1" t="s">
        <v>3187</v>
      </c>
      <c r="D1723" s="3">
        <v>0.5700000000000001</v>
      </c>
      <c r="E1723" s="4">
        <v>0</v>
      </c>
      <c r="F1723" s="4" t="s">
        <v>3178</v>
      </c>
      <c r="G1723" s="4" t="s">
        <v>3178</v>
      </c>
      <c r="H1723" s="3">
        <v>0</v>
      </c>
      <c r="I1723" s="5">
        <v>41.658156</v>
      </c>
      <c r="J1723" s="6">
        <v>0</v>
      </c>
      <c r="K1723" s="4" t="s">
        <v>3178</v>
      </c>
      <c r="M1723" s="3">
        <v>1.95</v>
      </c>
      <c r="N1723" s="3">
        <v>0.151</v>
      </c>
    </row>
    <row r="1724" spans="1:14">
      <c r="A1724" s="8" t="s">
        <v>1736</v>
      </c>
      <c r="B1724" s="2">
        <f>HYPERLINK("https://www.suredividend.com/sure-analysis-research-database/","Lantronix Inc")</f>
        <v>0</v>
      </c>
      <c r="C1724" s="1" t="s">
        <v>3181</v>
      </c>
      <c r="D1724" s="3">
        <v>3.77</v>
      </c>
      <c r="E1724" s="4">
        <v>0</v>
      </c>
      <c r="F1724" s="4" t="s">
        <v>3178</v>
      </c>
      <c r="G1724" s="4" t="s">
        <v>3178</v>
      </c>
      <c r="H1724" s="3">
        <v>0</v>
      </c>
      <c r="I1724" s="5">
        <v>141.677286</v>
      </c>
      <c r="J1724" s="6" t="s">
        <v>3178</v>
      </c>
      <c r="K1724" s="4">
        <v>-0</v>
      </c>
      <c r="L1724" s="7">
        <v>1.035062750467168</v>
      </c>
      <c r="M1724" s="3">
        <v>6.95</v>
      </c>
      <c r="N1724" s="3">
        <v>3.08</v>
      </c>
    </row>
    <row r="1725" spans="1:14">
      <c r="A1725" s="8" t="s">
        <v>1737</v>
      </c>
      <c r="B1725" s="2">
        <f>HYPERLINK("https://www.suredividend.com/sure-analysis-research-database/","Luby`s, Inc.")</f>
        <v>0</v>
      </c>
      <c r="C1725" s="1" t="s">
        <v>3182</v>
      </c>
      <c r="D1725" s="3">
        <v>1.78</v>
      </c>
      <c r="E1725" s="4">
        <v>0</v>
      </c>
      <c r="F1725" s="4" t="s">
        <v>3178</v>
      </c>
      <c r="G1725" s="4" t="s">
        <v>3178</v>
      </c>
      <c r="H1725" s="3">
        <v>0</v>
      </c>
      <c r="I1725" s="5">
        <v>55.327957</v>
      </c>
      <c r="J1725" s="6" t="s">
        <v>3178</v>
      </c>
      <c r="K1725" s="4">
        <v>-0</v>
      </c>
      <c r="L1725" s="7">
        <v>0.197132499239756</v>
      </c>
      <c r="M1725" s="3">
        <v>4.2</v>
      </c>
      <c r="N1725" s="3">
        <v>1.77</v>
      </c>
    </row>
    <row r="1726" spans="1:14">
      <c r="A1726" s="8" t="s">
        <v>1738</v>
      </c>
      <c r="B1726" s="2">
        <f>HYPERLINK("https://www.suredividend.com/sure-analysis-research-database/","Lululemon Athletica inc.")</f>
        <v>0</v>
      </c>
      <c r="C1726" s="1" t="s">
        <v>3182</v>
      </c>
      <c r="D1726" s="3">
        <v>317.86</v>
      </c>
      <c r="E1726" s="4">
        <v>0</v>
      </c>
      <c r="F1726" s="4" t="s">
        <v>3178</v>
      </c>
      <c r="G1726" s="4" t="s">
        <v>3178</v>
      </c>
      <c r="H1726" s="3">
        <v>0</v>
      </c>
      <c r="I1726" s="5">
        <v>38107.091422</v>
      </c>
      <c r="J1726" s="6">
        <v>24.10001696291312</v>
      </c>
      <c r="K1726" s="4">
        <v>0</v>
      </c>
      <c r="L1726" s="7">
        <v>1.244792223231741</v>
      </c>
      <c r="M1726" s="3">
        <v>516.39</v>
      </c>
      <c r="N1726" s="3">
        <v>293.03</v>
      </c>
    </row>
    <row r="1727" spans="1:14">
      <c r="A1727" s="8" t="s">
        <v>1739</v>
      </c>
      <c r="B1727" s="2">
        <f>HYPERLINK("https://www.suredividend.com/sure-analysis-research-database/","Luna Innovations Inc")</f>
        <v>0</v>
      </c>
      <c r="C1727" s="1" t="s">
        <v>3181</v>
      </c>
      <c r="D1727" s="3">
        <v>3.52</v>
      </c>
      <c r="E1727" s="4">
        <v>0</v>
      </c>
      <c r="F1727" s="4" t="s">
        <v>3178</v>
      </c>
      <c r="G1727" s="4" t="s">
        <v>3178</v>
      </c>
      <c r="H1727" s="3">
        <v>0</v>
      </c>
      <c r="I1727" s="5">
        <v>119.534416</v>
      </c>
      <c r="J1727" s="6">
        <v>0</v>
      </c>
      <c r="K1727" s="4" t="s">
        <v>3178</v>
      </c>
      <c r="L1727" s="7">
        <v>1.793696085162013</v>
      </c>
      <c r="M1727" s="3">
        <v>10.7</v>
      </c>
      <c r="N1727" s="3">
        <v>1.91</v>
      </c>
    </row>
    <row r="1728" spans="1:14">
      <c r="A1728" s="8" t="s">
        <v>1740</v>
      </c>
      <c r="B1728" s="2">
        <f>HYPERLINK("https://www.suredividend.com/sure-analysis-research-database/","Southwest Airlines Co")</f>
        <v>0</v>
      </c>
      <c r="C1728" s="1" t="s">
        <v>3179</v>
      </c>
      <c r="D1728" s="3">
        <v>27.75</v>
      </c>
      <c r="E1728" s="4">
        <v>0.025727837391088</v>
      </c>
      <c r="F1728" s="4" t="s">
        <v>3178</v>
      </c>
      <c r="G1728" s="4" t="s">
        <v>3178</v>
      </c>
      <c r="H1728" s="3">
        <v>0.7139474876027141</v>
      </c>
      <c r="I1728" s="5">
        <v>16607.166737</v>
      </c>
      <c r="J1728" s="6">
        <v>42.25742172328244</v>
      </c>
      <c r="K1728" s="4">
        <v>1.164108083487223</v>
      </c>
      <c r="L1728" s="7">
        <v>0.953293235674988</v>
      </c>
      <c r="M1728" s="3">
        <v>38.86</v>
      </c>
      <c r="N1728" s="3">
        <v>21.67</v>
      </c>
    </row>
    <row r="1729" spans="1:14">
      <c r="A1729" s="8" t="s">
        <v>1741</v>
      </c>
      <c r="B1729" s="2">
        <f>HYPERLINK("https://www.suredividend.com/sure-analysis-research-database/","Las Vegas Sands Corp")</f>
        <v>0</v>
      </c>
      <c r="C1729" s="1" t="s">
        <v>3182</v>
      </c>
      <c r="D1729" s="3">
        <v>45.02</v>
      </c>
      <c r="E1729" s="4">
        <v>0.017659910792152</v>
      </c>
      <c r="F1729" s="4" t="s">
        <v>3178</v>
      </c>
      <c r="G1729" s="4" t="s">
        <v>3178</v>
      </c>
      <c r="H1729" s="3">
        <v>0.7950491838626851</v>
      </c>
      <c r="I1729" s="5">
        <v>33542.022693</v>
      </c>
      <c r="J1729" s="6">
        <v>21.39159610522959</v>
      </c>
      <c r="K1729" s="4">
        <v>0.385946205758585</v>
      </c>
      <c r="L1729" s="7">
        <v>1.028512640061551</v>
      </c>
      <c r="M1729" s="3">
        <v>60.29</v>
      </c>
      <c r="N1729" s="3">
        <v>42.99</v>
      </c>
    </row>
    <row r="1730" spans="1:14">
      <c r="A1730" s="8" t="s">
        <v>1742</v>
      </c>
      <c r="B1730" s="2">
        <f>HYPERLINK("https://www.suredividend.com/sure-analysis-research-database/","Lamb Weston Holdings Inc")</f>
        <v>0</v>
      </c>
      <c r="C1730" s="1" t="s">
        <v>3184</v>
      </c>
      <c r="D1730" s="3">
        <v>85.84</v>
      </c>
      <c r="E1730" s="4">
        <v>0.014831747091948</v>
      </c>
      <c r="F1730" s="4">
        <v>0.2857142857142856</v>
      </c>
      <c r="G1730" s="4">
        <v>0.1247461131420948</v>
      </c>
      <c r="H1730" s="3">
        <v>1.273157170372839</v>
      </c>
      <c r="I1730" s="5">
        <v>12394.525243</v>
      </c>
      <c r="J1730" s="6">
        <v>11.32230313569014</v>
      </c>
      <c r="K1730" s="4">
        <v>0.1697542893830452</v>
      </c>
      <c r="L1730" s="7">
        <v>0.7627247157939141</v>
      </c>
      <c r="M1730" s="3">
        <v>115.78</v>
      </c>
      <c r="N1730" s="3">
        <v>77.06999999999999</v>
      </c>
    </row>
    <row r="1731" spans="1:14">
      <c r="A1731" s="8" t="s">
        <v>1743</v>
      </c>
      <c r="B1731" s="2">
        <f>HYPERLINK("https://www.suredividend.com/sure-analysis-research-database/","Lifeway Foods, Inc.")</f>
        <v>0</v>
      </c>
      <c r="C1731" s="1" t="s">
        <v>3184</v>
      </c>
      <c r="D1731" s="3">
        <v>13.12</v>
      </c>
      <c r="E1731" s="4">
        <v>0</v>
      </c>
      <c r="F1731" s="4" t="s">
        <v>3178</v>
      </c>
      <c r="G1731" s="4" t="s">
        <v>3178</v>
      </c>
      <c r="H1731" s="3">
        <v>0</v>
      </c>
      <c r="I1731" s="5">
        <v>192.960983</v>
      </c>
      <c r="J1731" s="6">
        <v>14.88551901874566</v>
      </c>
      <c r="K1731" s="4">
        <v>0</v>
      </c>
      <c r="L1731" s="7">
        <v>1.369419347887568</v>
      </c>
      <c r="M1731" s="3">
        <v>28.61</v>
      </c>
      <c r="N1731" s="3">
        <v>5.77</v>
      </c>
    </row>
    <row r="1732" spans="1:14">
      <c r="A1732" s="8" t="s">
        <v>1744</v>
      </c>
      <c r="B1732" s="2">
        <f>HYPERLINK("https://www.suredividend.com/sure-analysis-LXP/","LXP Industrial Trust")</f>
        <v>0</v>
      </c>
      <c r="C1732" s="1" t="s">
        <v>3183</v>
      </c>
      <c r="D1732" s="3">
        <v>8.68</v>
      </c>
      <c r="E1732" s="4">
        <v>0.05990783410138249</v>
      </c>
      <c r="F1732" s="4">
        <v>0.04000000000000004</v>
      </c>
      <c r="G1732" s="4">
        <v>0.04868220215701746</v>
      </c>
      <c r="H1732" s="3">
        <v>0.4995115456016571</v>
      </c>
      <c r="I1732" s="5">
        <v>2554.650346</v>
      </c>
      <c r="J1732" s="6">
        <v>205.8541777663175</v>
      </c>
      <c r="K1732" s="4">
        <v>11.35253512731039</v>
      </c>
      <c r="L1732" s="7">
        <v>1.0945339119468</v>
      </c>
      <c r="M1732" s="3">
        <v>10.31</v>
      </c>
      <c r="N1732" s="3">
        <v>7.54</v>
      </c>
    </row>
    <row r="1733" spans="1:14">
      <c r="A1733" s="8" t="s">
        <v>1745</v>
      </c>
      <c r="B1733" s="2">
        <f>HYPERLINK("https://www.suredividend.com/sure-analysis-research-database/","Lexicon Pharmaceuticals Inc")</f>
        <v>0</v>
      </c>
      <c r="C1733" s="1" t="s">
        <v>3176</v>
      </c>
      <c r="D1733" s="3">
        <v>1.75</v>
      </c>
      <c r="E1733" s="4">
        <v>0</v>
      </c>
      <c r="F1733" s="4" t="s">
        <v>3178</v>
      </c>
      <c r="G1733" s="4" t="s">
        <v>3178</v>
      </c>
      <c r="H1733" s="3">
        <v>0</v>
      </c>
      <c r="I1733" s="5">
        <v>632.6115160000001</v>
      </c>
      <c r="J1733" s="6" t="s">
        <v>3178</v>
      </c>
      <c r="K1733" s="4">
        <v>-0</v>
      </c>
      <c r="L1733" s="7">
        <v>1.534352849600332</v>
      </c>
      <c r="M1733" s="3">
        <v>3.73</v>
      </c>
      <c r="N1733" s="3">
        <v>0.92</v>
      </c>
    </row>
    <row r="1734" spans="1:14">
      <c r="A1734" s="8" t="s">
        <v>1746</v>
      </c>
      <c r="B1734" s="2">
        <f>HYPERLINK("https://www.suredividend.com/sure-analysis-research-database/","LSB Industries, Inc.")</f>
        <v>0</v>
      </c>
      <c r="C1734" s="1" t="s">
        <v>3177</v>
      </c>
      <c r="D1734" s="3">
        <v>9.220000000000001</v>
      </c>
      <c r="E1734" s="4">
        <v>0</v>
      </c>
      <c r="F1734" s="4" t="s">
        <v>3178</v>
      </c>
      <c r="G1734" s="4" t="s">
        <v>3178</v>
      </c>
      <c r="H1734" s="3">
        <v>0</v>
      </c>
      <c r="I1734" s="5">
        <v>659.633089</v>
      </c>
      <c r="J1734" s="6">
        <v>37.38356980334373</v>
      </c>
      <c r="K1734" s="4">
        <v>0</v>
      </c>
      <c r="L1734" s="7">
        <v>0.8061053621102221</v>
      </c>
      <c r="M1734" s="3">
        <v>11.69</v>
      </c>
      <c r="N1734" s="3">
        <v>6.74</v>
      </c>
    </row>
    <row r="1735" spans="1:14">
      <c r="A1735" s="8" t="s">
        <v>1747</v>
      </c>
      <c r="B1735" s="2">
        <f>HYPERLINK("https://www.suredividend.com/sure-analysis-LYB/","LyondellBasell Industries NV")</f>
        <v>0</v>
      </c>
      <c r="C1735" s="1" t="s">
        <v>3177</v>
      </c>
      <c r="D1735" s="3">
        <v>96.06</v>
      </c>
      <c r="E1735" s="4">
        <v>0.05205080158234437</v>
      </c>
      <c r="F1735" s="4">
        <v>0.07200000000000006</v>
      </c>
      <c r="G1735" s="4">
        <v>0.04998501218567775</v>
      </c>
      <c r="H1735" s="3">
        <v>4.992684745070662</v>
      </c>
      <c r="I1735" s="5">
        <v>31279.274296</v>
      </c>
      <c r="J1735" s="6">
        <v>14.81727820729512</v>
      </c>
      <c r="K1735" s="4">
        <v>0.7704760409059662</v>
      </c>
      <c r="L1735" s="7">
        <v>0.674525634617408</v>
      </c>
      <c r="M1735" s="3">
        <v>105.58</v>
      </c>
      <c r="N1735" s="3">
        <v>82.23</v>
      </c>
    </row>
    <row r="1736" spans="1:14">
      <c r="A1736" s="8" t="s">
        <v>1748</v>
      </c>
      <c r="B1736" s="2">
        <f>HYPERLINK("https://www.suredividend.com/sure-analysis-research-database/","Lyft Inc")</f>
        <v>0</v>
      </c>
      <c r="C1736" s="1" t="s">
        <v>3181</v>
      </c>
      <c r="D1736" s="3">
        <v>15.6</v>
      </c>
      <c r="E1736" s="4">
        <v>0</v>
      </c>
      <c r="F1736" s="4" t="s">
        <v>3178</v>
      </c>
      <c r="G1736" s="4" t="s">
        <v>3178</v>
      </c>
      <c r="H1736" s="3">
        <v>0</v>
      </c>
      <c r="I1736" s="5">
        <v>6161.266972</v>
      </c>
      <c r="J1736" s="6" t="s">
        <v>3178</v>
      </c>
      <c r="K1736" s="4">
        <v>-0</v>
      </c>
      <c r="L1736" s="7">
        <v>2.728585300273379</v>
      </c>
      <c r="M1736" s="3">
        <v>20.82</v>
      </c>
      <c r="N1736" s="3">
        <v>8.85</v>
      </c>
    </row>
    <row r="1737" spans="1:14">
      <c r="A1737" s="8" t="s">
        <v>1749</v>
      </c>
      <c r="B1737" s="2">
        <f>HYPERLINK("https://www.suredividend.com/sure-analysis-research-database/","LSI Industries Inc.")</f>
        <v>0</v>
      </c>
      <c r="C1737" s="1" t="s">
        <v>3181</v>
      </c>
      <c r="D1737" s="3">
        <v>14.84</v>
      </c>
      <c r="E1737" s="4">
        <v>0.013334100109797</v>
      </c>
      <c r="F1737" s="4">
        <v>0</v>
      </c>
      <c r="G1737" s="4">
        <v>0</v>
      </c>
      <c r="H1737" s="3">
        <v>0.197878045629391</v>
      </c>
      <c r="I1737" s="5">
        <v>432.286944</v>
      </c>
      <c r="J1737" s="6">
        <v>15.59307954838942</v>
      </c>
      <c r="K1737" s="4">
        <v>0.2139684749452757</v>
      </c>
      <c r="L1737" s="7">
        <v>0.665968645179137</v>
      </c>
      <c r="M1737" s="3">
        <v>16.6</v>
      </c>
      <c r="N1737" s="3">
        <v>11.28</v>
      </c>
    </row>
    <row r="1738" spans="1:14">
      <c r="A1738" s="8" t="s">
        <v>1750</v>
      </c>
      <c r="B1738" s="2">
        <f>HYPERLINK("https://www.suredividend.com/sure-analysis-research-database/","Live Nation Entertainment Inc")</f>
        <v>0</v>
      </c>
      <c r="C1738" s="1" t="s">
        <v>3187</v>
      </c>
      <c r="D1738" s="3">
        <v>90.53</v>
      </c>
      <c r="E1738" s="4">
        <v>0</v>
      </c>
      <c r="F1738" s="4" t="s">
        <v>3178</v>
      </c>
      <c r="G1738" s="4" t="s">
        <v>3178</v>
      </c>
      <c r="H1738" s="3">
        <v>0</v>
      </c>
      <c r="I1738" s="5">
        <v>20798.70386</v>
      </c>
      <c r="J1738" s="6">
        <v>82.5011458069353</v>
      </c>
      <c r="K1738" s="4">
        <v>0</v>
      </c>
      <c r="L1738" s="7">
        <v>1.150337774038784</v>
      </c>
      <c r="M1738" s="3">
        <v>107.24</v>
      </c>
      <c r="N1738" s="3">
        <v>76.48</v>
      </c>
    </row>
    <row r="1739" spans="1:14">
      <c r="A1739" s="8" t="s">
        <v>1751</v>
      </c>
      <c r="B1739" s="2">
        <f>HYPERLINK("https://www.suredividend.com/sure-analysis-research-database/","La-Z-Boy Inc.")</f>
        <v>0</v>
      </c>
      <c r="C1739" s="1" t="s">
        <v>3182</v>
      </c>
      <c r="D1739" s="3">
        <v>35.28</v>
      </c>
      <c r="E1739" s="4">
        <v>0.021978665268919</v>
      </c>
      <c r="F1739" s="4" t="s">
        <v>3178</v>
      </c>
      <c r="G1739" s="4" t="s">
        <v>3178</v>
      </c>
      <c r="H1739" s="3">
        <v>0.775407310687468</v>
      </c>
      <c r="I1739" s="5">
        <v>1504.333344</v>
      </c>
      <c r="J1739" s="6">
        <v>12.7820593207637</v>
      </c>
      <c r="K1739" s="4">
        <v>0.2861281589252649</v>
      </c>
      <c r="L1739" s="7">
        <v>1.023989559618286</v>
      </c>
      <c r="M1739" s="3">
        <v>39.45</v>
      </c>
      <c r="N1739" s="3">
        <v>24.58</v>
      </c>
    </row>
    <row r="1740" spans="1:14">
      <c r="A1740" s="8" t="s">
        <v>1752</v>
      </c>
      <c r="B1740" s="2">
        <f>HYPERLINK("https://www.suredividend.com/sure-analysis-M/","Macy`s Inc")</f>
        <v>0</v>
      </c>
      <c r="C1740" s="1" t="s">
        <v>3182</v>
      </c>
      <c r="D1740" s="3">
        <v>18.43</v>
      </c>
      <c r="E1740" s="4">
        <v>0.03798155181768855</v>
      </c>
      <c r="F1740" s="4" t="s">
        <v>3178</v>
      </c>
      <c r="G1740" s="4" t="s">
        <v>3178</v>
      </c>
      <c r="H1740" s="3">
        <v>0.660641605013484</v>
      </c>
      <c r="I1740" s="5">
        <v>5094.263687</v>
      </c>
      <c r="J1740" s="6">
        <v>424.5219739150001</v>
      </c>
      <c r="K1740" s="4">
        <v>15.36375825612753</v>
      </c>
      <c r="L1740" s="7">
        <v>1.299606450329395</v>
      </c>
      <c r="M1740" s="3">
        <v>22.1</v>
      </c>
      <c r="N1740" s="3">
        <v>10.36</v>
      </c>
    </row>
    <row r="1741" spans="1:14">
      <c r="A1741" s="8" t="s">
        <v>1753</v>
      </c>
      <c r="B1741" s="2">
        <f>HYPERLINK("https://www.suredividend.com/sure-analysis-MA/","Mastercard Incorporated")</f>
        <v>0</v>
      </c>
      <c r="C1741" s="1" t="s">
        <v>3180</v>
      </c>
      <c r="D1741" s="3">
        <v>449.79</v>
      </c>
      <c r="E1741" s="4">
        <v>0.00586940572267058</v>
      </c>
      <c r="F1741" s="4">
        <v>0.1578947368421051</v>
      </c>
      <c r="G1741" s="4">
        <v>0.1486983549970351</v>
      </c>
      <c r="H1741" s="3">
        <v>2.454896165052039</v>
      </c>
      <c r="I1741" s="5">
        <v>414917.795243</v>
      </c>
      <c r="J1741" s="6">
        <v>35.02894007965302</v>
      </c>
      <c r="K1741" s="4">
        <v>0.1949877811796695</v>
      </c>
      <c r="L1741" s="7">
        <v>0.789092232024859</v>
      </c>
      <c r="M1741" s="3">
        <v>489.32</v>
      </c>
      <c r="N1741" s="3">
        <v>358.71</v>
      </c>
    </row>
    <row r="1742" spans="1:14">
      <c r="A1742" s="8" t="s">
        <v>1754</v>
      </c>
      <c r="B1742" s="2">
        <f>HYPERLINK("https://www.suredividend.com/sure-analysis-MAA/","Mid-America Apartment Communities, Inc.")</f>
        <v>0</v>
      </c>
      <c r="C1742" s="1" t="s">
        <v>3183</v>
      </c>
      <c r="D1742" s="3">
        <v>136.66</v>
      </c>
      <c r="E1742" s="4">
        <v>0.04302648909702912</v>
      </c>
      <c r="F1742" s="4">
        <v>0.05000000000000004</v>
      </c>
      <c r="G1742" s="4">
        <v>0.08895321224138986</v>
      </c>
      <c r="H1742" s="3">
        <v>5.647442947596185</v>
      </c>
      <c r="I1742" s="5">
        <v>15965.44198</v>
      </c>
      <c r="J1742" s="6">
        <v>28.66558695039994</v>
      </c>
      <c r="K1742" s="4">
        <v>1.183950303479284</v>
      </c>
      <c r="L1742" s="7">
        <v>0.9589485380821061</v>
      </c>
      <c r="M1742" s="3">
        <v>151.97</v>
      </c>
      <c r="N1742" s="3">
        <v>113.01</v>
      </c>
    </row>
    <row r="1743" spans="1:14">
      <c r="A1743" s="8" t="s">
        <v>1755</v>
      </c>
      <c r="B1743" s="2">
        <f>HYPERLINK("https://www.suredividend.com/sure-analysis-MAC/","Macerich Co.")</f>
        <v>0</v>
      </c>
      <c r="C1743" s="1" t="s">
        <v>3183</v>
      </c>
      <c r="D1743" s="3">
        <v>14.92</v>
      </c>
      <c r="E1743" s="4">
        <v>0.04557640750670242</v>
      </c>
      <c r="F1743" s="4">
        <v>0</v>
      </c>
      <c r="G1743" s="4">
        <v>-0.2568482041823844</v>
      </c>
      <c r="H1743" s="3">
        <v>0.6685189232935681</v>
      </c>
      <c r="I1743" s="5">
        <v>3218.543788</v>
      </c>
      <c r="J1743" s="6" t="s">
        <v>3178</v>
      </c>
      <c r="K1743" s="4" t="s">
        <v>3178</v>
      </c>
      <c r="L1743" s="7">
        <v>1.960798323606108</v>
      </c>
      <c r="M1743" s="3">
        <v>17.5</v>
      </c>
      <c r="N1743" s="3">
        <v>8.880000000000001</v>
      </c>
    </row>
    <row r="1744" spans="1:14">
      <c r="A1744" s="8" t="s">
        <v>1756</v>
      </c>
      <c r="B1744" s="2">
        <f>HYPERLINK("https://www.suredividend.com/sure-analysis-research-database/","Merrimack Pharmaceuticals Inc")</f>
        <v>0</v>
      </c>
      <c r="C1744" s="1" t="s">
        <v>3176</v>
      </c>
      <c r="D1744" s="3">
        <v>15.13</v>
      </c>
      <c r="E1744" s="4">
        <v>0</v>
      </c>
      <c r="F1744" s="4" t="s">
        <v>3178</v>
      </c>
      <c r="G1744" s="4" t="s">
        <v>3178</v>
      </c>
      <c r="H1744" s="3">
        <v>0</v>
      </c>
      <c r="I1744" s="5">
        <v>0</v>
      </c>
      <c r="J1744" s="6">
        <v>0</v>
      </c>
      <c r="K1744" s="4" t="s">
        <v>3178</v>
      </c>
    </row>
    <row r="1745" spans="1:14">
      <c r="A1745" s="8" t="s">
        <v>1757</v>
      </c>
      <c r="B1745" s="2">
        <f>HYPERLINK("https://www.suredividend.com/sure-analysis-MAN/","ManpowerGroup")</f>
        <v>0</v>
      </c>
      <c r="C1745" s="1" t="s">
        <v>3179</v>
      </c>
      <c r="D1745" s="3">
        <v>71.56999999999999</v>
      </c>
      <c r="E1745" s="4">
        <v>0.04303479111359509</v>
      </c>
      <c r="F1745" s="4" t="s">
        <v>3178</v>
      </c>
      <c r="G1745" s="4" t="s">
        <v>3178</v>
      </c>
      <c r="H1745" s="3">
        <v>2.979663040674596</v>
      </c>
      <c r="I1745" s="5">
        <v>3413.889</v>
      </c>
      <c r="J1745" s="6">
        <v>67.33508875739645</v>
      </c>
      <c r="K1745" s="4">
        <v>2.921238275171173</v>
      </c>
      <c r="L1745" s="7">
        <v>0.864366207261093</v>
      </c>
      <c r="M1745" s="3">
        <v>85.37</v>
      </c>
      <c r="N1745" s="3">
        <v>64.67</v>
      </c>
    </row>
    <row r="1746" spans="1:14">
      <c r="A1746" s="8" t="s">
        <v>1758</v>
      </c>
      <c r="B1746" s="2">
        <f>HYPERLINK("https://www.suredividend.com/sure-analysis-research-database/","Manhattan Associates, Inc.")</f>
        <v>0</v>
      </c>
      <c r="C1746" s="1" t="s">
        <v>3181</v>
      </c>
      <c r="D1746" s="3">
        <v>220.55</v>
      </c>
      <c r="E1746" s="4">
        <v>0</v>
      </c>
      <c r="F1746" s="4" t="s">
        <v>3178</v>
      </c>
      <c r="G1746" s="4" t="s">
        <v>3178</v>
      </c>
      <c r="H1746" s="3">
        <v>0</v>
      </c>
      <c r="I1746" s="5">
        <v>13579.237696</v>
      </c>
      <c r="J1746" s="6">
        <v>70.88098683382226</v>
      </c>
      <c r="K1746" s="4">
        <v>0</v>
      </c>
      <c r="L1746" s="7">
        <v>1.241626764601915</v>
      </c>
      <c r="M1746" s="3">
        <v>266.94</v>
      </c>
      <c r="N1746" s="3">
        <v>182.97</v>
      </c>
    </row>
    <row r="1747" spans="1:14">
      <c r="A1747" s="8" t="s">
        <v>1759</v>
      </c>
      <c r="B1747" s="2">
        <f>HYPERLINK("https://www.suredividend.com/sure-analysis-research-database/","Mantech International Corp")</f>
        <v>0</v>
      </c>
      <c r="C1747" s="1" t="s">
        <v>3181</v>
      </c>
      <c r="D1747" s="3">
        <v>95.98</v>
      </c>
      <c r="E1747" s="4">
        <v>0</v>
      </c>
      <c r="F1747" s="4" t="s">
        <v>3178</v>
      </c>
      <c r="G1747" s="4" t="s">
        <v>3178</v>
      </c>
      <c r="H1747" s="3">
        <v>1.199999988079071</v>
      </c>
      <c r="I1747" s="5">
        <v>0</v>
      </c>
      <c r="J1747" s="6">
        <v>0</v>
      </c>
      <c r="K1747" s="4">
        <v>0.4026845597580775</v>
      </c>
    </row>
    <row r="1748" spans="1:14">
      <c r="A1748" s="8" t="s">
        <v>1760</v>
      </c>
      <c r="B1748" s="2">
        <f>HYPERLINK("https://www.suredividend.com/sure-analysis-MAR/","Marriott International, Inc.")</f>
        <v>0</v>
      </c>
      <c r="C1748" s="1" t="s">
        <v>3182</v>
      </c>
      <c r="D1748" s="3">
        <v>231.1</v>
      </c>
      <c r="E1748" s="4">
        <v>0.009736045002163565</v>
      </c>
      <c r="F1748" s="4" t="s">
        <v>3178</v>
      </c>
      <c r="G1748" s="4" t="s">
        <v>3178</v>
      </c>
      <c r="H1748" s="3">
        <v>2.17468007530613</v>
      </c>
      <c r="I1748" s="5">
        <v>66007.326703</v>
      </c>
      <c r="J1748" s="6">
        <v>22.83990543346021</v>
      </c>
      <c r="K1748" s="4">
        <v>0.2241938221965083</v>
      </c>
      <c r="L1748" s="7">
        <v>0.9535493794603931</v>
      </c>
      <c r="M1748" s="3">
        <v>259.18</v>
      </c>
      <c r="N1748" s="3">
        <v>167.13</v>
      </c>
    </row>
    <row r="1749" spans="1:14">
      <c r="A1749" s="8" t="s">
        <v>1761</v>
      </c>
      <c r="B1749" s="2">
        <f>HYPERLINK("https://www.suredividend.com/sure-analysis-research-database/","Marathon Digital Holdings Inc")</f>
        <v>0</v>
      </c>
      <c r="C1749" s="1" t="s">
        <v>3180</v>
      </c>
      <c r="D1749" s="3">
        <v>19.27</v>
      </c>
      <c r="E1749" s="4">
        <v>0</v>
      </c>
      <c r="F1749" s="4" t="s">
        <v>3178</v>
      </c>
      <c r="G1749" s="4" t="s">
        <v>3178</v>
      </c>
      <c r="H1749" s="3">
        <v>0</v>
      </c>
      <c r="I1749" s="5">
        <v>5449.312524</v>
      </c>
      <c r="J1749" s="6">
        <v>0</v>
      </c>
      <c r="K1749" s="4" t="s">
        <v>3178</v>
      </c>
      <c r="L1749" s="7">
        <v>3.487267280041602</v>
      </c>
      <c r="M1749" s="3">
        <v>34.09</v>
      </c>
      <c r="N1749" s="3">
        <v>7.16</v>
      </c>
    </row>
    <row r="1750" spans="1:14">
      <c r="A1750" s="8" t="s">
        <v>1762</v>
      </c>
      <c r="B1750" s="2">
        <f>HYPERLINK("https://www.suredividend.com/sure-analysis-research-database/","Remark Holdings Inc")</f>
        <v>0</v>
      </c>
      <c r="C1750" s="1" t="s">
        <v>3187</v>
      </c>
      <c r="D1750" s="3">
        <v>0.125</v>
      </c>
      <c r="E1750" s="4">
        <v>0</v>
      </c>
      <c r="F1750" s="4" t="s">
        <v>3178</v>
      </c>
      <c r="G1750" s="4" t="s">
        <v>3178</v>
      </c>
      <c r="H1750" s="3">
        <v>0</v>
      </c>
      <c r="I1750" s="5">
        <v>0</v>
      </c>
      <c r="J1750" s="6">
        <v>0</v>
      </c>
      <c r="K1750" s="4" t="s">
        <v>3178</v>
      </c>
    </row>
    <row r="1751" spans="1:14">
      <c r="A1751" s="8" t="s">
        <v>1763</v>
      </c>
      <c r="B1751" s="2">
        <f>HYPERLINK("https://www.suredividend.com/sure-analysis-research-database/","Masco Corp.")</f>
        <v>0</v>
      </c>
      <c r="C1751" s="1" t="s">
        <v>3179</v>
      </c>
      <c r="D1751" s="3">
        <v>66.03</v>
      </c>
      <c r="E1751" s="4">
        <v>0.017328079344285</v>
      </c>
      <c r="F1751" s="4">
        <v>0.01754385964912264</v>
      </c>
      <c r="G1751" s="4">
        <v>0.1930079846849517</v>
      </c>
      <c r="H1751" s="3">
        <v>1.144173079103175</v>
      </c>
      <c r="I1751" s="5">
        <v>14542.736411</v>
      </c>
      <c r="J1751" s="6">
        <v>15.84176079673202</v>
      </c>
      <c r="K1751" s="4">
        <v>0.2797489190961308</v>
      </c>
      <c r="L1751" s="7">
        <v>1.116829318393791</v>
      </c>
      <c r="M1751" s="3">
        <v>78.61</v>
      </c>
      <c r="N1751" s="3">
        <v>47.27</v>
      </c>
    </row>
    <row r="1752" spans="1:14">
      <c r="A1752" s="8" t="s">
        <v>1764</v>
      </c>
      <c r="B1752" s="2">
        <f>HYPERLINK("https://www.suredividend.com/sure-analysis-research-database/","Masimo Corp")</f>
        <v>0</v>
      </c>
      <c r="C1752" s="1" t="s">
        <v>3176</v>
      </c>
      <c r="D1752" s="3">
        <v>125.46</v>
      </c>
      <c r="E1752" s="4">
        <v>0</v>
      </c>
      <c r="F1752" s="4" t="s">
        <v>3178</v>
      </c>
      <c r="G1752" s="4" t="s">
        <v>3178</v>
      </c>
      <c r="H1752" s="3">
        <v>0</v>
      </c>
      <c r="I1752" s="5">
        <v>6660.113856</v>
      </c>
      <c r="J1752" s="6">
        <v>84.1986581006321</v>
      </c>
      <c r="K1752" s="4">
        <v>0</v>
      </c>
      <c r="L1752" s="7">
        <v>0.606021865764314</v>
      </c>
      <c r="M1752" s="3">
        <v>167.04</v>
      </c>
      <c r="N1752" s="3">
        <v>75.22</v>
      </c>
    </row>
    <row r="1753" spans="1:14">
      <c r="A1753" s="8" t="s">
        <v>1765</v>
      </c>
      <c r="B1753" s="2">
        <f>HYPERLINK("https://www.suredividend.com/sure-analysis-research-database/","Mattel, Inc.")</f>
        <v>0</v>
      </c>
      <c r="C1753" s="1" t="s">
        <v>3182</v>
      </c>
      <c r="D1753" s="3">
        <v>17.61</v>
      </c>
      <c r="E1753" s="4">
        <v>0</v>
      </c>
      <c r="F1753" s="4" t="s">
        <v>3178</v>
      </c>
      <c r="G1753" s="4" t="s">
        <v>3178</v>
      </c>
      <c r="H1753" s="3">
        <v>0</v>
      </c>
      <c r="I1753" s="5">
        <v>6059.601</v>
      </c>
      <c r="J1753" s="6">
        <v>20.71361035338516</v>
      </c>
      <c r="K1753" s="4">
        <v>0</v>
      </c>
      <c r="L1753" s="7">
        <v>0.9197965996679951</v>
      </c>
      <c r="M1753" s="3">
        <v>22.64</v>
      </c>
      <c r="N1753" s="3">
        <v>16.2</v>
      </c>
    </row>
    <row r="1754" spans="1:14">
      <c r="A1754" s="8" t="s">
        <v>1766</v>
      </c>
      <c r="B1754" s="2">
        <f>HYPERLINK("https://www.suredividend.com/sure-analysis-MATW/","Matthews International Corp.")</f>
        <v>0</v>
      </c>
      <c r="C1754" s="1" t="s">
        <v>3179</v>
      </c>
      <c r="D1754" s="3">
        <v>27.44</v>
      </c>
      <c r="E1754" s="4">
        <v>0.03498542274052478</v>
      </c>
      <c r="F1754" s="4">
        <v>0.04347826086956519</v>
      </c>
      <c r="G1754" s="4">
        <v>0.03713728933664817</v>
      </c>
      <c r="H1754" s="3">
        <v>0.9278137735828921</v>
      </c>
      <c r="I1754" s="5">
        <v>842.678531</v>
      </c>
      <c r="J1754" s="6">
        <v>25.39335636462257</v>
      </c>
      <c r="K1754" s="4">
        <v>0.8752960128140491</v>
      </c>
      <c r="L1754" s="7">
        <v>1.141091477122653</v>
      </c>
      <c r="M1754" s="3">
        <v>46.19</v>
      </c>
      <c r="N1754" s="3">
        <v>24.97</v>
      </c>
    </row>
    <row r="1755" spans="1:14">
      <c r="A1755" s="8" t="s">
        <v>1767</v>
      </c>
      <c r="B1755" s="2">
        <f>HYPERLINK("https://www.suredividend.com/sure-analysis-research-database/","Matson Inc")</f>
        <v>0</v>
      </c>
      <c r="C1755" s="1" t="s">
        <v>3179</v>
      </c>
      <c r="D1755" s="3">
        <v>121.89</v>
      </c>
      <c r="E1755" s="4">
        <v>0.010454812345414</v>
      </c>
      <c r="F1755" s="4">
        <v>0.032258064516129</v>
      </c>
      <c r="G1755" s="4">
        <v>0.07781806771272581</v>
      </c>
      <c r="H1755" s="3">
        <v>1.274337076782552</v>
      </c>
      <c r="I1755" s="5">
        <v>4258.212523</v>
      </c>
      <c r="J1755" s="6">
        <v>14.23199372727273</v>
      </c>
      <c r="K1755" s="4">
        <v>0.1502755986771877</v>
      </c>
      <c r="L1755" s="7">
        <v>1.013661550434367</v>
      </c>
      <c r="M1755" s="3">
        <v>129.46</v>
      </c>
      <c r="N1755" s="3">
        <v>71.29000000000001</v>
      </c>
    </row>
    <row r="1756" spans="1:14">
      <c r="A1756" s="8" t="s">
        <v>1768</v>
      </c>
      <c r="B1756" s="2">
        <f>HYPERLINK("https://www.suredividend.com/sure-analysis-research-database/","J.W. Mays Inc.")</f>
        <v>0</v>
      </c>
      <c r="C1756" s="1" t="s">
        <v>3183</v>
      </c>
      <c r="D1756" s="3">
        <v>43.54</v>
      </c>
      <c r="E1756" s="4">
        <v>0</v>
      </c>
      <c r="F1756" s="4" t="s">
        <v>3178</v>
      </c>
      <c r="G1756" s="4" t="s">
        <v>3178</v>
      </c>
      <c r="H1756" s="3">
        <v>0</v>
      </c>
      <c r="I1756" s="5">
        <v>87.182485</v>
      </c>
      <c r="J1756" s="6">
        <v>0</v>
      </c>
      <c r="K1756" s="4" t="s">
        <v>3178</v>
      </c>
      <c r="M1756" s="3">
        <v>56.12</v>
      </c>
      <c r="N1756" s="3">
        <v>42.01</v>
      </c>
    </row>
    <row r="1757" spans="1:14">
      <c r="A1757" s="8" t="s">
        <v>1769</v>
      </c>
      <c r="B1757" s="2">
        <f>HYPERLINK("https://www.suredividend.com/sure-analysis-research-database/","Middlefield Banc Corp.")</f>
        <v>0</v>
      </c>
      <c r="C1757" s="1" t="s">
        <v>3180</v>
      </c>
      <c r="D1757" s="3">
        <v>20.76</v>
      </c>
      <c r="E1757" s="4">
        <v>0.037619441404461</v>
      </c>
      <c r="F1757" s="4">
        <v>0</v>
      </c>
      <c r="G1757" s="4">
        <v>0.05922384104881218</v>
      </c>
      <c r="H1757" s="3">
        <v>0.7809796035566271</v>
      </c>
      <c r="I1757" s="5">
        <v>167.473909</v>
      </c>
      <c r="J1757" s="6">
        <v>0</v>
      </c>
      <c r="K1757" s="4" t="s">
        <v>3178</v>
      </c>
      <c r="L1757" s="7">
        <v>1.248038904304449</v>
      </c>
      <c r="M1757" s="3">
        <v>35.73</v>
      </c>
      <c r="N1757" s="3">
        <v>20.61</v>
      </c>
    </row>
    <row r="1758" spans="1:14">
      <c r="A1758" s="8" t="s">
        <v>1770</v>
      </c>
      <c r="B1758" s="2">
        <f>HYPERLINK("https://www.suredividend.com/sure-analysis-research-database/","MBIA Inc.")</f>
        <v>0</v>
      </c>
      <c r="C1758" s="1" t="s">
        <v>3180</v>
      </c>
      <c r="D1758" s="3">
        <v>5.4</v>
      </c>
      <c r="E1758" s="4">
        <v>0</v>
      </c>
      <c r="F1758" s="4" t="s">
        <v>3178</v>
      </c>
      <c r="G1758" s="4" t="s">
        <v>3178</v>
      </c>
      <c r="H1758" s="3">
        <v>0</v>
      </c>
      <c r="I1758" s="5">
        <v>276.893257</v>
      </c>
      <c r="J1758" s="6" t="s">
        <v>3178</v>
      </c>
      <c r="K1758" s="4">
        <v>-0</v>
      </c>
      <c r="L1758" s="7">
        <v>1.025829930365356</v>
      </c>
      <c r="M1758" s="3">
        <v>7.33</v>
      </c>
      <c r="N1758" s="3">
        <v>2.65</v>
      </c>
    </row>
    <row r="1759" spans="1:14">
      <c r="A1759" s="8" t="s">
        <v>1771</v>
      </c>
      <c r="B1759" s="2">
        <f>HYPERLINK("https://www.suredividend.com/sure-analysis-research-database/","Pro Farm Group Inc")</f>
        <v>0</v>
      </c>
      <c r="C1759" s="1" t="s">
        <v>3177</v>
      </c>
      <c r="D1759" s="3">
        <v>0.7981</v>
      </c>
      <c r="E1759" s="4">
        <v>0</v>
      </c>
      <c r="F1759" s="4" t="s">
        <v>3178</v>
      </c>
      <c r="G1759" s="4" t="s">
        <v>3178</v>
      </c>
      <c r="H1759" s="3">
        <v>0</v>
      </c>
      <c r="I1759" s="5">
        <v>0</v>
      </c>
      <c r="J1759" s="6">
        <v>0</v>
      </c>
      <c r="K1759" s="4" t="s">
        <v>3178</v>
      </c>
    </row>
    <row r="1760" spans="1:14">
      <c r="A1760" s="8" t="s">
        <v>1772</v>
      </c>
      <c r="B1760" s="2">
        <f>HYPERLINK("https://www.suredividend.com/sure-analysis-research-database/","Merchants Bancorp")</f>
        <v>0</v>
      </c>
      <c r="C1760" s="1" t="s">
        <v>3180</v>
      </c>
      <c r="D1760" s="3">
        <v>40.17</v>
      </c>
      <c r="E1760" s="4">
        <v>0.008161903031902</v>
      </c>
      <c r="F1760" s="4">
        <v>0.125</v>
      </c>
      <c r="G1760" s="4">
        <v>0.05154749679728043</v>
      </c>
      <c r="H1760" s="3">
        <v>0.327863644791512</v>
      </c>
      <c r="I1760" s="5">
        <v>1741.559022</v>
      </c>
      <c r="J1760" s="6">
        <v>7.121076781783092</v>
      </c>
      <c r="K1760" s="4">
        <v>0.05813185191338866</v>
      </c>
      <c r="L1760" s="7">
        <v>1.118349314794248</v>
      </c>
      <c r="M1760" s="3">
        <v>48.63</v>
      </c>
      <c r="N1760" s="3">
        <v>24.12</v>
      </c>
    </row>
    <row r="1761" spans="1:14">
      <c r="A1761" s="8" t="s">
        <v>1773</v>
      </c>
      <c r="B1761" s="2">
        <f>HYPERLINK("https://www.suredividend.com/sure-analysis-research-database/","Mustang Bio Inc")</f>
        <v>0</v>
      </c>
      <c r="C1761" s="1" t="s">
        <v>3176</v>
      </c>
      <c r="D1761" s="3">
        <v>0.1485</v>
      </c>
      <c r="E1761" s="4">
        <v>0</v>
      </c>
      <c r="F1761" s="4" t="s">
        <v>3178</v>
      </c>
      <c r="G1761" s="4" t="s">
        <v>3178</v>
      </c>
      <c r="H1761" s="3">
        <v>0</v>
      </c>
      <c r="I1761" s="5">
        <v>4.067459</v>
      </c>
      <c r="J1761" s="6">
        <v>0</v>
      </c>
      <c r="K1761" s="4" t="s">
        <v>3178</v>
      </c>
      <c r="L1761" s="7">
        <v>1.904831716427299</v>
      </c>
      <c r="M1761" s="3">
        <v>8.17</v>
      </c>
      <c r="N1761" s="3">
        <v>0.1405</v>
      </c>
    </row>
    <row r="1762" spans="1:14">
      <c r="A1762" s="8" t="s">
        <v>1774</v>
      </c>
      <c r="B1762" s="2">
        <f>HYPERLINK("https://www.suredividend.com/sure-analysis-research-database/","Microbot Medical Inc")</f>
        <v>0</v>
      </c>
      <c r="C1762" s="1" t="s">
        <v>3176</v>
      </c>
      <c r="D1762" s="3">
        <v>1.08</v>
      </c>
      <c r="E1762" s="4">
        <v>0</v>
      </c>
      <c r="F1762" s="4" t="s">
        <v>3178</v>
      </c>
      <c r="G1762" s="4" t="s">
        <v>3178</v>
      </c>
      <c r="H1762" s="3">
        <v>0</v>
      </c>
      <c r="I1762" s="5">
        <v>15.550881</v>
      </c>
      <c r="J1762" s="6">
        <v>0</v>
      </c>
      <c r="K1762" s="4" t="s">
        <v>3178</v>
      </c>
      <c r="L1762" s="7">
        <v>1.594405966260583</v>
      </c>
      <c r="M1762" s="3">
        <v>3.66</v>
      </c>
      <c r="N1762" s="3">
        <v>0.8601000000000001</v>
      </c>
    </row>
    <row r="1763" spans="1:14">
      <c r="A1763" s="8" t="s">
        <v>1775</v>
      </c>
      <c r="B1763" s="2">
        <f>HYPERLINK("https://www.suredividend.com/sure-analysis-research-database/","Malibu Boats Inc")</f>
        <v>0</v>
      </c>
      <c r="C1763" s="1" t="s">
        <v>3182</v>
      </c>
      <c r="D1763" s="3">
        <v>36.69</v>
      </c>
      <c r="E1763" s="4">
        <v>0</v>
      </c>
      <c r="F1763" s="4" t="s">
        <v>3178</v>
      </c>
      <c r="G1763" s="4" t="s">
        <v>3178</v>
      </c>
      <c r="H1763" s="3">
        <v>0</v>
      </c>
      <c r="I1763" s="5">
        <v>749.928814</v>
      </c>
      <c r="J1763" s="6" t="s">
        <v>3178</v>
      </c>
      <c r="K1763" s="4">
        <v>-0</v>
      </c>
      <c r="L1763" s="7">
        <v>1.501465057522581</v>
      </c>
      <c r="M1763" s="3">
        <v>62.36</v>
      </c>
      <c r="N1763" s="3">
        <v>31.47</v>
      </c>
    </row>
    <row r="1764" spans="1:14">
      <c r="A1764" s="8" t="s">
        <v>1776</v>
      </c>
      <c r="B1764" s="2">
        <f>HYPERLINK("https://www.suredividend.com/sure-analysis-research-database/","Mercantile Bank Corp.")</f>
        <v>0</v>
      </c>
      <c r="C1764" s="1" t="s">
        <v>3180</v>
      </c>
      <c r="D1764" s="3">
        <v>36.4</v>
      </c>
      <c r="E1764" s="4">
        <v>0.036863610860102</v>
      </c>
      <c r="F1764" s="4" t="s">
        <v>3178</v>
      </c>
      <c r="G1764" s="4" t="s">
        <v>3178</v>
      </c>
      <c r="H1764" s="3">
        <v>1.341835435307731</v>
      </c>
      <c r="I1764" s="5">
        <v>586.7955909999999</v>
      </c>
      <c r="J1764" s="6">
        <v>7.086475348106998</v>
      </c>
      <c r="K1764" s="4">
        <v>0.2600456269976223</v>
      </c>
      <c r="L1764" s="7">
        <v>1.017743615796266</v>
      </c>
      <c r="M1764" s="3">
        <v>41.22</v>
      </c>
      <c r="N1764" s="3">
        <v>24.93</v>
      </c>
    </row>
    <row r="1765" spans="1:14">
      <c r="A1765" s="8" t="s">
        <v>1777</v>
      </c>
      <c r="B1765" s="2">
        <f>HYPERLINK("https://www.suredividend.com/sure-analysis-research-database/","Moelis &amp; Co")</f>
        <v>0</v>
      </c>
      <c r="C1765" s="1" t="s">
        <v>3180</v>
      </c>
      <c r="D1765" s="3">
        <v>54.1</v>
      </c>
      <c r="E1765" s="4">
        <v>0.043588169722117</v>
      </c>
      <c r="F1765" s="4">
        <v>0</v>
      </c>
      <c r="G1765" s="4">
        <v>0.1866488262354233</v>
      </c>
      <c r="H1765" s="3">
        <v>2.358119981966549</v>
      </c>
      <c r="I1765" s="5">
        <v>3806.186727</v>
      </c>
      <c r="J1765" s="6" t="s">
        <v>3178</v>
      </c>
      <c r="K1765" s="4" t="s">
        <v>3178</v>
      </c>
      <c r="L1765" s="7">
        <v>1.386721211087357</v>
      </c>
      <c r="M1765" s="3">
        <v>58.36</v>
      </c>
      <c r="N1765" s="3">
        <v>37.19</v>
      </c>
    </row>
    <row r="1766" spans="1:14">
      <c r="A1766" s="8" t="s">
        <v>1778</v>
      </c>
      <c r="B1766" s="2">
        <f>HYPERLINK("https://www.suredividend.com/sure-analysis-research-database/","Metropolitan Bank Holding Corp")</f>
        <v>0</v>
      </c>
      <c r="C1766" s="1" t="s">
        <v>3180</v>
      </c>
      <c r="D1766" s="3">
        <v>40</v>
      </c>
      <c r="E1766" s="4">
        <v>0</v>
      </c>
      <c r="F1766" s="4" t="s">
        <v>3178</v>
      </c>
      <c r="G1766" s="4" t="s">
        <v>3178</v>
      </c>
      <c r="H1766" s="3">
        <v>0</v>
      </c>
      <c r="I1766" s="5">
        <v>447.71744</v>
      </c>
      <c r="J1766" s="6">
        <v>6.546055120988377</v>
      </c>
      <c r="K1766" s="4">
        <v>0</v>
      </c>
      <c r="L1766" s="7">
        <v>1.593753659338547</v>
      </c>
      <c r="M1766" s="3">
        <v>57.15</v>
      </c>
      <c r="N1766" s="3">
        <v>30.2</v>
      </c>
    </row>
    <row r="1767" spans="1:14">
      <c r="A1767" s="8" t="s">
        <v>1779</v>
      </c>
      <c r="B1767" s="2">
        <f>HYPERLINK("https://www.suredividend.com/sure-analysis-research-database/","Macatawa Bank Corp.")</f>
        <v>0</v>
      </c>
      <c r="C1767" s="1" t="s">
        <v>3180</v>
      </c>
      <c r="D1767" s="3">
        <v>13.74</v>
      </c>
      <c r="E1767" s="4">
        <v>0.02491186204722</v>
      </c>
      <c r="F1767" s="4">
        <v>0.125</v>
      </c>
      <c r="G1767" s="4">
        <v>0.05154749679728043</v>
      </c>
      <c r="H1767" s="3">
        <v>0.342288984528814</v>
      </c>
      <c r="I1767" s="5">
        <v>472.127862</v>
      </c>
      <c r="J1767" s="6">
        <v>11.51166366469168</v>
      </c>
      <c r="K1767" s="4">
        <v>0.2852408204406783</v>
      </c>
      <c r="L1767" s="7">
        <v>0.5580801830988921</v>
      </c>
      <c r="M1767" s="3">
        <v>14.56</v>
      </c>
      <c r="N1767" s="3">
        <v>7.91</v>
      </c>
    </row>
    <row r="1768" spans="1:14">
      <c r="A1768" s="8" t="s">
        <v>1780</v>
      </c>
      <c r="B1768" s="2">
        <f>HYPERLINK("https://www.suredividend.com/sure-analysis-MCD/","McDonald`s Corp")</f>
        <v>0</v>
      </c>
      <c r="C1768" s="1" t="s">
        <v>3182</v>
      </c>
      <c r="D1768" s="3">
        <v>256.21</v>
      </c>
      <c r="E1768" s="4">
        <v>0.02607236251512431</v>
      </c>
      <c r="F1768" s="4">
        <v>0.09868421052631571</v>
      </c>
      <c r="G1768" s="4">
        <v>0.07560223601285232</v>
      </c>
      <c r="H1768" s="3">
        <v>6.471775065811355</v>
      </c>
      <c r="I1768" s="5">
        <v>184645.847084</v>
      </c>
      <c r="J1768" s="6">
        <v>21.4816877533314</v>
      </c>
      <c r="K1768" s="4">
        <v>0.5493866779126787</v>
      </c>
      <c r="L1768" s="7">
        <v>0.4677355411894381</v>
      </c>
      <c r="M1768" s="3">
        <v>298.74</v>
      </c>
      <c r="N1768" s="3">
        <v>241.32</v>
      </c>
    </row>
    <row r="1769" spans="1:14">
      <c r="A1769" s="8" t="s">
        <v>1781</v>
      </c>
      <c r="B1769" s="2">
        <f>HYPERLINK("https://www.suredividend.com/sure-analysis-research-database/","Contango Oil &amp; Gas Company")</f>
        <v>0</v>
      </c>
      <c r="C1769" s="1" t="s">
        <v>3185</v>
      </c>
      <c r="D1769" s="3">
        <v>3.22</v>
      </c>
      <c r="E1769" s="4">
        <v>0</v>
      </c>
      <c r="F1769" s="4" t="s">
        <v>3178</v>
      </c>
      <c r="G1769" s="4" t="s">
        <v>3178</v>
      </c>
      <c r="H1769" s="3">
        <v>0</v>
      </c>
      <c r="I1769" s="5">
        <v>648.310186</v>
      </c>
      <c r="J1769" s="6" t="s">
        <v>3178</v>
      </c>
      <c r="K1769" s="4">
        <v>-0</v>
      </c>
      <c r="L1769" s="7">
        <v>1.578888684368298</v>
      </c>
      <c r="M1769" s="3">
        <v>6.94</v>
      </c>
      <c r="N1769" s="3">
        <v>1.59</v>
      </c>
    </row>
    <row r="1770" spans="1:14">
      <c r="A1770" s="8" t="s">
        <v>1782</v>
      </c>
      <c r="B1770" s="2">
        <f>HYPERLINK("https://www.suredividend.com/sure-analysis-research-database/","MasterCraft Boat Holdings Inc")</f>
        <v>0</v>
      </c>
      <c r="C1770" s="1" t="s">
        <v>3182</v>
      </c>
      <c r="D1770" s="3">
        <v>20.64</v>
      </c>
      <c r="E1770" s="4">
        <v>0</v>
      </c>
      <c r="F1770" s="4" t="s">
        <v>3178</v>
      </c>
      <c r="G1770" s="4" t="s">
        <v>3178</v>
      </c>
      <c r="H1770" s="3">
        <v>0</v>
      </c>
      <c r="I1770" s="5">
        <v>350.488831</v>
      </c>
      <c r="J1770" s="6">
        <v>9.100769389281265</v>
      </c>
      <c r="K1770" s="4">
        <v>0</v>
      </c>
      <c r="L1770" s="7">
        <v>1.298349317499345</v>
      </c>
      <c r="M1770" s="3">
        <v>31.7</v>
      </c>
      <c r="N1770" s="3">
        <v>18.01</v>
      </c>
    </row>
    <row r="1771" spans="1:14">
      <c r="A1771" s="8" t="s">
        <v>1783</v>
      </c>
      <c r="B1771" s="2">
        <f>HYPERLINK("https://www.suredividend.com/sure-analysis-MCHP/","Microchip Technology, Inc.")</f>
        <v>0</v>
      </c>
      <c r="C1771" s="1" t="s">
        <v>3181</v>
      </c>
      <c r="D1771" s="3">
        <v>92.84999999999999</v>
      </c>
      <c r="E1771" s="4">
        <v>0.01949380721593969</v>
      </c>
      <c r="F1771" s="4">
        <v>0.1801566579634464</v>
      </c>
      <c r="G1771" s="4">
        <v>0.04311326892805201</v>
      </c>
      <c r="H1771" s="3">
        <v>1.730144718185888</v>
      </c>
      <c r="I1771" s="5">
        <v>49849.864729</v>
      </c>
      <c r="J1771" s="6">
        <v>26.14183477298232</v>
      </c>
      <c r="K1771" s="4">
        <v>0.4971680224672093</v>
      </c>
      <c r="L1771" s="7">
        <v>1.805024363576654</v>
      </c>
      <c r="M1771" s="3">
        <v>100.57</v>
      </c>
      <c r="N1771" s="3">
        <v>67.04000000000001</v>
      </c>
    </row>
    <row r="1772" spans="1:14">
      <c r="A1772" s="8" t="s">
        <v>1784</v>
      </c>
      <c r="B1772" s="2">
        <f>HYPERLINK("https://www.suredividend.com/sure-analysis-research-database/","Marchex Inc")</f>
        <v>0</v>
      </c>
      <c r="C1772" s="1" t="s">
        <v>3187</v>
      </c>
      <c r="D1772" s="3">
        <v>1.635</v>
      </c>
      <c r="E1772" s="4">
        <v>0</v>
      </c>
      <c r="F1772" s="4" t="s">
        <v>3178</v>
      </c>
      <c r="G1772" s="4" t="s">
        <v>3178</v>
      </c>
      <c r="H1772" s="3">
        <v>0</v>
      </c>
      <c r="I1772" s="5">
        <v>63.793887</v>
      </c>
      <c r="J1772" s="6" t="s">
        <v>3178</v>
      </c>
      <c r="K1772" s="4">
        <v>-0</v>
      </c>
      <c r="L1772" s="7">
        <v>1.039953654981183</v>
      </c>
      <c r="M1772" s="3">
        <v>2.2</v>
      </c>
      <c r="N1772" s="3">
        <v>1.11</v>
      </c>
    </row>
    <row r="1773" spans="1:14">
      <c r="A1773" s="8" t="s">
        <v>1785</v>
      </c>
      <c r="B1773" s="2">
        <f>HYPERLINK("https://www.suredividend.com/sure-analysis-MCK/","Mckesson Corporation")</f>
        <v>0</v>
      </c>
      <c r="C1773" s="1" t="s">
        <v>3176</v>
      </c>
      <c r="D1773" s="3">
        <v>586.9</v>
      </c>
      <c r="E1773" s="4">
        <v>0.004225592094053501</v>
      </c>
      <c r="F1773" s="4">
        <v>0.1481481481481481</v>
      </c>
      <c r="G1773" s="4">
        <v>0.08622943321399479</v>
      </c>
      <c r="H1773" s="3">
        <v>2.476508946547977</v>
      </c>
      <c r="I1773" s="5">
        <v>76288.498167</v>
      </c>
      <c r="J1773" s="6">
        <v>25.41255768374417</v>
      </c>
      <c r="K1773" s="4">
        <v>0.1106078136019641</v>
      </c>
      <c r="L1773" s="7">
        <v>-0.002933676283051</v>
      </c>
      <c r="M1773" s="3">
        <v>591.8</v>
      </c>
      <c r="N1773" s="3">
        <v>388.02</v>
      </c>
    </row>
    <row r="1774" spans="1:14">
      <c r="A1774" s="8" t="s">
        <v>1786</v>
      </c>
      <c r="B1774" s="2">
        <f>HYPERLINK("https://www.suredividend.com/sure-analysis-MCO/","Moody`s Corp.")</f>
        <v>0</v>
      </c>
      <c r="C1774" s="1" t="s">
        <v>3180</v>
      </c>
      <c r="D1774" s="3">
        <v>403.7</v>
      </c>
      <c r="E1774" s="4">
        <v>0.008422095615556105</v>
      </c>
      <c r="F1774" s="4">
        <v>0.1038961038961039</v>
      </c>
      <c r="G1774" s="4">
        <v>0.1119615859385787</v>
      </c>
      <c r="H1774" s="3">
        <v>3.229945882422944</v>
      </c>
      <c r="I1774" s="5">
        <v>73715.62</v>
      </c>
      <c r="J1774" s="6">
        <v>43.77412114014252</v>
      </c>
      <c r="K1774" s="4">
        <v>0.3526141793038148</v>
      </c>
      <c r="L1774" s="7">
        <v>1.141444211463457</v>
      </c>
      <c r="M1774" s="3">
        <v>417.75</v>
      </c>
      <c r="N1774" s="3">
        <v>296.94</v>
      </c>
    </row>
    <row r="1775" spans="1:14">
      <c r="A1775" s="8" t="s">
        <v>1787</v>
      </c>
      <c r="B1775" s="2">
        <f>HYPERLINK("https://www.suredividend.com/sure-analysis-research-database/","Seres Therapeutics Inc")</f>
        <v>0</v>
      </c>
      <c r="C1775" s="1" t="s">
        <v>3176</v>
      </c>
      <c r="D1775" s="3">
        <v>0.614</v>
      </c>
      <c r="E1775" s="4">
        <v>0</v>
      </c>
      <c r="F1775" s="4" t="s">
        <v>3178</v>
      </c>
      <c r="G1775" s="4" t="s">
        <v>3178</v>
      </c>
      <c r="H1775" s="3">
        <v>0</v>
      </c>
      <c r="I1775" s="5">
        <v>92.98892600000001</v>
      </c>
      <c r="J1775" s="6" t="s">
        <v>3178</v>
      </c>
      <c r="K1775" s="4">
        <v>-0</v>
      </c>
      <c r="L1775" s="7">
        <v>1.531032205677903</v>
      </c>
      <c r="M1775" s="3">
        <v>6.26</v>
      </c>
      <c r="N1775" s="3">
        <v>0.54</v>
      </c>
    </row>
    <row r="1776" spans="1:14">
      <c r="A1776" s="8" t="s">
        <v>1788</v>
      </c>
      <c r="B1776" s="2">
        <f>HYPERLINK("https://www.suredividend.com/sure-analysis-research-database/","Monarch Casino &amp; Resort, Inc.")</f>
        <v>0</v>
      </c>
      <c r="C1776" s="1" t="s">
        <v>3182</v>
      </c>
      <c r="D1776" s="3">
        <v>67.01000000000001</v>
      </c>
      <c r="E1776" s="4">
        <v>0.017668421878902</v>
      </c>
      <c r="F1776" s="4" t="s">
        <v>3178</v>
      </c>
      <c r="G1776" s="4" t="s">
        <v>3178</v>
      </c>
      <c r="H1776" s="3">
        <v>1.183960950105252</v>
      </c>
      <c r="I1776" s="5">
        <v>1255.461834</v>
      </c>
      <c r="J1776" s="6">
        <v>15.11639356073832</v>
      </c>
      <c r="K1776" s="4">
        <v>0.2798962056986411</v>
      </c>
      <c r="L1776" s="7">
        <v>0.7686221250777501</v>
      </c>
      <c r="M1776" s="3">
        <v>74.72</v>
      </c>
      <c r="N1776" s="3">
        <v>54.74</v>
      </c>
    </row>
    <row r="1777" spans="1:14">
      <c r="A1777" s="8" t="s">
        <v>1789</v>
      </c>
      <c r="B1777" s="2">
        <f>HYPERLINK("https://www.suredividend.com/sure-analysis-research-database/","Marcus Corp.")</f>
        <v>0</v>
      </c>
      <c r="C1777" s="1" t="s">
        <v>3187</v>
      </c>
      <c r="D1777" s="3">
        <v>10.4</v>
      </c>
      <c r="E1777" s="4">
        <v>0.020095792813692</v>
      </c>
      <c r="F1777" s="4" t="s">
        <v>3178</v>
      </c>
      <c r="G1777" s="4" t="s">
        <v>3178</v>
      </c>
      <c r="H1777" s="3">
        <v>0.208996245262398</v>
      </c>
      <c r="I1777" s="5">
        <v>261.771983</v>
      </c>
      <c r="J1777" s="6">
        <v>21.1208635791512</v>
      </c>
      <c r="K1777" s="4">
        <v>0.6924991559390259</v>
      </c>
      <c r="L1777" s="7">
        <v>0.369686401930498</v>
      </c>
      <c r="M1777" s="3">
        <v>16.52</v>
      </c>
      <c r="N1777" s="3">
        <v>10.14</v>
      </c>
    </row>
    <row r="1778" spans="1:14">
      <c r="A1778" s="8" t="s">
        <v>1790</v>
      </c>
      <c r="B1778" s="2">
        <f>HYPERLINK("https://www.suredividend.com/sure-analysis-MCY/","Mercury General Corp.")</f>
        <v>0</v>
      </c>
      <c r="C1778" s="1" t="s">
        <v>3180</v>
      </c>
      <c r="D1778" s="3">
        <v>54.86</v>
      </c>
      <c r="E1778" s="4">
        <v>0.02314983594604448</v>
      </c>
      <c r="F1778" s="4">
        <v>0</v>
      </c>
      <c r="G1778" s="4">
        <v>-0.1273783175769999</v>
      </c>
      <c r="H1778" s="3">
        <v>1.255198763888316</v>
      </c>
      <c r="I1778" s="5">
        <v>3037.660027</v>
      </c>
      <c r="J1778" s="6">
        <v>14.12300208855992</v>
      </c>
      <c r="K1778" s="4">
        <v>0.3235048360536897</v>
      </c>
      <c r="L1778" s="7">
        <v>0.696264792758681</v>
      </c>
      <c r="M1778" s="3">
        <v>59.89</v>
      </c>
      <c r="N1778" s="3">
        <v>26.78</v>
      </c>
    </row>
    <row r="1779" spans="1:14">
      <c r="A1779" s="8" t="s">
        <v>1791</v>
      </c>
      <c r="B1779" s="2">
        <f>HYPERLINK("https://www.suredividend.com/sure-analysis-research-database/","Pediatrix Medical Group Inc")</f>
        <v>0</v>
      </c>
      <c r="C1779" s="1" t="s">
        <v>3176</v>
      </c>
      <c r="D1779" s="3">
        <v>7.12</v>
      </c>
      <c r="E1779" s="4">
        <v>0</v>
      </c>
      <c r="F1779" s="4" t="s">
        <v>3178</v>
      </c>
      <c r="G1779" s="4" t="s">
        <v>3178</v>
      </c>
      <c r="H1779" s="3">
        <v>0</v>
      </c>
      <c r="I1779" s="5">
        <v>599.128235</v>
      </c>
      <c r="J1779" s="6" t="s">
        <v>3178</v>
      </c>
      <c r="K1779" s="4">
        <v>-0</v>
      </c>
      <c r="L1779" s="7">
        <v>0.543594623557288</v>
      </c>
      <c r="M1779" s="3">
        <v>15.02</v>
      </c>
      <c r="N1779" s="3">
        <v>6.89</v>
      </c>
    </row>
    <row r="1780" spans="1:14">
      <c r="A1780" s="8" t="s">
        <v>1792</v>
      </c>
      <c r="B1780" s="2">
        <f>HYPERLINK("https://www.suredividend.com/sure-analysis-research-database/","MongoDB Inc")</f>
        <v>0</v>
      </c>
      <c r="C1780" s="1" t="s">
        <v>3181</v>
      </c>
      <c r="D1780" s="3">
        <v>227.02</v>
      </c>
      <c r="E1780" s="4">
        <v>0</v>
      </c>
      <c r="F1780" s="4" t="s">
        <v>3178</v>
      </c>
      <c r="G1780" s="4" t="s">
        <v>3178</v>
      </c>
      <c r="H1780" s="3">
        <v>0</v>
      </c>
      <c r="I1780" s="5">
        <v>16652.074779</v>
      </c>
      <c r="J1780" s="6" t="s">
        <v>3178</v>
      </c>
      <c r="K1780" s="4">
        <v>-0</v>
      </c>
      <c r="L1780" s="7">
        <v>2.112803114669126</v>
      </c>
      <c r="M1780" s="3">
        <v>509.62</v>
      </c>
      <c r="N1780" s="3">
        <v>222.78</v>
      </c>
    </row>
    <row r="1781" spans="1:14">
      <c r="A1781" s="8" t="s">
        <v>1793</v>
      </c>
      <c r="B1781" s="2">
        <f>HYPERLINK("https://www.suredividend.com/sure-analysis-MDC/","M.D.C. Holdings, Inc.")</f>
        <v>0</v>
      </c>
      <c r="C1781" s="1" t="s">
        <v>3182</v>
      </c>
      <c r="D1781" s="3">
        <v>62.98</v>
      </c>
      <c r="E1781" s="4">
        <v>0.03493172435693871</v>
      </c>
      <c r="F1781" s="4">
        <v>0.1000000000000001</v>
      </c>
      <c r="G1781" s="4">
        <v>0.1288813207301975</v>
      </c>
      <c r="H1781" s="3">
        <v>2.117318640272655</v>
      </c>
      <c r="I1781" s="5">
        <v>4726.504209</v>
      </c>
      <c r="J1781" s="6">
        <v>11.85309401209258</v>
      </c>
      <c r="K1781" s="4">
        <v>0.4002492703729026</v>
      </c>
      <c r="L1781" s="7">
        <v>1.331054119251645</v>
      </c>
      <c r="M1781" s="3">
        <v>62.99</v>
      </c>
      <c r="N1781" s="3">
        <v>35.68</v>
      </c>
    </row>
    <row r="1782" spans="1:14">
      <c r="A1782" s="8" t="s">
        <v>1794</v>
      </c>
      <c r="B1782" s="2">
        <f>HYPERLINK("https://www.suredividend.com/sure-analysis-research-database/","Madrigal Pharmaceuticals Inc")</f>
        <v>0</v>
      </c>
      <c r="C1782" s="1" t="s">
        <v>3176</v>
      </c>
      <c r="D1782" s="3">
        <v>244.34</v>
      </c>
      <c r="E1782" s="4">
        <v>0</v>
      </c>
      <c r="F1782" s="4" t="s">
        <v>3178</v>
      </c>
      <c r="G1782" s="4" t="s">
        <v>3178</v>
      </c>
      <c r="H1782" s="3">
        <v>0</v>
      </c>
      <c r="I1782" s="5">
        <v>5207.258263</v>
      </c>
      <c r="J1782" s="6">
        <v>0</v>
      </c>
      <c r="K1782" s="4" t="s">
        <v>3178</v>
      </c>
      <c r="L1782" s="7">
        <v>1.123225673921154</v>
      </c>
      <c r="M1782" s="3">
        <v>299.98</v>
      </c>
      <c r="N1782" s="3">
        <v>119.76</v>
      </c>
    </row>
    <row r="1783" spans="1:14">
      <c r="A1783" s="8" t="s">
        <v>1795</v>
      </c>
      <c r="B1783" s="2">
        <f>HYPERLINK("https://www.suredividend.com/sure-analysis-research-database/","Medley Management Inc")</f>
        <v>0</v>
      </c>
      <c r="C1783" s="1" t="s">
        <v>3180</v>
      </c>
      <c r="D1783" s="3">
        <v>5.88</v>
      </c>
      <c r="E1783" s="4">
        <v>0</v>
      </c>
      <c r="F1783" s="4" t="s">
        <v>3178</v>
      </c>
      <c r="G1783" s="4" t="s">
        <v>3178</v>
      </c>
      <c r="H1783" s="3">
        <v>0</v>
      </c>
      <c r="I1783" s="5">
        <v>18.003731</v>
      </c>
      <c r="J1783" s="6">
        <v>0</v>
      </c>
      <c r="K1783" s="4" t="s">
        <v>3178</v>
      </c>
    </row>
    <row r="1784" spans="1:14">
      <c r="A1784" s="8" t="s">
        <v>1796</v>
      </c>
      <c r="B1784" s="2">
        <f>HYPERLINK("https://www.suredividend.com/sure-analysis-MDLZ/","Mondelez International Inc.")</f>
        <v>0</v>
      </c>
      <c r="C1784" s="1" t="s">
        <v>3184</v>
      </c>
      <c r="D1784" s="3">
        <v>67.81</v>
      </c>
      <c r="E1784" s="4">
        <v>0.02507004866538859</v>
      </c>
      <c r="F1784" s="4">
        <v>0.1038961038961039</v>
      </c>
      <c r="G1784" s="4">
        <v>0.08320040571835507</v>
      </c>
      <c r="H1784" s="3">
        <v>1.633383423588929</v>
      </c>
      <c r="I1784" s="5">
        <v>90957.555011</v>
      </c>
      <c r="J1784" s="6">
        <v>21.20222727519348</v>
      </c>
      <c r="K1784" s="4">
        <v>0.5201858036907417</v>
      </c>
      <c r="L1784" s="7">
        <v>0.415947379694623</v>
      </c>
      <c r="M1784" s="3">
        <v>76.27</v>
      </c>
      <c r="N1784" s="3">
        <v>59.31</v>
      </c>
    </row>
    <row r="1785" spans="1:14">
      <c r="A1785" s="8" t="s">
        <v>1797</v>
      </c>
      <c r="B1785" s="2">
        <f>HYPERLINK("https://www.suredividend.com/sure-analysis-research-database/","Meredith Holdings Corp")</f>
        <v>0</v>
      </c>
      <c r="C1785" s="1" t="s">
        <v>3187</v>
      </c>
      <c r="E1785" s="4">
        <v>0</v>
      </c>
      <c r="F1785" s="4" t="s">
        <v>3178</v>
      </c>
      <c r="G1785" s="4" t="s">
        <v>3178</v>
      </c>
      <c r="H1785" s="3">
        <v>0</v>
      </c>
      <c r="I1785" s="5">
        <v>0</v>
      </c>
      <c r="J1785" s="6">
        <v>0</v>
      </c>
      <c r="K1785" s="4" t="s">
        <v>3178</v>
      </c>
    </row>
    <row r="1786" spans="1:14">
      <c r="A1786" s="8" t="s">
        <v>1798</v>
      </c>
      <c r="B1786" s="2">
        <f>HYPERLINK("https://www.suredividend.com/sure-analysis-research-database/","Veradigm Inc")</f>
        <v>0</v>
      </c>
      <c r="C1786" s="1" t="s">
        <v>3176</v>
      </c>
      <c r="D1786" s="3">
        <v>9.449999999999999</v>
      </c>
      <c r="E1786" s="4">
        <v>0</v>
      </c>
      <c r="F1786" s="4" t="s">
        <v>3178</v>
      </c>
      <c r="G1786" s="4" t="s">
        <v>3178</v>
      </c>
      <c r="H1786" s="3">
        <v>0</v>
      </c>
      <c r="I1786" s="5">
        <v>1595.091951</v>
      </c>
      <c r="J1786" s="6">
        <v>26.30688970791965</v>
      </c>
      <c r="K1786" s="4">
        <v>0</v>
      </c>
      <c r="M1786" s="3">
        <v>10</v>
      </c>
      <c r="N1786" s="3">
        <v>5.01</v>
      </c>
    </row>
    <row r="1787" spans="1:14">
      <c r="A1787" s="8" t="s">
        <v>1799</v>
      </c>
      <c r="B1787" s="2">
        <f>HYPERLINK("https://www.suredividend.com/sure-analysis-MDT/","Medtronic Plc")</f>
        <v>0</v>
      </c>
      <c r="C1787" s="1" t="s">
        <v>3176</v>
      </c>
      <c r="D1787" s="3">
        <v>84.06999999999999</v>
      </c>
      <c r="E1787" s="4">
        <v>0.03330557868442964</v>
      </c>
      <c r="F1787" s="4">
        <v>0.01470588235294112</v>
      </c>
      <c r="G1787" s="4">
        <v>0.05024607263868264</v>
      </c>
      <c r="H1787" s="3">
        <v>2.725887866274091</v>
      </c>
      <c r="I1787" s="5">
        <v>111630.040854</v>
      </c>
      <c r="J1787" s="6">
        <v>26.56593071245359</v>
      </c>
      <c r="K1787" s="4">
        <v>0.8653612273886003</v>
      </c>
      <c r="L1787" s="7">
        <v>0.6361736144632411</v>
      </c>
      <c r="M1787" s="3">
        <v>88.75</v>
      </c>
      <c r="N1787" s="3">
        <v>67.70999999999999</v>
      </c>
    </row>
    <row r="1788" spans="1:14">
      <c r="A1788" s="8" t="s">
        <v>1800</v>
      </c>
      <c r="B1788" s="2">
        <f>HYPERLINK("https://www.suredividend.com/sure-analysis-MDU/","MDU Resources Group Inc")</f>
        <v>0</v>
      </c>
      <c r="C1788" s="1" t="s">
        <v>3177</v>
      </c>
      <c r="D1788" s="3">
        <v>24.47</v>
      </c>
      <c r="E1788" s="4">
        <v>0.02043318348998774</v>
      </c>
      <c r="F1788" s="4">
        <v>-0.4382022471910112</v>
      </c>
      <c r="G1788" s="4">
        <v>-0.09197669085777971</v>
      </c>
      <c r="H1788" s="3">
        <v>0.591296738986491</v>
      </c>
      <c r="I1788" s="5">
        <v>4989.145159</v>
      </c>
      <c r="J1788" s="6">
        <v>10.45390099861289</v>
      </c>
      <c r="K1788" s="4">
        <v>0.2526909140967911</v>
      </c>
      <c r="L1788" s="7">
        <v>0.7939431138745181</v>
      </c>
      <c r="M1788" s="3">
        <v>25.99</v>
      </c>
      <c r="N1788" s="3">
        <v>17.83</v>
      </c>
    </row>
    <row r="1789" spans="1:14">
      <c r="A1789" s="8" t="s">
        <v>1801</v>
      </c>
      <c r="B1789" s="2">
        <f>HYPERLINK("https://www.suredividend.com/sure-analysis-research-database/","Medifast Inc")</f>
        <v>0</v>
      </c>
      <c r="C1789" s="1" t="s">
        <v>3182</v>
      </c>
      <c r="D1789" s="3">
        <v>21.46</v>
      </c>
      <c r="E1789" s="4">
        <v>0.152212137943768</v>
      </c>
      <c r="F1789" s="4" t="s">
        <v>3178</v>
      </c>
      <c r="G1789" s="4" t="s">
        <v>3178</v>
      </c>
      <c r="H1789" s="3">
        <v>3.26647248027327</v>
      </c>
      <c r="I1789" s="5">
        <v>234.713278</v>
      </c>
      <c r="J1789" s="6">
        <v>3.463737994185618</v>
      </c>
      <c r="K1789" s="4">
        <v>0.5268504000440758</v>
      </c>
      <c r="L1789" s="7">
        <v>0.9255745281505631</v>
      </c>
      <c r="M1789" s="3">
        <v>107.29</v>
      </c>
      <c r="N1789" s="3">
        <v>19.9</v>
      </c>
    </row>
    <row r="1790" spans="1:14">
      <c r="A1790" s="8" t="s">
        <v>1802</v>
      </c>
      <c r="B1790" s="2">
        <f>HYPERLINK("https://www.suredividend.com/sure-analysis-research-database/","Medpace Holdings Inc")</f>
        <v>0</v>
      </c>
      <c r="C1790" s="1" t="s">
        <v>3176</v>
      </c>
      <c r="D1790" s="3">
        <v>401.19</v>
      </c>
      <c r="E1790" s="4">
        <v>0</v>
      </c>
      <c r="F1790" s="4" t="s">
        <v>3178</v>
      </c>
      <c r="G1790" s="4" t="s">
        <v>3178</v>
      </c>
      <c r="H1790" s="3">
        <v>0</v>
      </c>
      <c r="I1790" s="5">
        <v>12430.229845</v>
      </c>
      <c r="J1790" s="6">
        <v>39.79966010761399</v>
      </c>
      <c r="K1790" s="4">
        <v>0</v>
      </c>
      <c r="L1790" s="7">
        <v>1.369141546049981</v>
      </c>
      <c r="M1790" s="3">
        <v>421</v>
      </c>
      <c r="N1790" s="3">
        <v>207.83</v>
      </c>
    </row>
    <row r="1791" spans="1:14">
      <c r="A1791" s="8" t="s">
        <v>1803</v>
      </c>
      <c r="B1791" s="2">
        <f>HYPERLINK("https://www.suredividend.com/sure-analysis-research-database/","Methode Electronics, Inc.")</f>
        <v>0</v>
      </c>
      <c r="C1791" s="1" t="s">
        <v>3181</v>
      </c>
      <c r="D1791" s="3">
        <v>11.32</v>
      </c>
      <c r="E1791" s="4">
        <v>0.048812559598536</v>
      </c>
      <c r="F1791" s="4">
        <v>0</v>
      </c>
      <c r="G1791" s="4">
        <v>0.04941452284458392</v>
      </c>
      <c r="H1791" s="3">
        <v>0.552558174655432</v>
      </c>
      <c r="I1791" s="5">
        <v>400.62046</v>
      </c>
      <c r="J1791" s="6" t="s">
        <v>3178</v>
      </c>
      <c r="K1791" s="4" t="s">
        <v>3178</v>
      </c>
      <c r="L1791" s="7">
        <v>1.107794358563441</v>
      </c>
      <c r="M1791" s="3">
        <v>44.14</v>
      </c>
      <c r="N1791" s="3">
        <v>10.52</v>
      </c>
    </row>
    <row r="1792" spans="1:14">
      <c r="A1792" s="8" t="s">
        <v>1804</v>
      </c>
      <c r="B1792" s="2">
        <f>HYPERLINK("https://www.suredividend.com/sure-analysis-research-database/","MEI Pharma Inc")</f>
        <v>0</v>
      </c>
      <c r="C1792" s="1" t="s">
        <v>3176</v>
      </c>
      <c r="D1792" s="3">
        <v>2.87</v>
      </c>
      <c r="E1792" s="4">
        <v>0</v>
      </c>
      <c r="F1792" s="4" t="s">
        <v>3178</v>
      </c>
      <c r="G1792" s="4" t="s">
        <v>3178</v>
      </c>
      <c r="H1792" s="3">
        <v>0</v>
      </c>
      <c r="I1792" s="5">
        <v>19.1224</v>
      </c>
      <c r="J1792" s="6">
        <v>0.7311183173389411</v>
      </c>
      <c r="K1792" s="4">
        <v>0</v>
      </c>
      <c r="L1792" s="7">
        <v>0.121549673184623</v>
      </c>
      <c r="M1792" s="3">
        <v>6.91</v>
      </c>
      <c r="N1792" s="3">
        <v>2.73</v>
      </c>
    </row>
    <row r="1793" spans="1:14">
      <c r="A1793" s="8" t="s">
        <v>1805</v>
      </c>
      <c r="B1793" s="2">
        <f>HYPERLINK("https://www.suredividend.com/sure-analysis-research-database/","Mercer International Inc.")</f>
        <v>0</v>
      </c>
      <c r="C1793" s="1" t="s">
        <v>3177</v>
      </c>
      <c r="D1793" s="3">
        <v>8.92</v>
      </c>
      <c r="E1793" s="4">
        <v>0.032838617954145</v>
      </c>
      <c r="F1793" s="4">
        <v>0</v>
      </c>
      <c r="G1793" s="4">
        <v>-0.1141672896552428</v>
      </c>
      <c r="H1793" s="3">
        <v>0.292920472150976</v>
      </c>
      <c r="I1793" s="5">
        <v>596.299502</v>
      </c>
      <c r="J1793" s="6" t="s">
        <v>3178</v>
      </c>
      <c r="K1793" s="4" t="s">
        <v>3178</v>
      </c>
      <c r="L1793" s="7">
        <v>1.140077264282283</v>
      </c>
      <c r="M1793" s="3">
        <v>11.2</v>
      </c>
      <c r="N1793" s="3">
        <v>6.9</v>
      </c>
    </row>
    <row r="1794" spans="1:14">
      <c r="A1794" s="8" t="s">
        <v>1806</v>
      </c>
      <c r="B1794" s="2">
        <f>HYPERLINK("https://www.suredividend.com/sure-analysis-research-database/","Mesa Air Group Inc.")</f>
        <v>0</v>
      </c>
      <c r="C1794" s="1" t="s">
        <v>3179</v>
      </c>
      <c r="D1794" s="3">
        <v>1.345</v>
      </c>
      <c r="E1794" s="4">
        <v>0</v>
      </c>
      <c r="F1794" s="4" t="s">
        <v>3178</v>
      </c>
      <c r="G1794" s="4" t="s">
        <v>3178</v>
      </c>
      <c r="H1794" s="3">
        <v>0</v>
      </c>
      <c r="I1794" s="5">
        <v>55.064738</v>
      </c>
      <c r="J1794" s="6">
        <v>0</v>
      </c>
      <c r="K1794" s="4" t="s">
        <v>3178</v>
      </c>
      <c r="L1794" s="7">
        <v>2.657190129189628</v>
      </c>
      <c r="M1794" s="3">
        <v>2.69</v>
      </c>
      <c r="N1794" s="3">
        <v>0.4</v>
      </c>
    </row>
    <row r="1795" spans="1:14">
      <c r="A1795" s="8" t="s">
        <v>1807</v>
      </c>
      <c r="B1795" s="2">
        <f>HYPERLINK("https://www.suredividend.com/sure-analysis-MET/","Metlife Inc")</f>
        <v>0</v>
      </c>
      <c r="C1795" s="1" t="s">
        <v>3180</v>
      </c>
      <c r="D1795" s="3">
        <v>70.05</v>
      </c>
      <c r="E1795" s="4">
        <v>0.03112062812276946</v>
      </c>
      <c r="F1795" s="4">
        <v>0.04807692307692313</v>
      </c>
      <c r="G1795" s="4">
        <v>0.04373143849837291</v>
      </c>
      <c r="H1795" s="3">
        <v>2.080373948924285</v>
      </c>
      <c r="I1795" s="5">
        <v>49814.194941</v>
      </c>
      <c r="J1795" s="6">
        <v>22.9982432781856</v>
      </c>
      <c r="K1795" s="4">
        <v>0.7198525774824516</v>
      </c>
      <c r="L1795" s="7">
        <v>0.6938151876847961</v>
      </c>
      <c r="M1795" s="3">
        <v>74.45</v>
      </c>
      <c r="N1795" s="3">
        <v>51.27</v>
      </c>
    </row>
    <row r="1796" spans="1:14">
      <c r="A1796" s="8" t="s">
        <v>1808</v>
      </c>
      <c r="B1796" s="2">
        <f>HYPERLINK("https://www.suredividend.com/sure-analysis-research-database/","MFA Financial Inc")</f>
        <v>0</v>
      </c>
      <c r="C1796" s="1" t="s">
        <v>3183</v>
      </c>
      <c r="D1796" s="3">
        <v>10.48</v>
      </c>
      <c r="E1796" s="4">
        <v>0.127470199589756</v>
      </c>
      <c r="F1796" s="4" t="s">
        <v>3178</v>
      </c>
      <c r="G1796" s="4" t="s">
        <v>3178</v>
      </c>
      <c r="H1796" s="3">
        <v>1.335887691700647</v>
      </c>
      <c r="I1796" s="5">
        <v>1069.82459</v>
      </c>
      <c r="J1796" s="6" t="s">
        <v>3178</v>
      </c>
      <c r="K1796" s="4" t="s">
        <v>3178</v>
      </c>
      <c r="L1796" s="7">
        <v>1.416561924238416</v>
      </c>
      <c r="M1796" s="3">
        <v>11.41</v>
      </c>
      <c r="N1796" s="3">
        <v>7.91</v>
      </c>
    </row>
    <row r="1797" spans="1:14">
      <c r="A1797" s="8" t="s">
        <v>1809</v>
      </c>
      <c r="B1797" s="2">
        <f>HYPERLINK("https://www.suredividend.com/sure-analysis-research-database/","Mackinac Financial Corp.")</f>
        <v>0</v>
      </c>
      <c r="C1797" s="1" t="s">
        <v>3180</v>
      </c>
      <c r="D1797" s="3">
        <v>21.5</v>
      </c>
      <c r="E1797" s="4">
        <v>0</v>
      </c>
      <c r="F1797" s="4" t="s">
        <v>3178</v>
      </c>
      <c r="G1797" s="4" t="s">
        <v>3178</v>
      </c>
      <c r="H1797" s="3">
        <v>0.552702955075539</v>
      </c>
      <c r="I1797" s="5">
        <v>0</v>
      </c>
      <c r="J1797" s="6">
        <v>0</v>
      </c>
      <c r="K1797" s="4" t="s">
        <v>3178</v>
      </c>
    </row>
    <row r="1798" spans="1:14">
      <c r="A1798" s="8" t="s">
        <v>1810</v>
      </c>
      <c r="B1798" s="2">
        <f>HYPERLINK("https://www.suredividend.com/sure-analysis-research-database/","Mistras Group Inc")</f>
        <v>0</v>
      </c>
      <c r="C1798" s="1" t="s">
        <v>3179</v>
      </c>
      <c r="D1798" s="3">
        <v>8.31</v>
      </c>
      <c r="E1798" s="4">
        <v>0</v>
      </c>
      <c r="F1798" s="4" t="s">
        <v>3178</v>
      </c>
      <c r="G1798" s="4" t="s">
        <v>3178</v>
      </c>
      <c r="H1798" s="3">
        <v>0</v>
      </c>
      <c r="I1798" s="5">
        <v>257.335546</v>
      </c>
      <c r="J1798" s="6" t="s">
        <v>3178</v>
      </c>
      <c r="K1798" s="4">
        <v>-0</v>
      </c>
      <c r="L1798" s="7">
        <v>0.8528366496166471</v>
      </c>
      <c r="M1798" s="3">
        <v>9.85</v>
      </c>
      <c r="N1798" s="3">
        <v>4.96</v>
      </c>
    </row>
    <row r="1799" spans="1:14">
      <c r="A1799" s="8" t="s">
        <v>1811</v>
      </c>
      <c r="B1799" s="2">
        <f>HYPERLINK("https://www.suredividend.com/sure-analysis-MGEE/","MGE Energy, Inc.")</f>
        <v>0</v>
      </c>
      <c r="C1799" s="1" t="s">
        <v>3186</v>
      </c>
      <c r="D1799" s="3">
        <v>76.95</v>
      </c>
      <c r="E1799" s="4">
        <v>0.02222222222222222</v>
      </c>
      <c r="F1799" s="4">
        <v>0.04907975460122693</v>
      </c>
      <c r="G1799" s="4">
        <v>0.03933463380769542</v>
      </c>
      <c r="H1799" s="3">
        <v>1.679778470328407</v>
      </c>
      <c r="I1799" s="5">
        <v>2783.734582</v>
      </c>
      <c r="J1799" s="6">
        <v>21.85206516681058</v>
      </c>
      <c r="K1799" s="4">
        <v>0.4772097927069338</v>
      </c>
      <c r="L1799" s="7">
        <v>0.446144331754154</v>
      </c>
      <c r="M1799" s="3">
        <v>81.61</v>
      </c>
      <c r="N1799" s="3">
        <v>60.59</v>
      </c>
    </row>
    <row r="1800" spans="1:14">
      <c r="A1800" s="8" t="s">
        <v>1812</v>
      </c>
      <c r="B1800" s="2">
        <f>HYPERLINK("https://www.suredividend.com/sure-analysis-research-database/","Moneygram International Inc.")</f>
        <v>0</v>
      </c>
      <c r="C1800" s="1" t="s">
        <v>3180</v>
      </c>
      <c r="D1800" s="3">
        <v>10.99</v>
      </c>
      <c r="E1800" s="4">
        <v>0</v>
      </c>
      <c r="F1800" s="4" t="s">
        <v>3178</v>
      </c>
      <c r="G1800" s="4" t="s">
        <v>3178</v>
      </c>
      <c r="H1800" s="3">
        <v>0</v>
      </c>
      <c r="I1800" s="5">
        <v>0</v>
      </c>
      <c r="J1800" s="6">
        <v>0</v>
      </c>
      <c r="K1800" s="4">
        <v>0</v>
      </c>
    </row>
    <row r="1801" spans="1:14">
      <c r="A1801" s="8" t="s">
        <v>1813</v>
      </c>
      <c r="B1801" s="2">
        <f>HYPERLINK("https://www.suredividend.com/sure-analysis-research-database/","Magellan Health Inc")</f>
        <v>0</v>
      </c>
      <c r="C1801" s="1" t="s">
        <v>3176</v>
      </c>
      <c r="D1801" s="3">
        <v>94.98999999999999</v>
      </c>
      <c r="E1801" s="4">
        <v>0</v>
      </c>
      <c r="F1801" s="4" t="s">
        <v>3178</v>
      </c>
      <c r="G1801" s="4" t="s">
        <v>3178</v>
      </c>
      <c r="H1801" s="3">
        <v>0</v>
      </c>
      <c r="I1801" s="5">
        <v>0</v>
      </c>
      <c r="J1801" s="6">
        <v>0</v>
      </c>
      <c r="K1801" s="4">
        <v>0</v>
      </c>
    </row>
    <row r="1802" spans="1:14">
      <c r="A1802" s="8" t="s">
        <v>1814</v>
      </c>
      <c r="B1802" s="2">
        <f>HYPERLINK("https://www.suredividend.com/sure-analysis-research-database/","MGM Resorts International")</f>
        <v>0</v>
      </c>
      <c r="C1802" s="1" t="s">
        <v>3182</v>
      </c>
      <c r="D1802" s="3">
        <v>40.69</v>
      </c>
      <c r="E1802" s="4">
        <v>0</v>
      </c>
      <c r="F1802" s="4" t="s">
        <v>3178</v>
      </c>
      <c r="G1802" s="4" t="s">
        <v>3178</v>
      </c>
      <c r="H1802" s="3">
        <v>0</v>
      </c>
      <c r="I1802" s="5">
        <v>12763.6569</v>
      </c>
      <c r="J1802" s="6">
        <v>14.28000812267219</v>
      </c>
      <c r="K1802" s="4">
        <v>0</v>
      </c>
      <c r="L1802" s="7">
        <v>1.514070943511237</v>
      </c>
      <c r="M1802" s="3">
        <v>51.35</v>
      </c>
      <c r="N1802" s="3">
        <v>34.12</v>
      </c>
    </row>
    <row r="1803" spans="1:14">
      <c r="A1803" s="8" t="s">
        <v>1815</v>
      </c>
      <c r="B1803" s="2">
        <f>HYPERLINK("https://www.suredividend.com/sure-analysis-research-database/","Macrogenics Inc")</f>
        <v>0</v>
      </c>
      <c r="C1803" s="1" t="s">
        <v>3176</v>
      </c>
      <c r="D1803" s="3">
        <v>4.53</v>
      </c>
      <c r="E1803" s="4">
        <v>0</v>
      </c>
      <c r="F1803" s="4" t="s">
        <v>3178</v>
      </c>
      <c r="G1803" s="4" t="s">
        <v>3178</v>
      </c>
      <c r="H1803" s="3">
        <v>0</v>
      </c>
      <c r="I1803" s="5">
        <v>283.729574</v>
      </c>
      <c r="J1803" s="6" t="s">
        <v>3178</v>
      </c>
      <c r="K1803" s="4">
        <v>-0</v>
      </c>
      <c r="M1803" s="3">
        <v>21.88</v>
      </c>
      <c r="N1803" s="3">
        <v>3.4</v>
      </c>
    </row>
    <row r="1804" spans="1:14">
      <c r="A1804" s="8" t="s">
        <v>1816</v>
      </c>
      <c r="B1804" s="2">
        <f>HYPERLINK("https://www.suredividend.com/sure-analysis-research-database/","MGP Ingredients, Inc.")</f>
        <v>0</v>
      </c>
      <c r="C1804" s="1" t="s">
        <v>3184</v>
      </c>
      <c r="D1804" s="3">
        <v>73.14</v>
      </c>
      <c r="E1804" s="4">
        <v>0.006534638559165</v>
      </c>
      <c r="F1804" s="4">
        <v>0</v>
      </c>
      <c r="G1804" s="4">
        <v>0.03713728933664817</v>
      </c>
      <c r="H1804" s="3">
        <v>0.477943464217386</v>
      </c>
      <c r="I1804" s="5">
        <v>1610.170517</v>
      </c>
      <c r="J1804" s="6">
        <v>16.76614760352781</v>
      </c>
      <c r="K1804" s="4">
        <v>0.1103795529370407</v>
      </c>
      <c r="L1804" s="7">
        <v>0.789905441022823</v>
      </c>
      <c r="M1804" s="3">
        <v>123.79</v>
      </c>
      <c r="N1804" s="3">
        <v>71.86</v>
      </c>
    </row>
    <row r="1805" spans="1:14">
      <c r="A1805" s="8" t="s">
        <v>1817</v>
      </c>
      <c r="B1805" s="2">
        <f>HYPERLINK("https://www.suredividend.com/sure-analysis-MGRC/","McGrath Rentcorp")</f>
        <v>0</v>
      </c>
      <c r="C1805" s="1" t="s">
        <v>3179</v>
      </c>
      <c r="D1805" s="3">
        <v>105.34</v>
      </c>
      <c r="E1805" s="4">
        <v>0.01803683311182836</v>
      </c>
      <c r="F1805" s="4">
        <v>0.021505376344086</v>
      </c>
      <c r="G1805" s="4">
        <v>0.04841317128472156</v>
      </c>
      <c r="H1805" s="3">
        <v>1.846602384111594</v>
      </c>
      <c r="I1805" s="5">
        <v>2585.964588</v>
      </c>
      <c r="J1805" s="6">
        <v>20.55419663958923</v>
      </c>
      <c r="K1805" s="4">
        <v>0.3599614783843263</v>
      </c>
      <c r="L1805" s="7">
        <v>0.6922377723423541</v>
      </c>
      <c r="M1805" s="3">
        <v>129.78</v>
      </c>
      <c r="N1805" s="3">
        <v>85.51000000000001</v>
      </c>
    </row>
    <row r="1806" spans="1:14">
      <c r="A1806" s="8" t="s">
        <v>1818</v>
      </c>
      <c r="B1806" s="2">
        <f>HYPERLINK("https://www.suredividend.com/sure-analysis-research-database/","Magnolia Oil &amp; Gas Corp")</f>
        <v>0</v>
      </c>
      <c r="C1806" s="1" t="s">
        <v>3185</v>
      </c>
      <c r="D1806" s="3">
        <v>24.25</v>
      </c>
      <c r="E1806" s="4">
        <v>0.02004829347762</v>
      </c>
      <c r="F1806" s="4" t="s">
        <v>3178</v>
      </c>
      <c r="G1806" s="4" t="s">
        <v>3178</v>
      </c>
      <c r="H1806" s="3">
        <v>0.486171116832298</v>
      </c>
      <c r="I1806" s="5">
        <v>4387.582837</v>
      </c>
      <c r="J1806" s="6">
        <v>11.77220400140056</v>
      </c>
      <c r="K1806" s="4">
        <v>0.243085558416149</v>
      </c>
      <c r="L1806" s="7">
        <v>0.660740790443315</v>
      </c>
      <c r="M1806" s="3">
        <v>27.2</v>
      </c>
      <c r="N1806" s="3">
        <v>18.83</v>
      </c>
    </row>
    <row r="1807" spans="1:14">
      <c r="A1807" s="8" t="s">
        <v>1819</v>
      </c>
      <c r="B1807" s="2">
        <f>HYPERLINK("https://www.suredividend.com/sure-analysis-research-database/","Magyar Bancorp Inc.")</f>
        <v>0</v>
      </c>
      <c r="C1807" s="1" t="s">
        <v>3180</v>
      </c>
      <c r="D1807" s="3">
        <v>10.98</v>
      </c>
      <c r="E1807" s="4">
        <v>0.015285055772327</v>
      </c>
      <c r="F1807" s="4" t="s">
        <v>3178</v>
      </c>
      <c r="G1807" s="4" t="s">
        <v>3178</v>
      </c>
      <c r="H1807" s="3">
        <v>0.167829912380154</v>
      </c>
      <c r="I1807" s="5">
        <v>72.400583</v>
      </c>
      <c r="J1807" s="6">
        <v>0</v>
      </c>
      <c r="K1807" s="4" t="s">
        <v>3178</v>
      </c>
      <c r="M1807" s="3">
        <v>11.89</v>
      </c>
      <c r="N1807" s="3">
        <v>8.76</v>
      </c>
    </row>
    <row r="1808" spans="1:14">
      <c r="A1808" s="8" t="s">
        <v>1820</v>
      </c>
      <c r="B1808" s="2">
        <f>HYPERLINK("https://www.suredividend.com/sure-analysis-research-database/","Mastech Digital Inc")</f>
        <v>0</v>
      </c>
      <c r="C1808" s="1" t="s">
        <v>3179</v>
      </c>
      <c r="D1808" s="3">
        <v>7.53</v>
      </c>
      <c r="E1808" s="4">
        <v>0</v>
      </c>
      <c r="F1808" s="4" t="s">
        <v>3178</v>
      </c>
      <c r="G1808" s="4" t="s">
        <v>3178</v>
      </c>
      <c r="H1808" s="3">
        <v>0</v>
      </c>
      <c r="I1808" s="5">
        <v>87.606302</v>
      </c>
      <c r="J1808" s="6">
        <v>0</v>
      </c>
      <c r="K1808" s="4" t="s">
        <v>3178</v>
      </c>
      <c r="M1808" s="3">
        <v>11.44</v>
      </c>
      <c r="N1808" s="3">
        <v>7.5</v>
      </c>
    </row>
    <row r="1809" spans="1:14">
      <c r="A1809" s="8" t="s">
        <v>1821</v>
      </c>
      <c r="B1809" s="2">
        <f>HYPERLINK("https://www.suredividend.com/sure-analysis-research-database/","Mohawk Industries, Inc.")</f>
        <v>0</v>
      </c>
      <c r="C1809" s="1" t="s">
        <v>3182</v>
      </c>
      <c r="D1809" s="3">
        <v>113.43</v>
      </c>
      <c r="E1809" s="4">
        <v>0</v>
      </c>
      <c r="F1809" s="4" t="s">
        <v>3178</v>
      </c>
      <c r="G1809" s="4" t="s">
        <v>3178</v>
      </c>
      <c r="H1809" s="3">
        <v>0</v>
      </c>
      <c r="I1809" s="5">
        <v>7243.989732</v>
      </c>
      <c r="J1809" s="6" t="s">
        <v>3178</v>
      </c>
      <c r="K1809" s="4">
        <v>-0</v>
      </c>
      <c r="L1809" s="7">
        <v>1.439307885702855</v>
      </c>
      <c r="M1809" s="3">
        <v>131.19</v>
      </c>
      <c r="N1809" s="3">
        <v>76.02</v>
      </c>
    </row>
    <row r="1810" spans="1:14">
      <c r="A1810" s="8" t="s">
        <v>1822</v>
      </c>
      <c r="B1810" s="2">
        <f>HYPERLINK("https://www.suredividend.com/sure-analysis-research-database/","Maiden Holdings Ltd")</f>
        <v>0</v>
      </c>
      <c r="C1810" s="1" t="s">
        <v>3180</v>
      </c>
      <c r="D1810" s="3">
        <v>2.05</v>
      </c>
      <c r="E1810" s="4">
        <v>0</v>
      </c>
      <c r="F1810" s="4" t="s">
        <v>3178</v>
      </c>
      <c r="G1810" s="4" t="s">
        <v>3178</v>
      </c>
      <c r="H1810" s="3">
        <v>0</v>
      </c>
      <c r="I1810" s="5">
        <v>205.429373</v>
      </c>
      <c r="J1810" s="6" t="s">
        <v>3178</v>
      </c>
      <c r="K1810" s="4">
        <v>-0</v>
      </c>
      <c r="L1810" s="7">
        <v>1.203559610638574</v>
      </c>
      <c r="M1810" s="3">
        <v>2.55</v>
      </c>
      <c r="N1810" s="3">
        <v>1.19</v>
      </c>
    </row>
    <row r="1811" spans="1:14">
      <c r="A1811" s="8" t="s">
        <v>1823</v>
      </c>
      <c r="B1811" s="2">
        <f>HYPERLINK("https://www.suredividend.com/sure-analysis-research-database/","MI Homes Inc.")</f>
        <v>0</v>
      </c>
      <c r="C1811" s="1" t="s">
        <v>3182</v>
      </c>
      <c r="D1811" s="3">
        <v>121.91</v>
      </c>
      <c r="E1811" s="4">
        <v>0</v>
      </c>
      <c r="F1811" s="4" t="s">
        <v>3178</v>
      </c>
      <c r="G1811" s="4" t="s">
        <v>3178</v>
      </c>
      <c r="H1811" s="3">
        <v>0</v>
      </c>
      <c r="I1811" s="5">
        <v>3383.204627</v>
      </c>
      <c r="J1811" s="6">
        <v>6.761540944080262</v>
      </c>
      <c r="K1811" s="4">
        <v>0</v>
      </c>
      <c r="L1811" s="7">
        <v>1.816840886457116</v>
      </c>
      <c r="M1811" s="3">
        <v>140.73</v>
      </c>
      <c r="N1811" s="3">
        <v>74.79000000000001</v>
      </c>
    </row>
    <row r="1812" spans="1:14">
      <c r="A1812" s="8" t="s">
        <v>1824</v>
      </c>
      <c r="B1812" s="2">
        <f>HYPERLINK("https://www.suredividend.com/sure-analysis-research-database/","Macquarie Infrastructure Holdings LLC")</f>
        <v>0</v>
      </c>
      <c r="C1812" s="1" t="s">
        <v>3179</v>
      </c>
      <c r="D1812" s="3">
        <v>4.09</v>
      </c>
      <c r="E1812" s="4">
        <v>0</v>
      </c>
      <c r="F1812" s="4" t="s">
        <v>3178</v>
      </c>
      <c r="G1812" s="4" t="s">
        <v>3178</v>
      </c>
      <c r="H1812" s="3">
        <v>0</v>
      </c>
      <c r="I1812" s="5">
        <v>363.95009</v>
      </c>
      <c r="J1812" s="6">
        <v>0.135710616963916</v>
      </c>
      <c r="K1812" s="4">
        <v>0</v>
      </c>
      <c r="M1812" s="3">
        <v>4.1</v>
      </c>
      <c r="N1812" s="3">
        <v>3.26</v>
      </c>
    </row>
    <row r="1813" spans="1:14">
      <c r="A1813" s="8" t="s">
        <v>1825</v>
      </c>
      <c r="B1813" s="2">
        <f>HYPERLINK("https://www.suredividend.com/sure-analysis-research-database/","Micron Solutions Inc")</f>
        <v>0</v>
      </c>
      <c r="C1813" s="1" t="s">
        <v>3176</v>
      </c>
      <c r="D1813" s="3">
        <v>1.49</v>
      </c>
      <c r="E1813" s="4">
        <v>0</v>
      </c>
      <c r="F1813" s="4" t="s">
        <v>3178</v>
      </c>
      <c r="G1813" s="4" t="s">
        <v>3178</v>
      </c>
      <c r="H1813" s="3">
        <v>0</v>
      </c>
      <c r="I1813" s="5">
        <v>5.124804</v>
      </c>
      <c r="J1813" s="6">
        <v>0</v>
      </c>
      <c r="K1813" s="4" t="s">
        <v>3178</v>
      </c>
      <c r="M1813" s="3">
        <v>2.45</v>
      </c>
      <c r="N1813" s="3">
        <v>0.5600000000000001</v>
      </c>
    </row>
    <row r="1814" spans="1:14">
      <c r="A1814" s="8" t="s">
        <v>1826</v>
      </c>
      <c r="B1814" s="2">
        <f>HYPERLINK("https://www.suredividend.com/sure-analysis-research-database/","MICT Inc")</f>
        <v>0</v>
      </c>
      <c r="C1814" s="1" t="s">
        <v>3181</v>
      </c>
      <c r="D1814" s="3">
        <v>0.8951</v>
      </c>
      <c r="E1814" s="4">
        <v>0</v>
      </c>
      <c r="F1814" s="4" t="s">
        <v>3178</v>
      </c>
      <c r="G1814" s="4" t="s">
        <v>3178</v>
      </c>
      <c r="H1814" s="3">
        <v>0</v>
      </c>
      <c r="I1814" s="5">
        <v>145.814336</v>
      </c>
      <c r="J1814" s="6">
        <v>0</v>
      </c>
      <c r="K1814" s="4" t="s">
        <v>3178</v>
      </c>
      <c r="L1814" s="7">
        <v>1.048578585349212</v>
      </c>
      <c r="M1814" s="3">
        <v>1.35</v>
      </c>
      <c r="N1814" s="3">
        <v>0.41</v>
      </c>
    </row>
    <row r="1815" spans="1:14">
      <c r="A1815" s="8" t="s">
        <v>1827</v>
      </c>
      <c r="B1815" s="2">
        <f>HYPERLINK("https://www.suredividend.com/sure-analysis-research-database/","Middleby Corp.")</f>
        <v>0</v>
      </c>
      <c r="C1815" s="1" t="s">
        <v>3179</v>
      </c>
      <c r="D1815" s="3">
        <v>125.89</v>
      </c>
      <c r="E1815" s="4">
        <v>0</v>
      </c>
      <c r="F1815" s="4" t="s">
        <v>3178</v>
      </c>
      <c r="G1815" s="4" t="s">
        <v>3178</v>
      </c>
      <c r="H1815" s="3">
        <v>0</v>
      </c>
      <c r="I1815" s="5">
        <v>6768.917346</v>
      </c>
      <c r="J1815" s="6">
        <v>17.42944669065637</v>
      </c>
      <c r="K1815" s="4">
        <v>0</v>
      </c>
      <c r="L1815" s="7">
        <v>1.263740975651222</v>
      </c>
      <c r="M1815" s="3">
        <v>161.01</v>
      </c>
      <c r="N1815" s="3">
        <v>109.59</v>
      </c>
    </row>
    <row r="1816" spans="1:14">
      <c r="A1816" s="8" t="s">
        <v>1828</v>
      </c>
      <c r="B1816" s="2">
        <f>HYPERLINK("https://www.suredividend.com/sure-analysis-research-database/","Michaels Companies Inc")</f>
        <v>0</v>
      </c>
      <c r="C1816" s="1" t="s">
        <v>3182</v>
      </c>
      <c r="D1816" s="3">
        <v>21.97</v>
      </c>
      <c r="E1816" s="4">
        <v>0</v>
      </c>
      <c r="F1816" s="4" t="s">
        <v>3178</v>
      </c>
      <c r="G1816" s="4" t="s">
        <v>3178</v>
      </c>
      <c r="H1816" s="3">
        <v>0</v>
      </c>
      <c r="I1816" s="5">
        <v>0</v>
      </c>
      <c r="J1816" s="6">
        <v>0</v>
      </c>
      <c r="K1816" s="4">
        <v>0</v>
      </c>
    </row>
    <row r="1817" spans="1:14">
      <c r="A1817" s="8" t="s">
        <v>1829</v>
      </c>
      <c r="B1817" s="2">
        <f>HYPERLINK("https://www.suredividend.com/sure-analysis-research-database/","MIND Technology Inc")</f>
        <v>0</v>
      </c>
      <c r="C1817" s="1" t="s">
        <v>3181</v>
      </c>
      <c r="D1817" s="3">
        <v>5.19</v>
      </c>
      <c r="E1817" s="4">
        <v>0</v>
      </c>
      <c r="F1817" s="4" t="s">
        <v>3178</v>
      </c>
      <c r="G1817" s="4" t="s">
        <v>3178</v>
      </c>
      <c r="H1817" s="3">
        <v>0</v>
      </c>
      <c r="I1817" s="5">
        <v>7.295993</v>
      </c>
      <c r="J1817" s="6" t="s">
        <v>3178</v>
      </c>
      <c r="K1817" s="4">
        <v>-0</v>
      </c>
      <c r="M1817" s="3">
        <v>81</v>
      </c>
      <c r="N1817" s="3">
        <v>4.01</v>
      </c>
    </row>
    <row r="1818" spans="1:14">
      <c r="A1818" s="8" t="s">
        <v>1830</v>
      </c>
      <c r="B1818" s="2">
        <f>HYPERLINK("https://www.suredividend.com/sure-analysis-research-database/","Mitek Systems Inc")</f>
        <v>0</v>
      </c>
      <c r="C1818" s="1" t="s">
        <v>3181</v>
      </c>
      <c r="D1818" s="3">
        <v>12.29</v>
      </c>
      <c r="E1818" s="4">
        <v>0</v>
      </c>
      <c r="F1818" s="4" t="s">
        <v>3178</v>
      </c>
      <c r="G1818" s="4" t="s">
        <v>3178</v>
      </c>
      <c r="H1818" s="3">
        <v>0</v>
      </c>
      <c r="I1818" s="5">
        <v>575.056609</v>
      </c>
      <c r="J1818" s="6" t="s">
        <v>3178</v>
      </c>
      <c r="K1818" s="4">
        <v>-0</v>
      </c>
      <c r="L1818" s="7">
        <v>1.09893251824554</v>
      </c>
      <c r="M1818" s="3">
        <v>16.24</v>
      </c>
      <c r="N1818" s="3">
        <v>9.470000000000001</v>
      </c>
    </row>
    <row r="1819" spans="1:14">
      <c r="A1819" s="8" t="s">
        <v>1831</v>
      </c>
      <c r="B1819" s="2">
        <f>HYPERLINK("https://www.suredividend.com/sure-analysis-research-database/","AG Mortgage Investment Trust Inc")</f>
        <v>0</v>
      </c>
      <c r="C1819" s="1" t="s">
        <v>3183</v>
      </c>
      <c r="D1819" s="3">
        <v>6.8</v>
      </c>
      <c r="E1819" s="4">
        <v>0.10079247162296</v>
      </c>
      <c r="F1819" s="4">
        <v>2.6</v>
      </c>
      <c r="G1819" s="4">
        <v>-0.1674467925981269</v>
      </c>
      <c r="H1819" s="3">
        <v>0.68538880703613</v>
      </c>
      <c r="I1819" s="5">
        <v>200.42133</v>
      </c>
      <c r="J1819" s="6" t="s">
        <v>3178</v>
      </c>
      <c r="K1819" s="4" t="s">
        <v>3178</v>
      </c>
      <c r="L1819" s="7">
        <v>1.199662431783966</v>
      </c>
      <c r="M1819" s="3">
        <v>6.99</v>
      </c>
      <c r="N1819" s="3">
        <v>4.52</v>
      </c>
    </row>
    <row r="1820" spans="1:14">
      <c r="A1820" s="8" t="s">
        <v>1832</v>
      </c>
      <c r="B1820" s="2">
        <f>HYPERLINK("https://www.suredividend.com/sure-analysis-MKC/","McCormick &amp; Co., Inc.")</f>
        <v>0</v>
      </c>
      <c r="C1820" s="1" t="s">
        <v>3184</v>
      </c>
      <c r="D1820" s="3">
        <v>68.58</v>
      </c>
      <c r="E1820" s="4">
        <v>0.02449693788276465</v>
      </c>
      <c r="F1820" s="4">
        <v>0.07692307692307687</v>
      </c>
      <c r="G1820" s="4">
        <v>-0.05924857043676224</v>
      </c>
      <c r="H1820" s="3">
        <v>1.606328728886539</v>
      </c>
      <c r="I1820" s="5">
        <v>18423.077304</v>
      </c>
      <c r="J1820" s="6">
        <v>26.03968523536396</v>
      </c>
      <c r="K1820" s="4">
        <v>0.613102568277305</v>
      </c>
      <c r="L1820" s="7">
        <v>0.355779615040674</v>
      </c>
      <c r="M1820" s="3">
        <v>92.31</v>
      </c>
      <c r="N1820" s="3">
        <v>58.44</v>
      </c>
    </row>
    <row r="1821" spans="1:14">
      <c r="A1821" s="8" t="s">
        <v>1833</v>
      </c>
      <c r="B1821" s="2">
        <f>HYPERLINK("https://www.suredividend.com/sure-analysis-research-database/","Markel Group Inc")</f>
        <v>0</v>
      </c>
      <c r="C1821" s="1" t="s">
        <v>3180</v>
      </c>
      <c r="D1821" s="3">
        <v>1601.43</v>
      </c>
      <c r="E1821" s="4">
        <v>0</v>
      </c>
      <c r="F1821" s="4" t="s">
        <v>3178</v>
      </c>
      <c r="G1821" s="4" t="s">
        <v>3178</v>
      </c>
      <c r="H1821" s="3">
        <v>0</v>
      </c>
      <c r="I1821" s="5">
        <v>20822.827384</v>
      </c>
      <c r="J1821" s="6">
        <v>8.475834080104073</v>
      </c>
      <c r="K1821" s="4">
        <v>0</v>
      </c>
      <c r="L1821" s="7">
        <v>0.171941333088461</v>
      </c>
      <c r="M1821" s="3">
        <v>1670.24</v>
      </c>
      <c r="N1821" s="3">
        <v>1295.65</v>
      </c>
    </row>
    <row r="1822" spans="1:14">
      <c r="A1822" s="8" t="s">
        <v>1834</v>
      </c>
      <c r="B1822" s="2">
        <f>HYPERLINK("https://www.suredividend.com/sure-analysis-research-database/","MKS Instruments, Inc.")</f>
        <v>0</v>
      </c>
      <c r="C1822" s="1" t="s">
        <v>3181</v>
      </c>
      <c r="D1822" s="3">
        <v>128.2</v>
      </c>
      <c r="E1822" s="4">
        <v>0.006824874287249</v>
      </c>
      <c r="F1822" s="4">
        <v>0</v>
      </c>
      <c r="G1822" s="4">
        <v>0.01924487649145656</v>
      </c>
      <c r="H1822" s="3">
        <v>0.874948883625371</v>
      </c>
      <c r="I1822" s="5">
        <v>8596.502793</v>
      </c>
      <c r="J1822" s="6" t="s">
        <v>3178</v>
      </c>
      <c r="K1822" s="4" t="s">
        <v>3178</v>
      </c>
      <c r="L1822" s="7">
        <v>2.267948955598118</v>
      </c>
      <c r="M1822" s="3">
        <v>135.05</v>
      </c>
      <c r="N1822" s="3">
        <v>62.64</v>
      </c>
    </row>
    <row r="1823" spans="1:14">
      <c r="A1823" s="8" t="s">
        <v>1835</v>
      </c>
      <c r="B1823" s="2">
        <f>HYPERLINK("https://www.suredividend.com/sure-analysis-MKTX/","MarketAxess Holdings Inc.")</f>
        <v>0</v>
      </c>
      <c r="C1823" s="1" t="s">
        <v>3180</v>
      </c>
      <c r="D1823" s="3">
        <v>198.76</v>
      </c>
      <c r="E1823" s="4">
        <v>0.01489233246125981</v>
      </c>
      <c r="F1823" s="4">
        <v>0.0277777777777779</v>
      </c>
      <c r="G1823" s="4">
        <v>0.07728920677708295</v>
      </c>
      <c r="H1823" s="3">
        <v>2.891119780758397</v>
      </c>
      <c r="I1823" s="5">
        <v>7532.38685</v>
      </c>
      <c r="J1823" s="6">
        <v>29.30410925140638</v>
      </c>
      <c r="K1823" s="4">
        <v>0.4239178564161873</v>
      </c>
      <c r="L1823" s="7">
        <v>1.216994894325127</v>
      </c>
      <c r="M1823" s="3">
        <v>294</v>
      </c>
      <c r="N1823" s="3">
        <v>195.01</v>
      </c>
    </row>
    <row r="1824" spans="1:14">
      <c r="A1824" s="8" t="s">
        <v>1836</v>
      </c>
      <c r="B1824" s="2">
        <f>HYPERLINK("https://www.suredividend.com/sure-analysis-research-database/","Mesa Laboratories, Inc.")</f>
        <v>0</v>
      </c>
      <c r="C1824" s="1" t="s">
        <v>3181</v>
      </c>
      <c r="D1824" s="3">
        <v>104.8</v>
      </c>
      <c r="E1824" s="4">
        <v>0.006078928489283</v>
      </c>
      <c r="F1824" s="4" t="s">
        <v>3178</v>
      </c>
      <c r="G1824" s="4" t="s">
        <v>3178</v>
      </c>
      <c r="H1824" s="3">
        <v>0.63707170567696</v>
      </c>
      <c r="I1824" s="5">
        <v>565.296545</v>
      </c>
      <c r="J1824" s="6">
        <v>596.3043721518987</v>
      </c>
      <c r="K1824" s="4">
        <v>3.630038208985527</v>
      </c>
      <c r="L1824" s="7">
        <v>1.457027773698089</v>
      </c>
      <c r="M1824" s="3">
        <v>144.07</v>
      </c>
      <c r="N1824" s="3">
        <v>82.06999999999999</v>
      </c>
    </row>
    <row r="1825" spans="1:14">
      <c r="A1825" s="8" t="s">
        <v>1837</v>
      </c>
      <c r="B1825" s="2">
        <f>HYPERLINK("https://www.suredividend.com/sure-analysis-research-database/","Herman Miller Inc.")</f>
        <v>0</v>
      </c>
      <c r="C1825" s="1" t="s">
        <v>3179</v>
      </c>
      <c r="D1825" s="3">
        <v>39.04</v>
      </c>
      <c r="E1825" s="4">
        <v>0.019088839472353</v>
      </c>
      <c r="F1825" s="4" t="s">
        <v>3178</v>
      </c>
      <c r="G1825" s="4" t="s">
        <v>3178</v>
      </c>
      <c r="H1825" s="3">
        <v>0.7452282930006841</v>
      </c>
      <c r="I1825" s="5">
        <v>2958.202047</v>
      </c>
      <c r="J1825" s="6">
        <v>76.63735872331607</v>
      </c>
      <c r="K1825" s="4">
        <v>1.181963985726699</v>
      </c>
      <c r="M1825" s="3">
        <v>51.03</v>
      </c>
      <c r="N1825" s="3">
        <v>30.13</v>
      </c>
    </row>
    <row r="1826" spans="1:14">
      <c r="A1826" s="8" t="s">
        <v>1838</v>
      </c>
      <c r="B1826" s="2">
        <f>HYPERLINK("https://www.suredividend.com/sure-analysis-MLI/","Mueller Industries, Inc.")</f>
        <v>0</v>
      </c>
      <c r="C1826" s="1" t="s">
        <v>3179</v>
      </c>
      <c r="D1826" s="3">
        <v>55.33</v>
      </c>
      <c r="E1826" s="4">
        <v>0.01445870233146575</v>
      </c>
      <c r="F1826" s="4">
        <v>-0.3333333333333334</v>
      </c>
      <c r="G1826" s="4">
        <v>0.1486983549970351</v>
      </c>
      <c r="H1826" s="3">
        <v>0.6965178459600611</v>
      </c>
      <c r="I1826" s="5">
        <v>6285.322176</v>
      </c>
      <c r="J1826" s="6">
        <v>11.06529895195776</v>
      </c>
      <c r="K1826" s="4">
        <v>0.1398630212771207</v>
      </c>
      <c r="L1826" s="7">
        <v>1.047510711952556</v>
      </c>
      <c r="M1826" s="3">
        <v>60.09</v>
      </c>
      <c r="N1826" s="3">
        <v>34.57</v>
      </c>
    </row>
    <row r="1827" spans="1:14">
      <c r="A1827" s="8" t="s">
        <v>1839</v>
      </c>
      <c r="B1827" s="2">
        <f>HYPERLINK("https://www.suredividend.com/sure-analysis-MLM/","Martin Marietta Materials, Inc.")</f>
        <v>0</v>
      </c>
      <c r="C1827" s="1" t="s">
        <v>3177</v>
      </c>
      <c r="D1827" s="3">
        <v>550.87</v>
      </c>
      <c r="E1827" s="4">
        <v>0.005373318568809337</v>
      </c>
      <c r="F1827" s="4">
        <v>0.1212121212121211</v>
      </c>
      <c r="G1827" s="4">
        <v>0.06114273740264831</v>
      </c>
      <c r="H1827" s="3">
        <v>2.954054713076544</v>
      </c>
      <c r="I1827" s="5">
        <v>33955.731465</v>
      </c>
      <c r="J1827" s="6">
        <v>16.22347418313426</v>
      </c>
      <c r="K1827" s="4">
        <v>0.08757944598507396</v>
      </c>
      <c r="L1827" s="7">
        <v>1.13164435486607</v>
      </c>
      <c r="M1827" s="3">
        <v>625.86</v>
      </c>
      <c r="N1827" s="3">
        <v>388.27</v>
      </c>
    </row>
    <row r="1828" spans="1:14">
      <c r="A1828" s="8" t="s">
        <v>1840</v>
      </c>
      <c r="B1828" s="2">
        <f>HYPERLINK("https://www.suredividend.com/sure-analysis-research-database/","Maui Land &amp; Pineapple Co., Inc.")</f>
        <v>0</v>
      </c>
      <c r="C1828" s="1" t="s">
        <v>3183</v>
      </c>
      <c r="D1828" s="3">
        <v>20.59</v>
      </c>
      <c r="E1828" s="4">
        <v>0</v>
      </c>
      <c r="F1828" s="4" t="s">
        <v>3178</v>
      </c>
      <c r="G1828" s="4" t="s">
        <v>3178</v>
      </c>
      <c r="H1828" s="3">
        <v>0</v>
      </c>
      <c r="I1828" s="5">
        <v>405.411129</v>
      </c>
      <c r="J1828" s="6" t="s">
        <v>3178</v>
      </c>
      <c r="K1828" s="4">
        <v>-0</v>
      </c>
      <c r="L1828" s="7">
        <v>0.4469681573970311</v>
      </c>
      <c r="M1828" s="3">
        <v>23.49</v>
      </c>
      <c r="N1828" s="3">
        <v>11.58</v>
      </c>
    </row>
    <row r="1829" spans="1:14">
      <c r="A1829" s="8" t="s">
        <v>1841</v>
      </c>
      <c r="B1829" s="2">
        <f>HYPERLINK("https://www.suredividend.com/sure-analysis-research-database/","Miller Industries Inc.")</f>
        <v>0</v>
      </c>
      <c r="C1829" s="1" t="s">
        <v>3182</v>
      </c>
      <c r="D1829" s="3">
        <v>57.2</v>
      </c>
      <c r="E1829" s="4">
        <v>0.01286770804569</v>
      </c>
      <c r="F1829" s="4">
        <v>0.05555555555555558</v>
      </c>
      <c r="G1829" s="4">
        <v>0.01087212085035083</v>
      </c>
      <c r="H1829" s="3">
        <v>0.7360329002135221</v>
      </c>
      <c r="I1829" s="5">
        <v>656.081712</v>
      </c>
      <c r="J1829" s="6">
        <v>0</v>
      </c>
      <c r="K1829" s="4" t="s">
        <v>3178</v>
      </c>
      <c r="L1829" s="7">
        <v>1.026709683784904</v>
      </c>
      <c r="M1829" s="3">
        <v>61.68</v>
      </c>
      <c r="N1829" s="3">
        <v>33.29</v>
      </c>
    </row>
    <row r="1830" spans="1:14">
      <c r="A1830" s="8" t="s">
        <v>1842</v>
      </c>
      <c r="B1830" s="2">
        <f>HYPERLINK("https://www.suredividend.com/sure-analysis-research-database/","Milestone Scientific Inc.")</f>
        <v>0</v>
      </c>
      <c r="C1830" s="1" t="s">
        <v>3176</v>
      </c>
      <c r="D1830" s="3">
        <v>0.73</v>
      </c>
      <c r="E1830" s="4">
        <v>0</v>
      </c>
      <c r="F1830" s="4" t="s">
        <v>3178</v>
      </c>
      <c r="G1830" s="4" t="s">
        <v>3178</v>
      </c>
      <c r="H1830" s="3">
        <v>0</v>
      </c>
      <c r="I1830" s="5">
        <v>56.376231</v>
      </c>
      <c r="J1830" s="6">
        <v>0</v>
      </c>
      <c r="K1830" s="4" t="s">
        <v>3178</v>
      </c>
      <c r="L1830" s="7">
        <v>0.848884225290207</v>
      </c>
      <c r="M1830" s="3">
        <v>1.35</v>
      </c>
      <c r="N1830" s="3">
        <v>0.52</v>
      </c>
    </row>
    <row r="1831" spans="1:14">
      <c r="A1831" s="8" t="s">
        <v>1843</v>
      </c>
      <c r="B1831" s="2">
        <f>HYPERLINK("https://www.suredividend.com/sure-analysis-research-database/","Malvern Bancorp Inc")</f>
        <v>0</v>
      </c>
      <c r="C1831" s="1" t="s">
        <v>3180</v>
      </c>
      <c r="D1831" s="3">
        <v>16.97</v>
      </c>
      <c r="E1831" s="4">
        <v>0</v>
      </c>
      <c r="F1831" s="4" t="s">
        <v>3178</v>
      </c>
      <c r="G1831" s="4" t="s">
        <v>3178</v>
      </c>
      <c r="H1831" s="3">
        <v>0</v>
      </c>
      <c r="I1831" s="5">
        <v>0</v>
      </c>
      <c r="J1831" s="6">
        <v>0</v>
      </c>
      <c r="K1831" s="4" t="s">
        <v>3178</v>
      </c>
    </row>
    <row r="1832" spans="1:14">
      <c r="A1832" s="8" t="s">
        <v>1844</v>
      </c>
      <c r="B1832" s="2">
        <f>HYPERLINK("https://www.suredividend.com/sure-analysis-research-database/","MMA Capital Holdings Inc")</f>
        <v>0</v>
      </c>
      <c r="C1832" s="1" t="s">
        <v>3180</v>
      </c>
      <c r="D1832" s="3">
        <v>27.77</v>
      </c>
      <c r="E1832" s="4">
        <v>0</v>
      </c>
      <c r="F1832" s="4" t="s">
        <v>3178</v>
      </c>
      <c r="G1832" s="4" t="s">
        <v>3178</v>
      </c>
      <c r="H1832" s="3">
        <v>0</v>
      </c>
      <c r="I1832" s="5">
        <v>0</v>
      </c>
      <c r="J1832" s="6">
        <v>0</v>
      </c>
      <c r="K1832" s="4">
        <v>0</v>
      </c>
    </row>
    <row r="1833" spans="1:14">
      <c r="A1833" s="8" t="s">
        <v>1845</v>
      </c>
      <c r="B1833" s="2">
        <f>HYPERLINK("https://www.suredividend.com/sure-analysis-MMC/","Marsh &amp; McLennan Cos., Inc.")</f>
        <v>0</v>
      </c>
      <c r="C1833" s="1" t="s">
        <v>3180</v>
      </c>
      <c r="D1833" s="3">
        <v>209.99</v>
      </c>
      <c r="E1833" s="4">
        <v>0.01352445354540692</v>
      </c>
      <c r="F1833" s="4">
        <v>0.2033898305084745</v>
      </c>
      <c r="G1833" s="4">
        <v>0.09307356249295906</v>
      </c>
      <c r="H1833" s="3">
        <v>2.824888477945799</v>
      </c>
      <c r="I1833" s="5">
        <v>103467.11801</v>
      </c>
      <c r="J1833" s="6">
        <v>26.38794134398113</v>
      </c>
      <c r="K1833" s="4">
        <v>0.3589438980871409</v>
      </c>
      <c r="L1833" s="7">
        <v>0.373260894503212</v>
      </c>
      <c r="M1833" s="3">
        <v>211.53</v>
      </c>
      <c r="N1833" s="3">
        <v>173.77</v>
      </c>
    </row>
    <row r="1834" spans="1:14">
      <c r="A1834" s="8" t="s">
        <v>1846</v>
      </c>
      <c r="B1834" s="2">
        <f>HYPERLINK("https://www.suredividend.com/sure-analysis-research-database/","Marcus &amp; Millichap Inc")</f>
        <v>0</v>
      </c>
      <c r="C1834" s="1" t="s">
        <v>3183</v>
      </c>
      <c r="D1834" s="3">
        <v>30.57</v>
      </c>
      <c r="E1834" s="4">
        <v>0.016296740977475</v>
      </c>
      <c r="F1834" s="4" t="s">
        <v>3178</v>
      </c>
      <c r="G1834" s="4" t="s">
        <v>3178</v>
      </c>
      <c r="H1834" s="3">
        <v>0.498191371681415</v>
      </c>
      <c r="I1834" s="5">
        <v>1182.315201</v>
      </c>
      <c r="J1834" s="6" t="s">
        <v>3178</v>
      </c>
      <c r="K1834" s="4" t="s">
        <v>3178</v>
      </c>
      <c r="L1834" s="7">
        <v>1.290005429915381</v>
      </c>
      <c r="M1834" s="3">
        <v>43.92</v>
      </c>
      <c r="N1834" s="3">
        <v>26.61</v>
      </c>
    </row>
    <row r="1835" spans="1:14">
      <c r="A1835" s="8" t="s">
        <v>1847</v>
      </c>
      <c r="B1835" s="2">
        <f>HYPERLINK("https://www.suredividend.com/sure-analysis-MMM/","3M Co.")</f>
        <v>0</v>
      </c>
      <c r="C1835" s="1" t="s">
        <v>3179</v>
      </c>
      <c r="D1835" s="3">
        <v>100.86</v>
      </c>
      <c r="E1835" s="4">
        <v>0.04193932183224271</v>
      </c>
      <c r="F1835" s="4">
        <v>-0.5333333333333332</v>
      </c>
      <c r="G1835" s="4">
        <v>-0.1343404798304358</v>
      </c>
      <c r="H1835" s="3">
        <v>5.107514382408324</v>
      </c>
      <c r="I1835" s="5">
        <v>55812.016381</v>
      </c>
      <c r="J1835" s="6" t="s">
        <v>3178</v>
      </c>
      <c r="K1835" s="4" t="s">
        <v>3178</v>
      </c>
      <c r="L1835" s="7">
        <v>0.7996323188169171</v>
      </c>
      <c r="M1835" s="3">
        <v>108.44</v>
      </c>
      <c r="N1835" s="3">
        <v>82.08</v>
      </c>
    </row>
    <row r="1836" spans="1:14">
      <c r="A1836" s="8" t="s">
        <v>1848</v>
      </c>
      <c r="B1836" s="2">
        <f>HYPERLINK("https://www.suredividend.com/sure-analysis-MMS/","Maximus Inc.")</f>
        <v>0</v>
      </c>
      <c r="C1836" s="1" t="s">
        <v>3179</v>
      </c>
      <c r="D1836" s="3">
        <v>85.08</v>
      </c>
      <c r="E1836" s="4">
        <v>0.01410437235543018</v>
      </c>
      <c r="F1836" s="4">
        <v>0.0714285714285714</v>
      </c>
      <c r="G1836" s="4">
        <v>0.03713728933664817</v>
      </c>
      <c r="H1836" s="3">
        <v>1.173669421303094</v>
      </c>
      <c r="I1836" s="5">
        <v>5172.562647</v>
      </c>
      <c r="J1836" s="6">
        <v>22.04213905934793</v>
      </c>
      <c r="K1836" s="4">
        <v>0.3080497168774525</v>
      </c>
      <c r="L1836" s="7">
        <v>0.8482153962423441</v>
      </c>
      <c r="M1836" s="3">
        <v>90.33</v>
      </c>
      <c r="N1836" s="3">
        <v>71.58</v>
      </c>
    </row>
    <row r="1837" spans="1:14">
      <c r="A1837" s="8" t="s">
        <v>1849</v>
      </c>
      <c r="B1837" s="2">
        <f>HYPERLINK("https://www.suredividend.com/sure-analysis-research-database/","Merit Medical Systems, Inc.")</f>
        <v>0</v>
      </c>
      <c r="C1837" s="1" t="s">
        <v>3176</v>
      </c>
      <c r="D1837" s="3">
        <v>82.38</v>
      </c>
      <c r="E1837" s="4">
        <v>0</v>
      </c>
      <c r="F1837" s="4" t="s">
        <v>3178</v>
      </c>
      <c r="G1837" s="4" t="s">
        <v>3178</v>
      </c>
      <c r="H1837" s="3">
        <v>0</v>
      </c>
      <c r="I1837" s="5">
        <v>4786.743777</v>
      </c>
      <c r="J1837" s="6">
        <v>46.9527972742967</v>
      </c>
      <c r="K1837" s="4">
        <v>0</v>
      </c>
      <c r="L1837" s="7">
        <v>0.778931374176503</v>
      </c>
      <c r="M1837" s="3">
        <v>85.18000000000001</v>
      </c>
      <c r="N1837" s="3">
        <v>62.58</v>
      </c>
    </row>
    <row r="1838" spans="1:14">
      <c r="A1838" s="8" t="s">
        <v>1850</v>
      </c>
      <c r="B1838" s="2">
        <f>HYPERLINK("https://www.suredividend.com/sure-analysis-research-database/","Manning &amp; Napier Inc")</f>
        <v>0</v>
      </c>
      <c r="C1838" s="1" t="s">
        <v>3180</v>
      </c>
      <c r="D1838" s="3">
        <v>12.85</v>
      </c>
      <c r="E1838" s="4">
        <v>0.015464442796645</v>
      </c>
      <c r="F1838" s="4" t="s">
        <v>3178</v>
      </c>
      <c r="G1838" s="4" t="s">
        <v>3178</v>
      </c>
      <c r="H1838" s="3">
        <v>0.198718089936889</v>
      </c>
      <c r="I1838" s="5">
        <v>245.747666</v>
      </c>
      <c r="J1838" s="6">
        <v>0</v>
      </c>
      <c r="K1838" s="4" t="s">
        <v>3178</v>
      </c>
      <c r="L1838" s="7">
        <v>0.344551645190628</v>
      </c>
      <c r="M1838" s="3">
        <v>12.85</v>
      </c>
      <c r="N1838" s="3">
        <v>7.15</v>
      </c>
    </row>
    <row r="1839" spans="1:14">
      <c r="A1839" s="8" t="s">
        <v>1851</v>
      </c>
      <c r="B1839" s="2">
        <f>HYPERLINK("https://www.suredividend.com/sure-analysis-research-database/","Mallinckrodt Plc")</f>
        <v>0</v>
      </c>
      <c r="C1839" s="1" t="s">
        <v>3176</v>
      </c>
      <c r="D1839" s="3">
        <v>0.3402</v>
      </c>
      <c r="E1839" s="4">
        <v>0</v>
      </c>
      <c r="F1839" s="4" t="s">
        <v>3178</v>
      </c>
      <c r="G1839" s="4" t="s">
        <v>3178</v>
      </c>
      <c r="H1839" s="3">
        <v>0</v>
      </c>
      <c r="I1839" s="5">
        <v>4.520979</v>
      </c>
      <c r="J1839" s="6" t="s">
        <v>3178</v>
      </c>
      <c r="K1839" s="4">
        <v>-0</v>
      </c>
      <c r="M1839" s="3">
        <v>18.1</v>
      </c>
      <c r="N1839" s="3">
        <v>0.3</v>
      </c>
    </row>
    <row r="1840" spans="1:14">
      <c r="A1840" s="8" t="s">
        <v>1852</v>
      </c>
      <c r="B1840" s="2">
        <f>HYPERLINK("https://www.suredividend.com/sure-analysis-research-database/","Mannkind Corp")</f>
        <v>0</v>
      </c>
      <c r="C1840" s="1" t="s">
        <v>3176</v>
      </c>
      <c r="D1840" s="3">
        <v>4.67</v>
      </c>
      <c r="E1840" s="4">
        <v>0</v>
      </c>
      <c r="F1840" s="4" t="s">
        <v>3178</v>
      </c>
      <c r="G1840" s="4" t="s">
        <v>3178</v>
      </c>
      <c r="H1840" s="3">
        <v>0</v>
      </c>
      <c r="I1840" s="5">
        <v>1271.715001</v>
      </c>
      <c r="J1840" s="6">
        <v>149.8427006975374</v>
      </c>
      <c r="K1840" s="4">
        <v>0</v>
      </c>
      <c r="L1840" s="7">
        <v>1.301235819723954</v>
      </c>
      <c r="M1840" s="3">
        <v>5.75</v>
      </c>
      <c r="N1840" s="3">
        <v>3.17</v>
      </c>
    </row>
    <row r="1841" spans="1:14">
      <c r="A1841" s="8" t="s">
        <v>1853</v>
      </c>
      <c r="B1841" s="2">
        <f>HYPERLINK("https://www.suredividend.com/sure-analysis-research-database/","Medicinova Inc")</f>
        <v>0</v>
      </c>
      <c r="C1841" s="1" t="s">
        <v>3176</v>
      </c>
      <c r="D1841" s="3">
        <v>1.37</v>
      </c>
      <c r="E1841" s="4">
        <v>0</v>
      </c>
      <c r="F1841" s="4" t="s">
        <v>3178</v>
      </c>
      <c r="G1841" s="4" t="s">
        <v>3178</v>
      </c>
      <c r="H1841" s="3">
        <v>0</v>
      </c>
      <c r="I1841" s="5">
        <v>67.19335700000001</v>
      </c>
      <c r="J1841" s="6">
        <v>0</v>
      </c>
      <c r="K1841" s="4" t="s">
        <v>3178</v>
      </c>
      <c r="L1841" s="7">
        <v>0.5636514365678</v>
      </c>
      <c r="M1841" s="3">
        <v>2.66</v>
      </c>
      <c r="N1841" s="3">
        <v>1.26</v>
      </c>
    </row>
    <row r="1842" spans="1:14">
      <c r="A1842" s="8" t="s">
        <v>1854</v>
      </c>
      <c r="B1842" s="2">
        <f>HYPERLINK("https://www.suredividend.com/sure-analysis-research-database/","Mach Natural Resources LP")</f>
        <v>0</v>
      </c>
      <c r="C1842" s="1" t="s">
        <v>3183</v>
      </c>
      <c r="D1842" s="3">
        <v>19.27</v>
      </c>
      <c r="E1842" s="4">
        <v>0.08638602633422901</v>
      </c>
      <c r="F1842" s="4" t="s">
        <v>3178</v>
      </c>
      <c r="G1842" s="4" t="s">
        <v>3178</v>
      </c>
      <c r="H1842" s="3">
        <v>1.664658727460598</v>
      </c>
      <c r="I1842" s="5">
        <v>1830.65</v>
      </c>
      <c r="J1842" s="6">
        <v>0</v>
      </c>
      <c r="K1842" s="4" t="s">
        <v>3178</v>
      </c>
      <c r="L1842" s="7">
        <v>0.108009282957437</v>
      </c>
      <c r="M1842" s="3">
        <v>20.4</v>
      </c>
      <c r="N1842" s="3">
        <v>13.19</v>
      </c>
    </row>
    <row r="1843" spans="1:14">
      <c r="A1843" s="8" t="s">
        <v>1855</v>
      </c>
      <c r="B1843" s="2">
        <f>HYPERLINK("https://www.suredividend.com/sure-analysis-research-database/","Brigham Minerals Inc")</f>
        <v>0</v>
      </c>
      <c r="C1843" s="1" t="s">
        <v>3185</v>
      </c>
      <c r="D1843" s="3">
        <v>32.5</v>
      </c>
      <c r="E1843" s="4">
        <v>0.041729037640231</v>
      </c>
      <c r="F1843" s="4">
        <v>-0.6363636363636364</v>
      </c>
      <c r="G1843" s="4">
        <v>-0.1347906410308923</v>
      </c>
      <c r="H1843" s="3">
        <v>1.356193723307521</v>
      </c>
      <c r="I1843" s="5">
        <v>1847.114945</v>
      </c>
      <c r="J1843" s="6">
        <v>0</v>
      </c>
      <c r="K1843" s="4" t="s">
        <v>3178</v>
      </c>
      <c r="L1843" s="7">
        <v>0.660765023043373</v>
      </c>
      <c r="M1843" s="3">
        <v>37.79</v>
      </c>
      <c r="N1843" s="3">
        <v>19.83</v>
      </c>
    </row>
    <row r="1844" spans="1:14">
      <c r="A1844" s="8" t="s">
        <v>1856</v>
      </c>
      <c r="B1844" s="2">
        <f>HYPERLINK("https://www.suredividend.com/sure-analysis-research-database/","Monro Inc")</f>
        <v>0</v>
      </c>
      <c r="C1844" s="1" t="s">
        <v>3182</v>
      </c>
      <c r="D1844" s="3">
        <v>25.1</v>
      </c>
      <c r="E1844" s="4">
        <v>0.04365945439756801</v>
      </c>
      <c r="F1844" s="4">
        <v>0</v>
      </c>
      <c r="G1844" s="4">
        <v>0.04941452284458392</v>
      </c>
      <c r="H1844" s="3">
        <v>1.095852305378965</v>
      </c>
      <c r="I1844" s="5">
        <v>750.90026</v>
      </c>
      <c r="J1844" s="6">
        <v>20.61213998078506</v>
      </c>
      <c r="K1844" s="4">
        <v>0.9612739520868113</v>
      </c>
      <c r="L1844" s="7">
        <v>1.072618436692674</v>
      </c>
      <c r="M1844" s="3">
        <v>40.93</v>
      </c>
      <c r="N1844" s="3">
        <v>21.66</v>
      </c>
    </row>
    <row r="1845" spans="1:14">
      <c r="A1845" s="8" t="s">
        <v>1857</v>
      </c>
      <c r="B1845" s="2">
        <f>HYPERLINK("https://www.suredividend.com/sure-analysis-research-database/","MainStreet Bancshares Inc")</f>
        <v>0</v>
      </c>
      <c r="C1845" s="1" t="s">
        <v>3180</v>
      </c>
      <c r="D1845" s="3">
        <v>16.5</v>
      </c>
      <c r="E1845" s="4">
        <v>0.023829301129457</v>
      </c>
      <c r="F1845" s="4" t="s">
        <v>3178</v>
      </c>
      <c r="G1845" s="4" t="s">
        <v>3178</v>
      </c>
      <c r="H1845" s="3">
        <v>0.393183468636045</v>
      </c>
      <c r="I1845" s="5">
        <v>125.505633</v>
      </c>
      <c r="J1845" s="6">
        <v>6.408907368636062</v>
      </c>
      <c r="K1845" s="4">
        <v>0.1518082890486661</v>
      </c>
      <c r="L1845" s="7">
        <v>1.17956360641734</v>
      </c>
      <c r="M1845" s="3">
        <v>25.37</v>
      </c>
      <c r="N1845" s="3">
        <v>14.78</v>
      </c>
    </row>
    <row r="1846" spans="1:14">
      <c r="A1846" s="8" t="s">
        <v>1858</v>
      </c>
      <c r="B1846" s="2">
        <f>HYPERLINK("https://www.suredividend.com/sure-analysis-research-database/","Monster Beverage Corp.")</f>
        <v>0</v>
      </c>
      <c r="C1846" s="1" t="s">
        <v>3184</v>
      </c>
      <c r="D1846" s="3">
        <v>52.69</v>
      </c>
      <c r="E1846" s="4">
        <v>0</v>
      </c>
      <c r="F1846" s="4" t="s">
        <v>3178</v>
      </c>
      <c r="G1846" s="4" t="s">
        <v>3178</v>
      </c>
      <c r="H1846" s="3">
        <v>0</v>
      </c>
      <c r="I1846" s="5">
        <v>54888.660333</v>
      </c>
      <c r="J1846" s="6">
        <v>32.75775223059537</v>
      </c>
      <c r="K1846" s="4">
        <v>0</v>
      </c>
      <c r="L1846" s="7">
        <v>0.7329265527148501</v>
      </c>
      <c r="M1846" s="3">
        <v>61.23</v>
      </c>
      <c r="N1846" s="3">
        <v>47.13</v>
      </c>
    </row>
    <row r="1847" spans="1:14">
      <c r="A1847" s="8" t="s">
        <v>1859</v>
      </c>
      <c r="B1847" s="2">
        <f>HYPERLINK("https://www.suredividend.com/sure-analysis-research-database/","Manitex International Inc")</f>
        <v>0</v>
      </c>
      <c r="C1847" s="1" t="s">
        <v>3179</v>
      </c>
      <c r="D1847" s="3">
        <v>5.54</v>
      </c>
      <c r="E1847" s="4">
        <v>0</v>
      </c>
      <c r="F1847" s="4" t="s">
        <v>3178</v>
      </c>
      <c r="G1847" s="4" t="s">
        <v>3178</v>
      </c>
      <c r="H1847" s="3">
        <v>0</v>
      </c>
      <c r="I1847" s="5">
        <v>112.816743</v>
      </c>
      <c r="J1847" s="6">
        <v>11.76890703317338</v>
      </c>
      <c r="K1847" s="4">
        <v>0</v>
      </c>
      <c r="L1847" s="7">
        <v>0.811059810487584</v>
      </c>
      <c r="M1847" s="3">
        <v>9.16</v>
      </c>
      <c r="N1847" s="3">
        <v>3.72</v>
      </c>
    </row>
    <row r="1848" spans="1:14">
      <c r="A1848" s="8" t="s">
        <v>1860</v>
      </c>
      <c r="B1848" s="2">
        <f>HYPERLINK("https://www.suredividend.com/sure-analysis-MO/","Altria Group Inc.")</f>
        <v>0</v>
      </c>
      <c r="C1848" s="1" t="s">
        <v>3184</v>
      </c>
      <c r="D1848" s="3">
        <v>46.7</v>
      </c>
      <c r="E1848" s="4">
        <v>0.08394004282655246</v>
      </c>
      <c r="F1848" s="4">
        <v>0.04255319148936154</v>
      </c>
      <c r="G1848" s="4">
        <v>0.04142312668144399</v>
      </c>
      <c r="H1848" s="3">
        <v>3.753734010675461</v>
      </c>
      <c r="I1848" s="5">
        <v>80213.154001</v>
      </c>
      <c r="J1848" s="6">
        <v>9.489311960345439</v>
      </c>
      <c r="K1848" s="4">
        <v>0.7853000022333601</v>
      </c>
      <c r="L1848" s="7">
        <v>0.509844861668392</v>
      </c>
      <c r="M1848" s="3">
        <v>47.19</v>
      </c>
      <c r="N1848" s="3">
        <v>37.33</v>
      </c>
    </row>
    <row r="1849" spans="1:14">
      <c r="A1849" s="8" t="s">
        <v>1861</v>
      </c>
      <c r="B1849" s="2">
        <f>HYPERLINK("https://www.suredividend.com/sure-analysis-research-database/","Mobile Iron Inc")</f>
        <v>0</v>
      </c>
      <c r="C1849" s="1" t="s">
        <v>3181</v>
      </c>
      <c r="D1849" s="3">
        <v>7.04</v>
      </c>
      <c r="E1849" s="4">
        <v>0</v>
      </c>
      <c r="F1849" s="4" t="s">
        <v>3178</v>
      </c>
      <c r="G1849" s="4" t="s">
        <v>3178</v>
      </c>
      <c r="H1849" s="3">
        <v>0</v>
      </c>
      <c r="I1849" s="5">
        <v>0</v>
      </c>
      <c r="J1849" s="6">
        <v>0</v>
      </c>
      <c r="K1849" s="4" t="s">
        <v>3178</v>
      </c>
    </row>
    <row r="1850" spans="1:14">
      <c r="A1850" s="8" t="s">
        <v>1862</v>
      </c>
      <c r="B1850" s="2">
        <f>HYPERLINK("https://www.suredividend.com/sure-analysis-research-database/","Modine Manufacturing Co.")</f>
        <v>0</v>
      </c>
      <c r="C1850" s="1" t="s">
        <v>3182</v>
      </c>
      <c r="D1850" s="3">
        <v>92.04000000000001</v>
      </c>
      <c r="E1850" s="4">
        <v>0</v>
      </c>
      <c r="F1850" s="4" t="s">
        <v>3178</v>
      </c>
      <c r="G1850" s="4" t="s">
        <v>3178</v>
      </c>
      <c r="H1850" s="3">
        <v>0</v>
      </c>
      <c r="I1850" s="5">
        <v>4815.724703</v>
      </c>
      <c r="J1850" s="6">
        <v>29.81872881362229</v>
      </c>
      <c r="K1850" s="4">
        <v>0</v>
      </c>
      <c r="L1850" s="7">
        <v>1.886876768592205</v>
      </c>
      <c r="M1850" s="3">
        <v>109.53</v>
      </c>
      <c r="N1850" s="3">
        <v>30.52</v>
      </c>
    </row>
    <row r="1851" spans="1:14">
      <c r="A1851" s="8" t="s">
        <v>1863</v>
      </c>
      <c r="B1851" s="2">
        <f>HYPERLINK("https://www.suredividend.com/sure-analysis-research-database/","Model N Inc")</f>
        <v>0</v>
      </c>
      <c r="C1851" s="1" t="s">
        <v>3181</v>
      </c>
      <c r="D1851" s="3">
        <v>29.9</v>
      </c>
      <c r="E1851" s="4">
        <v>0</v>
      </c>
      <c r="F1851" s="4" t="s">
        <v>3178</v>
      </c>
      <c r="G1851" s="4" t="s">
        <v>3178</v>
      </c>
      <c r="H1851" s="3">
        <v>0</v>
      </c>
      <c r="I1851" s="5">
        <v>1178.74761</v>
      </c>
      <c r="J1851" s="6">
        <v>4499.036680534351</v>
      </c>
      <c r="K1851" s="4">
        <v>0</v>
      </c>
      <c r="L1851" s="7">
        <v>0.890877170205788</v>
      </c>
      <c r="M1851" s="3">
        <v>35.96</v>
      </c>
      <c r="N1851" s="3">
        <v>20.9</v>
      </c>
    </row>
    <row r="1852" spans="1:14">
      <c r="A1852" s="8" t="s">
        <v>1864</v>
      </c>
      <c r="B1852" s="2">
        <f>HYPERLINK("https://www.suredividend.com/sure-analysis-research-database/","MidWestOne Financial Group Inc")</f>
        <v>0</v>
      </c>
      <c r="C1852" s="1" t="s">
        <v>3180</v>
      </c>
      <c r="D1852" s="3">
        <v>20.68</v>
      </c>
      <c r="E1852" s="4">
        <v>0.04538182167417</v>
      </c>
      <c r="F1852" s="4">
        <v>0</v>
      </c>
      <c r="G1852" s="4">
        <v>0.03671013215325902</v>
      </c>
      <c r="H1852" s="3">
        <v>0.938496072221854</v>
      </c>
      <c r="I1852" s="5">
        <v>325.819997</v>
      </c>
      <c r="J1852" s="6">
        <v>14.3337291329022</v>
      </c>
      <c r="K1852" s="4">
        <v>0.6517333834873986</v>
      </c>
      <c r="L1852" s="7">
        <v>1.040437807474136</v>
      </c>
      <c r="M1852" s="3">
        <v>26.58</v>
      </c>
      <c r="N1852" s="3">
        <v>17.96</v>
      </c>
    </row>
    <row r="1853" spans="1:14">
      <c r="A1853" s="8" t="s">
        <v>1865</v>
      </c>
      <c r="B1853" s="2">
        <f>HYPERLINK("https://www.suredividend.com/sure-analysis-research-database/","Molina Healthcare Inc")</f>
        <v>0</v>
      </c>
      <c r="C1853" s="1" t="s">
        <v>3176</v>
      </c>
      <c r="D1853" s="3">
        <v>309.56</v>
      </c>
      <c r="E1853" s="4">
        <v>0</v>
      </c>
      <c r="F1853" s="4" t="s">
        <v>3178</v>
      </c>
      <c r="G1853" s="4" t="s">
        <v>3178</v>
      </c>
      <c r="H1853" s="3">
        <v>0</v>
      </c>
      <c r="I1853" s="5">
        <v>18140.216</v>
      </c>
      <c r="J1853" s="6">
        <v>16.93764332399627</v>
      </c>
      <c r="K1853" s="4">
        <v>0</v>
      </c>
      <c r="L1853" s="7">
        <v>0.34276855296711</v>
      </c>
      <c r="M1853" s="3">
        <v>423.92</v>
      </c>
      <c r="N1853" s="3">
        <v>269.67</v>
      </c>
    </row>
    <row r="1854" spans="1:14">
      <c r="A1854" s="8" t="s">
        <v>1866</v>
      </c>
      <c r="B1854" s="2">
        <f>HYPERLINK("https://www.suredividend.com/sure-analysis-MORN/","Morningstar Inc")</f>
        <v>0</v>
      </c>
      <c r="C1854" s="1" t="s">
        <v>3180</v>
      </c>
      <c r="D1854" s="3">
        <v>287.89</v>
      </c>
      <c r="E1854" s="4">
        <v>0.005627149258397305</v>
      </c>
      <c r="F1854" s="4">
        <v>0.08000000000000007</v>
      </c>
      <c r="G1854" s="4">
        <v>0.07661245164297736</v>
      </c>
      <c r="H1854" s="3">
        <v>1.55502198394434</v>
      </c>
      <c r="I1854" s="5">
        <v>12306.02589</v>
      </c>
      <c r="J1854" s="6">
        <v>57.80190648130577</v>
      </c>
      <c r="K1854" s="4">
        <v>0.3135124967629718</v>
      </c>
      <c r="L1854" s="7">
        <v>0.6920163949927141</v>
      </c>
      <c r="M1854" s="3">
        <v>316.06</v>
      </c>
      <c r="N1854" s="3">
        <v>183.04</v>
      </c>
    </row>
    <row r="1855" spans="1:14">
      <c r="A1855" s="8" t="s">
        <v>1867</v>
      </c>
      <c r="B1855" s="2">
        <f>HYPERLINK("https://www.suredividend.com/sure-analysis-research-database/","Mosaic Company")</f>
        <v>0</v>
      </c>
      <c r="C1855" s="1" t="s">
        <v>3177</v>
      </c>
      <c r="D1855" s="3">
        <v>28.28</v>
      </c>
      <c r="E1855" s="4">
        <v>0.028706244024135</v>
      </c>
      <c r="F1855" s="4">
        <v>0.04999999999999982</v>
      </c>
      <c r="G1855" s="4">
        <v>0.3324467383744965</v>
      </c>
      <c r="H1855" s="3">
        <v>0.811812581002565</v>
      </c>
      <c r="I1855" s="5">
        <v>9088.988356</v>
      </c>
      <c r="J1855" s="6">
        <v>11.72318890199923</v>
      </c>
      <c r="K1855" s="4">
        <v>0.3454521621287511</v>
      </c>
      <c r="L1855" s="7">
        <v>0.989597945757503</v>
      </c>
      <c r="M1855" s="3">
        <v>41.76</v>
      </c>
      <c r="N1855" s="3">
        <v>27.63</v>
      </c>
    </row>
    <row r="1856" spans="1:14">
      <c r="A1856" s="8" t="s">
        <v>1868</v>
      </c>
      <c r="B1856" s="2">
        <f>HYPERLINK("https://www.suredividend.com/sure-analysis-research-database/","Motus GI Holdings Inc")</f>
        <v>0</v>
      </c>
      <c r="C1856" s="1" t="s">
        <v>3176</v>
      </c>
      <c r="D1856" s="3">
        <v>0.105</v>
      </c>
      <c r="E1856" s="4">
        <v>0</v>
      </c>
      <c r="F1856" s="4" t="s">
        <v>3178</v>
      </c>
      <c r="G1856" s="4" t="s">
        <v>3178</v>
      </c>
      <c r="H1856" s="3">
        <v>0</v>
      </c>
      <c r="I1856" s="5">
        <v>0</v>
      </c>
      <c r="J1856" s="6">
        <v>0</v>
      </c>
      <c r="K1856" s="4" t="s">
        <v>3178</v>
      </c>
    </row>
    <row r="1857" spans="1:14">
      <c r="A1857" s="8" t="s">
        <v>1869</v>
      </c>
      <c r="B1857" s="2">
        <f>HYPERLINK("https://www.suredividend.com/sure-analysis-research-database/","Movado Group, Inc.")</f>
        <v>0</v>
      </c>
      <c r="C1857" s="1" t="s">
        <v>3182</v>
      </c>
      <c r="D1857" s="3">
        <v>26.2</v>
      </c>
      <c r="E1857" s="4">
        <v>0.03957435141935</v>
      </c>
      <c r="F1857" s="4" t="s">
        <v>3178</v>
      </c>
      <c r="G1857" s="4" t="s">
        <v>3178</v>
      </c>
      <c r="H1857" s="3">
        <v>1.036848007186984</v>
      </c>
      <c r="I1857" s="5">
        <v>412.037994</v>
      </c>
      <c r="J1857" s="6">
        <v>10.18031314424075</v>
      </c>
      <c r="K1857" s="4">
        <v>0.579244696752505</v>
      </c>
      <c r="L1857" s="7">
        <v>0.898680530260982</v>
      </c>
      <c r="M1857" s="3">
        <v>31.04</v>
      </c>
      <c r="N1857" s="3">
        <v>23.05</v>
      </c>
    </row>
    <row r="1858" spans="1:14">
      <c r="A1858" s="8" t="s">
        <v>1870</v>
      </c>
      <c r="B1858" s="2">
        <f>HYPERLINK("https://www.suredividend.com/sure-analysis-research-database/","Motorcar Parts of America Inc.")</f>
        <v>0</v>
      </c>
      <c r="C1858" s="1" t="s">
        <v>3182</v>
      </c>
      <c r="D1858" s="3">
        <v>5.09</v>
      </c>
      <c r="E1858" s="4">
        <v>0</v>
      </c>
      <c r="F1858" s="4" t="s">
        <v>3178</v>
      </c>
      <c r="G1858" s="4" t="s">
        <v>3178</v>
      </c>
      <c r="H1858" s="3">
        <v>0</v>
      </c>
      <c r="I1858" s="5">
        <v>100.081514</v>
      </c>
      <c r="J1858" s="6" t="s">
        <v>3178</v>
      </c>
      <c r="K1858" s="4">
        <v>-0</v>
      </c>
      <c r="L1858" s="7">
        <v>1.641960058068908</v>
      </c>
      <c r="M1858" s="3">
        <v>10.4</v>
      </c>
      <c r="N1858" s="3">
        <v>4.73</v>
      </c>
    </row>
    <row r="1859" spans="1:14">
      <c r="A1859" s="8" t="s">
        <v>1871</v>
      </c>
      <c r="B1859" s="2">
        <f>HYPERLINK("https://www.suredividend.com/sure-analysis-research-database/","Mid Penn Bancorp, Inc.")</f>
        <v>0</v>
      </c>
      <c r="C1859" s="1" t="s">
        <v>3180</v>
      </c>
      <c r="D1859" s="3">
        <v>20.97</v>
      </c>
      <c r="E1859" s="4">
        <v>0.037078043826983</v>
      </c>
      <c r="F1859" s="4">
        <v>0</v>
      </c>
      <c r="G1859" s="4">
        <v>0.3195079107728942</v>
      </c>
      <c r="H1859" s="3">
        <v>0.7775265790518391</v>
      </c>
      <c r="I1859" s="5">
        <v>349.974705</v>
      </c>
      <c r="J1859" s="6">
        <v>0</v>
      </c>
      <c r="K1859" s="4" t="s">
        <v>3178</v>
      </c>
      <c r="L1859" s="7">
        <v>0.897931812242823</v>
      </c>
      <c r="M1859" s="3">
        <v>24.68</v>
      </c>
      <c r="N1859" s="3">
        <v>17.58</v>
      </c>
    </row>
    <row r="1860" spans="1:14">
      <c r="A1860" s="8" t="s">
        <v>1872</v>
      </c>
      <c r="B1860" s="2">
        <f>HYPERLINK("https://www.suredividend.com/sure-analysis-MPC/","Marathon Petroleum Corp")</f>
        <v>0</v>
      </c>
      <c r="C1860" s="1" t="s">
        <v>3185</v>
      </c>
      <c r="D1860" s="3">
        <v>175.1</v>
      </c>
      <c r="E1860" s="4">
        <v>0.01884637350085665</v>
      </c>
      <c r="F1860" s="4">
        <v>0.1000000000000001</v>
      </c>
      <c r="G1860" s="4">
        <v>0.09253564663886382</v>
      </c>
      <c r="H1860" s="3">
        <v>3.201979901722978</v>
      </c>
      <c r="I1860" s="5">
        <v>61693.067398</v>
      </c>
      <c r="J1860" s="6">
        <v>7.821129234051724</v>
      </c>
      <c r="K1860" s="4">
        <v>0.1574228073610117</v>
      </c>
      <c r="L1860" s="7">
        <v>0.573377339657005</v>
      </c>
      <c r="M1860" s="3">
        <v>220.06</v>
      </c>
      <c r="N1860" s="3">
        <v>106.71</v>
      </c>
    </row>
    <row r="1861" spans="1:14">
      <c r="A1861" s="8" t="s">
        <v>1873</v>
      </c>
      <c r="B1861" s="2">
        <f>HYPERLINK("https://www.suredividend.com/sure-analysis-MPW/","Medical Properties Trust Inc")</f>
        <v>0</v>
      </c>
      <c r="C1861" s="1" t="s">
        <v>3183</v>
      </c>
      <c r="D1861" s="3">
        <v>5.37</v>
      </c>
      <c r="E1861" s="4">
        <v>0.111731843575419</v>
      </c>
      <c r="F1861" s="4">
        <v>-0.4827586206896551</v>
      </c>
      <c r="G1861" s="4">
        <v>-0.09711954855256577</v>
      </c>
      <c r="H1861" s="3">
        <v>0.703528822876983</v>
      </c>
      <c r="I1861" s="5">
        <v>3222.537</v>
      </c>
      <c r="J1861" s="6" t="s">
        <v>3178</v>
      </c>
      <c r="K1861" s="4" t="s">
        <v>3178</v>
      </c>
      <c r="L1861" s="7">
        <v>1.657477673223854</v>
      </c>
      <c r="M1861" s="3">
        <v>9.880000000000001</v>
      </c>
      <c r="N1861" s="3">
        <v>2.83</v>
      </c>
    </row>
    <row r="1862" spans="1:14">
      <c r="A1862" s="8" t="s">
        <v>1874</v>
      </c>
      <c r="B1862" s="2">
        <f>HYPERLINK("https://www.suredividend.com/sure-analysis-MPWR/","Monolithic Power System Inc")</f>
        <v>0</v>
      </c>
      <c r="C1862" s="1" t="s">
        <v>3181</v>
      </c>
      <c r="D1862" s="3">
        <v>751.64</v>
      </c>
      <c r="E1862" s="4">
        <v>0.00665212069607791</v>
      </c>
      <c r="F1862" s="4">
        <v>0.25</v>
      </c>
      <c r="G1862" s="4">
        <v>0.2559432157547901</v>
      </c>
      <c r="H1862" s="3">
        <v>4.227985600794986</v>
      </c>
      <c r="I1862" s="5">
        <v>36589.194803</v>
      </c>
      <c r="J1862" s="6">
        <v>89.2173493713196</v>
      </c>
      <c r="K1862" s="4">
        <v>0.5033316191422602</v>
      </c>
      <c r="L1862" s="7">
        <v>2.325578025981638</v>
      </c>
      <c r="M1862" s="3">
        <v>776.01</v>
      </c>
      <c r="N1862" s="3">
        <v>389.4</v>
      </c>
    </row>
    <row r="1863" spans="1:14">
      <c r="A1863" s="8" t="s">
        <v>1875</v>
      </c>
      <c r="B1863" s="2">
        <f>HYPERLINK("https://www.suredividend.com/sure-analysis-research-database/","Marine Products Corp")</f>
        <v>0</v>
      </c>
      <c r="C1863" s="1" t="s">
        <v>3182</v>
      </c>
      <c r="D1863" s="3">
        <v>10.13</v>
      </c>
      <c r="E1863" s="4">
        <v>0.05424789717472701</v>
      </c>
      <c r="F1863" s="4">
        <v>4</v>
      </c>
      <c r="G1863" s="4">
        <v>0.4229294200177249</v>
      </c>
      <c r="H1863" s="3">
        <v>0.5495311983799931</v>
      </c>
      <c r="I1863" s="5">
        <v>351.338273</v>
      </c>
      <c r="J1863" s="6">
        <v>10.3627381244101</v>
      </c>
      <c r="K1863" s="4">
        <v>0.5440902954257357</v>
      </c>
      <c r="L1863" s="7">
        <v>1.048467072035539</v>
      </c>
      <c r="M1863" s="3">
        <v>17.12</v>
      </c>
      <c r="N1863" s="3">
        <v>8.949999999999999</v>
      </c>
    </row>
    <row r="1864" spans="1:14">
      <c r="A1864" s="8" t="s">
        <v>1876</v>
      </c>
      <c r="B1864" s="2">
        <f>HYPERLINK("https://www.suredividend.com/sure-analysis-research-database/","Everspin Technologies Inc")</f>
        <v>0</v>
      </c>
      <c r="C1864" s="1" t="s">
        <v>3181</v>
      </c>
      <c r="D1864" s="3">
        <v>5.9</v>
      </c>
      <c r="E1864" s="4">
        <v>0</v>
      </c>
      <c r="F1864" s="4" t="s">
        <v>3178</v>
      </c>
      <c r="G1864" s="4" t="s">
        <v>3178</v>
      </c>
      <c r="H1864" s="3">
        <v>0</v>
      </c>
      <c r="I1864" s="5">
        <v>126.974815</v>
      </c>
      <c r="J1864" s="6">
        <v>15.69722023735938</v>
      </c>
      <c r="K1864" s="4">
        <v>0</v>
      </c>
      <c r="L1864" s="7">
        <v>0.7552114809392041</v>
      </c>
      <c r="M1864" s="3">
        <v>10.5</v>
      </c>
      <c r="N1864" s="3">
        <v>5.54</v>
      </c>
    </row>
    <row r="1865" spans="1:14">
      <c r="A1865" s="8" t="s">
        <v>1877</v>
      </c>
      <c r="B1865" s="2">
        <f>HYPERLINK("https://www.suredividend.com/sure-analysis-research-database/","Meridian Corp")</f>
        <v>0</v>
      </c>
      <c r="C1865" s="1" t="s">
        <v>3180</v>
      </c>
      <c r="D1865" s="3">
        <v>10.39</v>
      </c>
      <c r="E1865" s="4">
        <v>0.04632461019442</v>
      </c>
      <c r="F1865" s="4" t="s">
        <v>3178</v>
      </c>
      <c r="G1865" s="4" t="s">
        <v>3178</v>
      </c>
      <c r="H1865" s="3">
        <v>0.4813126999200321</v>
      </c>
      <c r="I1865" s="5">
        <v>116.217501</v>
      </c>
      <c r="J1865" s="6">
        <v>9.767818192133131</v>
      </c>
      <c r="K1865" s="4">
        <v>0.1688816490947481</v>
      </c>
      <c r="L1865" s="7">
        <v>0.760014764068717</v>
      </c>
      <c r="M1865" s="3">
        <v>13.52</v>
      </c>
      <c r="N1865" s="3">
        <v>8.029999999999999</v>
      </c>
    </row>
    <row r="1866" spans="1:14">
      <c r="A1866" s="8" t="s">
        <v>1878</v>
      </c>
      <c r="B1866" s="2">
        <f>HYPERLINK("https://www.suredividend.com/sure-analysis-research-database/","MRC Global Inc")</f>
        <v>0</v>
      </c>
      <c r="C1866" s="1" t="s">
        <v>3185</v>
      </c>
      <c r="D1866" s="3">
        <v>12.64</v>
      </c>
      <c r="E1866" s="4">
        <v>0</v>
      </c>
      <c r="F1866" s="4" t="s">
        <v>3178</v>
      </c>
      <c r="G1866" s="4" t="s">
        <v>3178</v>
      </c>
      <c r="H1866" s="3">
        <v>0</v>
      </c>
      <c r="I1866" s="5">
        <v>1075.36246</v>
      </c>
      <c r="J1866" s="6">
        <v>14.33816613546667</v>
      </c>
      <c r="K1866" s="4">
        <v>0</v>
      </c>
      <c r="L1866" s="7">
        <v>1.269878095827832</v>
      </c>
      <c r="M1866" s="3">
        <v>14.02</v>
      </c>
      <c r="N1866" s="3">
        <v>8.15</v>
      </c>
    </row>
    <row r="1867" spans="1:14">
      <c r="A1867" s="8" t="s">
        <v>1879</v>
      </c>
      <c r="B1867" s="2">
        <f>HYPERLINK("https://www.suredividend.com/sure-analysis-research-database/","Mercury Systems Inc")</f>
        <v>0</v>
      </c>
      <c r="C1867" s="1" t="s">
        <v>3179</v>
      </c>
      <c r="D1867" s="3">
        <v>30.23</v>
      </c>
      <c r="E1867" s="4">
        <v>0</v>
      </c>
      <c r="F1867" s="4" t="s">
        <v>3178</v>
      </c>
      <c r="G1867" s="4" t="s">
        <v>3178</v>
      </c>
      <c r="H1867" s="3">
        <v>0</v>
      </c>
      <c r="I1867" s="5">
        <v>1794.02952</v>
      </c>
      <c r="J1867" s="6" t="s">
        <v>3178</v>
      </c>
      <c r="K1867" s="4">
        <v>-0</v>
      </c>
      <c r="L1867" s="7">
        <v>1.013219498396522</v>
      </c>
      <c r="M1867" s="3">
        <v>43.84</v>
      </c>
      <c r="N1867" s="3">
        <v>25.31</v>
      </c>
    </row>
    <row r="1868" spans="1:14">
      <c r="A1868" s="8" t="s">
        <v>1880</v>
      </c>
      <c r="B1868" s="2">
        <f>HYPERLINK("https://www.suredividend.com/sure-analysis-research-database/","Marin Software Inc")</f>
        <v>0</v>
      </c>
      <c r="C1868" s="1" t="s">
        <v>3181</v>
      </c>
      <c r="D1868" s="3">
        <v>2.47</v>
      </c>
      <c r="E1868" s="4">
        <v>0</v>
      </c>
      <c r="F1868" s="4" t="s">
        <v>3178</v>
      </c>
      <c r="G1868" s="4" t="s">
        <v>3178</v>
      </c>
      <c r="H1868" s="3">
        <v>0</v>
      </c>
      <c r="I1868" s="5">
        <v>7.672712</v>
      </c>
      <c r="J1868" s="6" t="s">
        <v>3178</v>
      </c>
      <c r="K1868" s="4">
        <v>-0</v>
      </c>
      <c r="M1868" s="3">
        <v>4.92</v>
      </c>
      <c r="N1868" s="3">
        <v>1.44</v>
      </c>
    </row>
    <row r="1869" spans="1:14">
      <c r="A1869" s="8" t="s">
        <v>1881</v>
      </c>
      <c r="B1869" s="2">
        <f>HYPERLINK("https://www.suredividend.com/sure-analysis-MRK/","Merck &amp; Co Inc")</f>
        <v>0</v>
      </c>
      <c r="C1869" s="1" t="s">
        <v>3176</v>
      </c>
      <c r="D1869" s="3">
        <v>130.67</v>
      </c>
      <c r="E1869" s="4">
        <v>0.02357082727481442</v>
      </c>
      <c r="F1869" s="4">
        <v>0.0547945205479452</v>
      </c>
      <c r="G1869" s="4">
        <v>0.06961037572506878</v>
      </c>
      <c r="H1869" s="3">
        <v>2.970637411423146</v>
      </c>
      <c r="I1869" s="5">
        <v>330961.800136</v>
      </c>
      <c r="J1869" s="6">
        <v>143.5220295471335</v>
      </c>
      <c r="K1869" s="4">
        <v>3.278849239981398</v>
      </c>
      <c r="L1869" s="7">
        <v>0.336756494273568</v>
      </c>
      <c r="M1869" s="3">
        <v>133.1</v>
      </c>
      <c r="N1869" s="3">
        <v>97.81</v>
      </c>
    </row>
    <row r="1870" spans="1:14">
      <c r="A1870" s="8" t="s">
        <v>1882</v>
      </c>
      <c r="B1870" s="2">
        <f>HYPERLINK("https://www.suredividend.com/sure-analysis-research-database/","Marker Therapeutics Inc")</f>
        <v>0</v>
      </c>
      <c r="C1870" s="1" t="s">
        <v>3176</v>
      </c>
      <c r="D1870" s="3">
        <v>3.47</v>
      </c>
      <c r="E1870" s="4">
        <v>0</v>
      </c>
      <c r="F1870" s="4" t="s">
        <v>3178</v>
      </c>
      <c r="G1870" s="4" t="s">
        <v>3178</v>
      </c>
      <c r="H1870" s="3">
        <v>0</v>
      </c>
      <c r="I1870" s="5">
        <v>30.94926</v>
      </c>
      <c r="J1870" s="6">
        <v>0</v>
      </c>
      <c r="K1870" s="4" t="s">
        <v>3178</v>
      </c>
      <c r="L1870" s="7">
        <v>0.340819069169058</v>
      </c>
      <c r="M1870" s="3">
        <v>9.68</v>
      </c>
      <c r="N1870" s="3">
        <v>2.4</v>
      </c>
    </row>
    <row r="1871" spans="1:14">
      <c r="A1871" s="8" t="s">
        <v>1883</v>
      </c>
      <c r="B1871" s="2">
        <f>HYPERLINK("https://www.suredividend.com/sure-analysis-research-database/","Marlin Business Services Corp")</f>
        <v>0</v>
      </c>
      <c r="C1871" s="1" t="s">
        <v>3180</v>
      </c>
      <c r="D1871" s="3">
        <v>23.49</v>
      </c>
      <c r="E1871" s="4">
        <v>0</v>
      </c>
      <c r="F1871" s="4" t="s">
        <v>3178</v>
      </c>
      <c r="G1871" s="4" t="s">
        <v>3178</v>
      </c>
      <c r="H1871" s="3">
        <v>0.560000002384185</v>
      </c>
      <c r="I1871" s="5">
        <v>0</v>
      </c>
      <c r="J1871" s="6">
        <v>0</v>
      </c>
      <c r="K1871" s="4">
        <v>0.1772151906279066</v>
      </c>
    </row>
    <row r="1872" spans="1:14">
      <c r="A1872" s="8" t="s">
        <v>1884</v>
      </c>
      <c r="B1872" s="2">
        <f>HYPERLINK("https://www.suredividend.com/sure-analysis-research-database/","Marinus Pharmaceuticals Inc")</f>
        <v>0</v>
      </c>
      <c r="C1872" s="1" t="s">
        <v>3176</v>
      </c>
      <c r="D1872" s="3">
        <v>1.52</v>
      </c>
      <c r="E1872" s="4">
        <v>0</v>
      </c>
      <c r="F1872" s="4" t="s">
        <v>3178</v>
      </c>
      <c r="G1872" s="4" t="s">
        <v>3178</v>
      </c>
      <c r="H1872" s="3">
        <v>0</v>
      </c>
      <c r="I1872" s="5">
        <v>83.499336</v>
      </c>
      <c r="J1872" s="6" t="s">
        <v>3178</v>
      </c>
      <c r="K1872" s="4">
        <v>-0</v>
      </c>
      <c r="L1872" s="7">
        <v>1.682032231974645</v>
      </c>
      <c r="M1872" s="3">
        <v>11.26</v>
      </c>
      <c r="N1872" s="3">
        <v>1.11</v>
      </c>
    </row>
    <row r="1873" spans="1:14">
      <c r="A1873" s="8" t="s">
        <v>1885</v>
      </c>
      <c r="B1873" s="2">
        <f>HYPERLINK("https://www.suredividend.com/sure-analysis-research-database/","Marathon Oil Corporation")</f>
        <v>0</v>
      </c>
      <c r="C1873" s="1" t="s">
        <v>3185</v>
      </c>
      <c r="D1873" s="3">
        <v>27.87</v>
      </c>
      <c r="E1873" s="4">
        <v>0.015330307335756</v>
      </c>
      <c r="F1873" s="4" t="s">
        <v>3178</v>
      </c>
      <c r="G1873" s="4" t="s">
        <v>3178</v>
      </c>
      <c r="H1873" s="3">
        <v>0.427255665447546</v>
      </c>
      <c r="I1873" s="5">
        <v>15719.669441</v>
      </c>
      <c r="J1873" s="6">
        <v>10.9621125807113</v>
      </c>
      <c r="K1873" s="4">
        <v>0.1772845084844589</v>
      </c>
      <c r="L1873" s="7">
        <v>0.545461092733577</v>
      </c>
      <c r="M1873" s="3">
        <v>29.94</v>
      </c>
      <c r="N1873" s="3">
        <v>21.49</v>
      </c>
    </row>
    <row r="1874" spans="1:14">
      <c r="A1874" s="8" t="s">
        <v>1886</v>
      </c>
      <c r="B1874" s="2">
        <f>HYPERLINK("https://www.suredividend.com/sure-analysis-research-database/","Mersana Therapeutics Inc")</f>
        <v>0</v>
      </c>
      <c r="C1874" s="1" t="s">
        <v>3176</v>
      </c>
      <c r="D1874" s="3">
        <v>2.14</v>
      </c>
      <c r="E1874" s="4">
        <v>0</v>
      </c>
      <c r="F1874" s="4" t="s">
        <v>3178</v>
      </c>
      <c r="G1874" s="4" t="s">
        <v>3178</v>
      </c>
      <c r="H1874" s="3">
        <v>0</v>
      </c>
      <c r="I1874" s="5">
        <v>261.853045</v>
      </c>
      <c r="J1874" s="6" t="s">
        <v>3178</v>
      </c>
      <c r="K1874" s="4">
        <v>-0</v>
      </c>
      <c r="L1874" s="7">
        <v>1.53889364619722</v>
      </c>
      <c r="M1874" s="3">
        <v>9.619999999999999</v>
      </c>
      <c r="N1874" s="3">
        <v>0.8014</v>
      </c>
    </row>
    <row r="1875" spans="1:14">
      <c r="A1875" s="8" t="s">
        <v>1887</v>
      </c>
      <c r="B1875" s="2">
        <f>HYPERLINK("https://www.suredividend.com/sure-analysis-research-database/","Marten Transport, Ltd.")</f>
        <v>0</v>
      </c>
      <c r="C1875" s="1" t="s">
        <v>3179</v>
      </c>
      <c r="D1875" s="3">
        <v>17.78</v>
      </c>
      <c r="E1875" s="4">
        <v>0.013373565291325</v>
      </c>
      <c r="F1875" s="4">
        <v>0</v>
      </c>
      <c r="G1875" s="4">
        <v>0.1486983549970351</v>
      </c>
      <c r="H1875" s="3">
        <v>0.237781990879762</v>
      </c>
      <c r="I1875" s="5">
        <v>1446.628966</v>
      </c>
      <c r="J1875" s="6">
        <v>25.15132858146288</v>
      </c>
      <c r="K1875" s="4">
        <v>0.336610972366594</v>
      </c>
      <c r="L1875" s="7">
        <v>0.8438507055399651</v>
      </c>
      <c r="M1875" s="3">
        <v>22.95</v>
      </c>
      <c r="N1875" s="3">
        <v>15.33</v>
      </c>
    </row>
    <row r="1876" spans="1:14">
      <c r="A1876" s="8" t="s">
        <v>1888</v>
      </c>
      <c r="B1876" s="2">
        <f>HYPERLINK("https://www.suredividend.com/sure-analysis-research-database/","Mirati Therapeutics Inc")</f>
        <v>0</v>
      </c>
      <c r="C1876" s="1" t="s">
        <v>3176</v>
      </c>
      <c r="D1876" s="3">
        <v>58.7</v>
      </c>
      <c r="E1876" s="4">
        <v>0</v>
      </c>
      <c r="F1876" s="4" t="s">
        <v>3178</v>
      </c>
      <c r="G1876" s="4" t="s">
        <v>3178</v>
      </c>
      <c r="H1876" s="3">
        <v>0</v>
      </c>
      <c r="I1876" s="5">
        <v>0</v>
      </c>
      <c r="J1876" s="6">
        <v>0</v>
      </c>
      <c r="K1876" s="4">
        <v>-0</v>
      </c>
    </row>
    <row r="1877" spans="1:14">
      <c r="A1877" s="8" t="s">
        <v>1889</v>
      </c>
      <c r="B1877" s="2">
        <f>HYPERLINK("https://www.suredividend.com/sure-analysis-research-database/","Marvell Technology Inc")</f>
        <v>0</v>
      </c>
      <c r="C1877" s="1" t="s">
        <v>3181</v>
      </c>
      <c r="D1877" s="3">
        <v>67.98999999999999</v>
      </c>
      <c r="E1877" s="4">
        <v>0.003519783700892</v>
      </c>
      <c r="F1877" s="4">
        <v>0</v>
      </c>
      <c r="G1877" s="4">
        <v>0</v>
      </c>
      <c r="H1877" s="3">
        <v>0.23931009382367</v>
      </c>
      <c r="I1877" s="5">
        <v>58852.144</v>
      </c>
      <c r="J1877" s="6" t="s">
        <v>3178</v>
      </c>
      <c r="K1877" s="4" t="s">
        <v>3178</v>
      </c>
      <c r="L1877" s="7">
        <v>2.153574936890872</v>
      </c>
      <c r="M1877" s="3">
        <v>85.61</v>
      </c>
      <c r="N1877" s="3">
        <v>45.9</v>
      </c>
    </row>
    <row r="1878" spans="1:14">
      <c r="A1878" s="8" t="s">
        <v>1890</v>
      </c>
      <c r="B1878" s="2">
        <f>HYPERLINK("https://www.suredividend.com/sure-analysis-MS/","Morgan Stanley")</f>
        <v>0</v>
      </c>
      <c r="C1878" s="1" t="s">
        <v>3180</v>
      </c>
      <c r="D1878" s="3">
        <v>97.14</v>
      </c>
      <c r="E1878" s="4">
        <v>0.03500102944204241</v>
      </c>
      <c r="F1878" s="4">
        <v>0.09677419354838701</v>
      </c>
      <c r="G1878" s="4">
        <v>0.1941810528171777</v>
      </c>
      <c r="H1878" s="3">
        <v>3.350239857270344</v>
      </c>
      <c r="I1878" s="5">
        <v>157868.302347</v>
      </c>
      <c r="J1878" s="6">
        <v>17.61923017261607</v>
      </c>
      <c r="K1878" s="4">
        <v>0.6113576381880189</v>
      </c>
      <c r="L1878" s="7">
        <v>1.017363582037636</v>
      </c>
      <c r="M1878" s="3">
        <v>103.25</v>
      </c>
      <c r="N1878" s="3">
        <v>68.04000000000001</v>
      </c>
    </row>
    <row r="1879" spans="1:14">
      <c r="A1879" s="8" t="s">
        <v>1891</v>
      </c>
      <c r="B1879" s="2">
        <f>HYPERLINK("https://www.suredividend.com/sure-analysis-MSA/","MSA Safety Inc")</f>
        <v>0</v>
      </c>
      <c r="C1879" s="1" t="s">
        <v>3179</v>
      </c>
      <c r="D1879" s="3">
        <v>171.23</v>
      </c>
      <c r="E1879" s="4">
        <v>0.01191380015184255</v>
      </c>
      <c r="F1879" s="4">
        <v>0.08510638297872331</v>
      </c>
      <c r="G1879" s="4">
        <v>0.03959498820755258</v>
      </c>
      <c r="H1879" s="3">
        <v>1.912329248319088</v>
      </c>
      <c r="I1879" s="5">
        <v>6743.421298</v>
      </c>
      <c r="J1879" s="6">
        <v>25.27320299998875</v>
      </c>
      <c r="K1879" s="4">
        <v>0.283308036788013</v>
      </c>
      <c r="L1879" s="7">
        <v>0.699684905027368</v>
      </c>
      <c r="M1879" s="3">
        <v>195.49</v>
      </c>
      <c r="N1879" s="3">
        <v>146.13</v>
      </c>
    </row>
    <row r="1880" spans="1:14">
      <c r="A1880" s="8" t="s">
        <v>1892</v>
      </c>
      <c r="B1880" s="2">
        <f>HYPERLINK("https://www.suredividend.com/sure-analysis-research-database/","Midland States Bancorp Inc")</f>
        <v>0</v>
      </c>
      <c r="C1880" s="1" t="s">
        <v>3180</v>
      </c>
      <c r="D1880" s="3">
        <v>22.35</v>
      </c>
      <c r="E1880" s="4">
        <v>0.05255256921154</v>
      </c>
      <c r="F1880" s="4">
        <v>0.03333333333333321</v>
      </c>
      <c r="G1880" s="4">
        <v>0.05034020601589084</v>
      </c>
      <c r="H1880" s="3">
        <v>1.174549921877919</v>
      </c>
      <c r="I1880" s="5">
        <v>480.117381</v>
      </c>
      <c r="J1880" s="6">
        <v>8.184749074326628</v>
      </c>
      <c r="K1880" s="4">
        <v>0.4399063377819921</v>
      </c>
      <c r="L1880" s="7">
        <v>0.9613109470402501</v>
      </c>
      <c r="M1880" s="3">
        <v>27.03</v>
      </c>
      <c r="N1880" s="3">
        <v>17.63</v>
      </c>
    </row>
    <row r="1881" spans="1:14">
      <c r="A1881" s="8" t="s">
        <v>1893</v>
      </c>
      <c r="B1881" s="2">
        <f>HYPERLINK("https://www.suredividend.com/sure-analysis-research-database/","MSCI Inc")</f>
        <v>0</v>
      </c>
      <c r="C1881" s="1" t="s">
        <v>3180</v>
      </c>
      <c r="D1881" s="3">
        <v>491.69</v>
      </c>
      <c r="E1881" s="4">
        <v>0.012069137789687</v>
      </c>
      <c r="F1881" s="4">
        <v>0.1594202898550727</v>
      </c>
      <c r="G1881" s="4">
        <v>0.1866488262354233</v>
      </c>
      <c r="H1881" s="3">
        <v>5.934274359811454</v>
      </c>
      <c r="I1881" s="5">
        <v>38953.74739</v>
      </c>
      <c r="J1881" s="6">
        <v>33.41323207369418</v>
      </c>
      <c r="K1881" s="4">
        <v>0.4050699221714303</v>
      </c>
      <c r="L1881" s="7">
        <v>0.9252786737778881</v>
      </c>
      <c r="M1881" s="3">
        <v>613.66</v>
      </c>
      <c r="N1881" s="3">
        <v>438.51</v>
      </c>
    </row>
    <row r="1882" spans="1:14">
      <c r="A1882" s="8" t="s">
        <v>1894</v>
      </c>
      <c r="B1882" s="2">
        <f>HYPERLINK("https://www.suredividend.com/sure-analysis-MSEX/","Middlesex Water Co.")</f>
        <v>0</v>
      </c>
      <c r="C1882" s="1" t="s">
        <v>3186</v>
      </c>
      <c r="D1882" s="3">
        <v>52.58</v>
      </c>
      <c r="E1882" s="4">
        <v>0.02472422974515025</v>
      </c>
      <c r="F1882" s="4">
        <v>0.04000000000000004</v>
      </c>
      <c r="G1882" s="4">
        <v>0.04868220215701746</v>
      </c>
      <c r="H1882" s="3">
        <v>1.266206320979683</v>
      </c>
      <c r="I1882" s="5">
        <v>937.427998</v>
      </c>
      <c r="J1882" s="6">
        <v>25.88293109282677</v>
      </c>
      <c r="K1882" s="4">
        <v>0.6268348123661797</v>
      </c>
      <c r="L1882" s="7">
        <v>0.7104441334362871</v>
      </c>
      <c r="M1882" s="3">
        <v>80.97</v>
      </c>
      <c r="N1882" s="3">
        <v>44.91</v>
      </c>
    </row>
    <row r="1883" spans="1:14">
      <c r="A1883" s="8" t="s">
        <v>1895</v>
      </c>
      <c r="B1883" s="2">
        <f>HYPERLINK("https://www.suredividend.com/sure-analysis-MSFT/","Microsoft Corporation")</f>
        <v>0</v>
      </c>
      <c r="C1883" s="1" t="s">
        <v>3181</v>
      </c>
      <c r="D1883" s="3">
        <v>423.85</v>
      </c>
      <c r="E1883" s="4">
        <v>0.0070779756989501</v>
      </c>
      <c r="F1883" s="4">
        <v>0.1029411764705881</v>
      </c>
      <c r="G1883" s="4">
        <v>0.102708408810896</v>
      </c>
      <c r="H1883" s="3">
        <v>2.91417156629951</v>
      </c>
      <c r="I1883" s="5">
        <v>3150182.810787</v>
      </c>
      <c r="J1883" s="6">
        <v>36.55310115671552</v>
      </c>
      <c r="K1883" s="4">
        <v>0.252527865363909</v>
      </c>
      <c r="L1883" s="7">
        <v>1.241119870835477</v>
      </c>
      <c r="M1883" s="3">
        <v>433.6</v>
      </c>
      <c r="N1883" s="3">
        <v>305.96</v>
      </c>
    </row>
    <row r="1884" spans="1:14">
      <c r="A1884" s="8" t="s">
        <v>1896</v>
      </c>
      <c r="B1884" s="2">
        <f>HYPERLINK("https://www.suredividend.com/sure-analysis-research-database/","MSG Networks Inc")</f>
        <v>0</v>
      </c>
      <c r="C1884" s="1" t="s">
        <v>3187</v>
      </c>
      <c r="D1884" s="3">
        <v>14.17</v>
      </c>
      <c r="E1884" s="4">
        <v>0</v>
      </c>
      <c r="F1884" s="4" t="s">
        <v>3178</v>
      </c>
      <c r="G1884" s="4" t="s">
        <v>3178</v>
      </c>
      <c r="H1884" s="3">
        <v>0</v>
      </c>
      <c r="I1884" s="5">
        <v>615.8265</v>
      </c>
      <c r="J1884" s="6">
        <v>3.458980434404084</v>
      </c>
      <c r="K1884" s="4">
        <v>0</v>
      </c>
      <c r="L1884" s="7">
        <v>0.546654455266538</v>
      </c>
      <c r="M1884" s="3">
        <v>20.9</v>
      </c>
      <c r="N1884" s="3">
        <v>8.57</v>
      </c>
    </row>
    <row r="1885" spans="1:14">
      <c r="A1885" s="8" t="s">
        <v>1897</v>
      </c>
      <c r="B1885" s="2">
        <f>HYPERLINK("https://www.suredividend.com/sure-analysis-MSI/","Motorola Solutions Inc")</f>
        <v>0</v>
      </c>
      <c r="C1885" s="1" t="s">
        <v>3181</v>
      </c>
      <c r="D1885" s="3">
        <v>371.06</v>
      </c>
      <c r="E1885" s="4">
        <v>0.01056432921899423</v>
      </c>
      <c r="F1885" s="4">
        <v>0.1136363636363635</v>
      </c>
      <c r="G1885" s="4">
        <v>0.1144747772818664</v>
      </c>
      <c r="H1885" s="3">
        <v>3.70417753785672</v>
      </c>
      <c r="I1885" s="5">
        <v>61892.808</v>
      </c>
      <c r="J1885" s="6">
        <v>44.46322413793104</v>
      </c>
      <c r="K1885" s="4">
        <v>0.4539433257177353</v>
      </c>
      <c r="L1885" s="7">
        <v>0.7855915240413871</v>
      </c>
      <c r="M1885" s="3">
        <v>373.75</v>
      </c>
      <c r="N1885" s="3">
        <v>268.07</v>
      </c>
    </row>
    <row r="1886" spans="1:14">
      <c r="A1886" s="8" t="s">
        <v>1898</v>
      </c>
      <c r="B1886" s="2">
        <f>HYPERLINK("https://www.suredividend.com/sure-analysis-MSM/","MSC Industrial Direct Co., Inc.")</f>
        <v>0</v>
      </c>
      <c r="C1886" s="1" t="s">
        <v>3179</v>
      </c>
      <c r="D1886" s="3">
        <v>85.33</v>
      </c>
      <c r="E1886" s="4">
        <v>0.03890776983475917</v>
      </c>
      <c r="F1886" s="4">
        <v>0.05063291139240511</v>
      </c>
      <c r="G1886" s="4">
        <v>-0.3017328395749763</v>
      </c>
      <c r="H1886" s="3">
        <v>3.238286960105589</v>
      </c>
      <c r="I1886" s="5">
        <v>4804.131137</v>
      </c>
      <c r="J1886" s="6">
        <v>15.30095018928198</v>
      </c>
      <c r="K1886" s="4">
        <v>0.5824257122492067</v>
      </c>
      <c r="L1886" s="7">
        <v>0.7541052289916711</v>
      </c>
      <c r="M1886" s="3">
        <v>103.85</v>
      </c>
      <c r="N1886" s="3">
        <v>83.56999999999999</v>
      </c>
    </row>
    <row r="1887" spans="1:14">
      <c r="A1887" s="8" t="s">
        <v>1899</v>
      </c>
      <c r="B1887" s="2">
        <f>HYPERLINK("https://www.suredividend.com/sure-analysis-research-database/","Emerson Radio Corp.")</f>
        <v>0</v>
      </c>
      <c r="C1887" s="1" t="s">
        <v>3181</v>
      </c>
      <c r="D1887" s="3">
        <v>0.5389</v>
      </c>
      <c r="E1887" s="4">
        <v>0</v>
      </c>
      <c r="F1887" s="4" t="s">
        <v>3178</v>
      </c>
      <c r="G1887" s="4" t="s">
        <v>3178</v>
      </c>
      <c r="H1887" s="3">
        <v>0</v>
      </c>
      <c r="I1887" s="5">
        <v>11.339885</v>
      </c>
      <c r="J1887" s="6">
        <v>6.443116569772728</v>
      </c>
      <c r="K1887" s="4">
        <v>0</v>
      </c>
      <c r="M1887" s="3">
        <v>0.64</v>
      </c>
      <c r="N1887" s="3">
        <v>0.47</v>
      </c>
    </row>
    <row r="1888" spans="1:14">
      <c r="A1888" s="8" t="s">
        <v>1900</v>
      </c>
      <c r="B1888" s="2">
        <f>HYPERLINK("https://www.suredividend.com/sure-analysis-research-database/","Misonix Inc")</f>
        <v>0</v>
      </c>
      <c r="C1888" s="1" t="s">
        <v>3176</v>
      </c>
      <c r="D1888" s="3">
        <v>26.54</v>
      </c>
      <c r="E1888" s="4">
        <v>0</v>
      </c>
      <c r="F1888" s="4" t="s">
        <v>3178</v>
      </c>
      <c r="G1888" s="4" t="s">
        <v>3178</v>
      </c>
      <c r="H1888" s="3">
        <v>0</v>
      </c>
      <c r="I1888" s="5">
        <v>0</v>
      </c>
      <c r="J1888" s="6">
        <v>0</v>
      </c>
      <c r="K1888" s="4">
        <v>-0</v>
      </c>
    </row>
    <row r="1889" spans="1:14">
      <c r="A1889" s="8" t="s">
        <v>1901</v>
      </c>
      <c r="B1889" s="2">
        <f>HYPERLINK("https://www.suredividend.com/sure-analysis-research-database/","Microstrategy Inc.")</f>
        <v>0</v>
      </c>
      <c r="C1889" s="1" t="s">
        <v>3181</v>
      </c>
      <c r="D1889" s="3">
        <v>1596.2</v>
      </c>
      <c r="E1889" s="4">
        <v>0</v>
      </c>
      <c r="F1889" s="4" t="s">
        <v>3178</v>
      </c>
      <c r="G1889" s="4" t="s">
        <v>3178</v>
      </c>
      <c r="H1889" s="3">
        <v>0</v>
      </c>
      <c r="I1889" s="5">
        <v>25177.510657</v>
      </c>
      <c r="J1889" s="6" t="s">
        <v>3178</v>
      </c>
      <c r="K1889" s="4">
        <v>-0</v>
      </c>
      <c r="L1889" s="7">
        <v>2.272296659756762</v>
      </c>
      <c r="M1889" s="3">
        <v>1999.99</v>
      </c>
      <c r="N1889" s="3">
        <v>266</v>
      </c>
    </row>
    <row r="1890" spans="1:14">
      <c r="A1890" s="8" t="s">
        <v>1902</v>
      </c>
      <c r="B1890" s="2">
        <f>HYPERLINK("https://www.suredividend.com/sure-analysis-MTB/","M &amp; T Bank Corp")</f>
        <v>0</v>
      </c>
      <c r="C1890" s="1" t="s">
        <v>3180</v>
      </c>
      <c r="D1890" s="3">
        <v>146.82</v>
      </c>
      <c r="E1890" s="4">
        <v>0.03541751804931208</v>
      </c>
      <c r="F1890" s="4">
        <v>0.03846153846153855</v>
      </c>
      <c r="G1890" s="4">
        <v>0.06185875879493463</v>
      </c>
      <c r="H1890" s="3">
        <v>5.178306678589174</v>
      </c>
      <c r="I1890" s="5">
        <v>24497.566091</v>
      </c>
      <c r="J1890" s="6">
        <v>9.93617748150065</v>
      </c>
      <c r="K1890" s="4">
        <v>0.3501221554150896</v>
      </c>
      <c r="L1890" s="7">
        <v>1.042194212257418</v>
      </c>
      <c r="M1890" s="3">
        <v>155.26</v>
      </c>
      <c r="N1890" s="3">
        <v>105.48</v>
      </c>
    </row>
    <row r="1891" spans="1:14">
      <c r="A1891" s="8" t="s">
        <v>1903</v>
      </c>
      <c r="B1891" s="2">
        <f>HYPERLINK("https://www.suredividend.com/sure-analysis-research-database/","Match Group Inc.")</f>
        <v>0</v>
      </c>
      <c r="C1891" s="1" t="s">
        <v>3187</v>
      </c>
      <c r="D1891" s="3">
        <v>32.02</v>
      </c>
      <c r="E1891" s="4">
        <v>0</v>
      </c>
      <c r="F1891" s="4" t="s">
        <v>3178</v>
      </c>
      <c r="G1891" s="4" t="s">
        <v>3178</v>
      </c>
      <c r="H1891" s="3">
        <v>0</v>
      </c>
      <c r="I1891" s="5">
        <v>8506.693042000001</v>
      </c>
      <c r="J1891" s="6">
        <v>13.00860804599283</v>
      </c>
      <c r="K1891" s="4">
        <v>0</v>
      </c>
      <c r="L1891" s="7">
        <v>1.020057103207942</v>
      </c>
      <c r="M1891" s="3">
        <v>49.24</v>
      </c>
      <c r="N1891" s="3">
        <v>27.66</v>
      </c>
    </row>
    <row r="1892" spans="1:14">
      <c r="A1892" s="8" t="s">
        <v>1904</v>
      </c>
      <c r="B1892" s="2">
        <f>HYPERLINK("https://www.suredividend.com/sure-analysis-research-database/","Mettler-Toledo International, Inc.")</f>
        <v>0</v>
      </c>
      <c r="C1892" s="1" t="s">
        <v>3176</v>
      </c>
      <c r="D1892" s="3">
        <v>1438.58</v>
      </c>
      <c r="E1892" s="4">
        <v>0</v>
      </c>
      <c r="F1892" s="4" t="s">
        <v>3178</v>
      </c>
      <c r="G1892" s="4" t="s">
        <v>3178</v>
      </c>
      <c r="H1892" s="3">
        <v>0</v>
      </c>
      <c r="I1892" s="5">
        <v>30724.285335</v>
      </c>
      <c r="J1892" s="6">
        <v>38.9517523746859</v>
      </c>
      <c r="K1892" s="4">
        <v>0</v>
      </c>
      <c r="L1892" s="7">
        <v>1.177698988977773</v>
      </c>
      <c r="M1892" s="3">
        <v>1535.86</v>
      </c>
      <c r="N1892" s="3">
        <v>928.5</v>
      </c>
    </row>
    <row r="1893" spans="1:14">
      <c r="A1893" s="8" t="s">
        <v>1905</v>
      </c>
      <c r="B1893" s="2">
        <f>HYPERLINK("https://www.suredividend.com/sure-analysis-research-database/","Matador Resources Co")</f>
        <v>0</v>
      </c>
      <c r="C1893" s="1" t="s">
        <v>3185</v>
      </c>
      <c r="D1893" s="3">
        <v>58.05</v>
      </c>
      <c r="E1893" s="4">
        <v>0.012860856091029</v>
      </c>
      <c r="F1893" s="4" t="s">
        <v>3178</v>
      </c>
      <c r="G1893" s="4" t="s">
        <v>3178</v>
      </c>
      <c r="H1893" s="3">
        <v>0.746572696084268</v>
      </c>
      <c r="I1893" s="5">
        <v>7243.493454</v>
      </c>
      <c r="J1893" s="6">
        <v>8.262480371187431</v>
      </c>
      <c r="K1893" s="4">
        <v>0.1022702323403107</v>
      </c>
      <c r="L1893" s="7">
        <v>0.7776535574810121</v>
      </c>
      <c r="M1893" s="3">
        <v>70.86</v>
      </c>
      <c r="N1893" s="3">
        <v>47.16</v>
      </c>
    </row>
    <row r="1894" spans="1:14">
      <c r="A1894" s="8" t="s">
        <v>1906</v>
      </c>
      <c r="B1894" s="2">
        <f>HYPERLINK("https://www.suredividend.com/sure-analysis-research-database/","Molecular Templates Inc")</f>
        <v>0</v>
      </c>
      <c r="C1894" s="1" t="s">
        <v>3176</v>
      </c>
      <c r="D1894" s="3">
        <v>1.18</v>
      </c>
      <c r="E1894" s="4">
        <v>0</v>
      </c>
      <c r="F1894" s="4" t="s">
        <v>3178</v>
      </c>
      <c r="G1894" s="4" t="s">
        <v>3178</v>
      </c>
      <c r="H1894" s="3">
        <v>0</v>
      </c>
      <c r="I1894" s="5">
        <v>7.768978</v>
      </c>
      <c r="J1894" s="6" t="s">
        <v>3178</v>
      </c>
      <c r="K1894" s="4">
        <v>0</v>
      </c>
      <c r="M1894" s="3">
        <v>9.449999999999999</v>
      </c>
      <c r="N1894" s="3">
        <v>1.02</v>
      </c>
    </row>
    <row r="1895" spans="1:14">
      <c r="A1895" s="8" t="s">
        <v>1907</v>
      </c>
      <c r="B1895" s="2">
        <f>HYPERLINK("https://www.suredividend.com/sure-analysis-research-database/","Mannatech Inc")</f>
        <v>0</v>
      </c>
      <c r="C1895" s="1" t="s">
        <v>3184</v>
      </c>
      <c r="D1895" s="3">
        <v>7.7464</v>
      </c>
      <c r="E1895" s="4">
        <v>0</v>
      </c>
      <c r="F1895" s="4" t="s">
        <v>3178</v>
      </c>
      <c r="G1895" s="4" t="s">
        <v>3178</v>
      </c>
      <c r="H1895" s="3">
        <v>0.200000002980232</v>
      </c>
      <c r="I1895" s="5">
        <v>14.600523</v>
      </c>
      <c r="J1895" s="6" t="s">
        <v>3178</v>
      </c>
      <c r="K1895" s="4" t="s">
        <v>3178</v>
      </c>
      <c r="M1895" s="3">
        <v>15.1</v>
      </c>
      <c r="N1895" s="3">
        <v>7.3</v>
      </c>
    </row>
    <row r="1896" spans="1:14">
      <c r="A1896" s="8" t="s">
        <v>1908</v>
      </c>
      <c r="B1896" s="2">
        <f>HYPERLINK("https://www.suredividend.com/sure-analysis-research-database/","MGIC Investment Corp")</f>
        <v>0</v>
      </c>
      <c r="C1896" s="1" t="s">
        <v>3180</v>
      </c>
      <c r="D1896" s="3">
        <v>20.94</v>
      </c>
      <c r="E1896" s="4">
        <v>0.021777018961603</v>
      </c>
      <c r="F1896" s="4">
        <v>0.1499999999999999</v>
      </c>
      <c r="G1896" s="4">
        <v>0.1389622185878991</v>
      </c>
      <c r="H1896" s="3">
        <v>0.456010777055979</v>
      </c>
      <c r="I1896" s="5">
        <v>5582.336345</v>
      </c>
      <c r="J1896" s="6">
        <v>7.620947393675623</v>
      </c>
      <c r="K1896" s="4">
        <v>0.1753887604061458</v>
      </c>
      <c r="L1896" s="7">
        <v>0.7401937696824831</v>
      </c>
      <c r="M1896" s="3">
        <v>22.31</v>
      </c>
      <c r="N1896" s="3">
        <v>14.66</v>
      </c>
    </row>
    <row r="1897" spans="1:14">
      <c r="A1897" s="8" t="s">
        <v>1909</v>
      </c>
      <c r="B1897" s="2">
        <f>HYPERLINK("https://www.suredividend.com/sure-analysis-research-database/","Meritage Homes Corp.")</f>
        <v>0</v>
      </c>
      <c r="C1897" s="1" t="s">
        <v>3182</v>
      </c>
      <c r="D1897" s="3">
        <v>169.24</v>
      </c>
      <c r="E1897" s="4">
        <v>0.009186845777762001</v>
      </c>
      <c r="F1897" s="4" t="s">
        <v>3178</v>
      </c>
      <c r="G1897" s="4" t="s">
        <v>3178</v>
      </c>
      <c r="H1897" s="3">
        <v>1.554781779428511</v>
      </c>
      <c r="I1897" s="5">
        <v>6146.629929</v>
      </c>
      <c r="J1897" s="6">
        <v>7.746586708340527</v>
      </c>
      <c r="K1897" s="4">
        <v>0.07248399904095623</v>
      </c>
      <c r="L1897" s="7">
        <v>1.621726255864516</v>
      </c>
      <c r="M1897" s="3">
        <v>189.96</v>
      </c>
      <c r="N1897" s="3">
        <v>108.54</v>
      </c>
    </row>
    <row r="1898" spans="1:14">
      <c r="A1898" s="8" t="s">
        <v>1910</v>
      </c>
      <c r="B1898" s="2">
        <f>HYPERLINK("https://www.suredividend.com/sure-analysis-research-database/","Vail Resorts Inc.")</f>
        <v>0</v>
      </c>
      <c r="C1898" s="1" t="s">
        <v>3182</v>
      </c>
      <c r="D1898" s="3">
        <v>173.94</v>
      </c>
      <c r="E1898" s="4">
        <v>0.047602531430985</v>
      </c>
      <c r="F1898" s="4" t="s">
        <v>3178</v>
      </c>
      <c r="G1898" s="4" t="s">
        <v>3178</v>
      </c>
      <c r="H1898" s="3">
        <v>8.279984317105631</v>
      </c>
      <c r="I1898" s="5">
        <v>6544.321343</v>
      </c>
      <c r="J1898" s="6">
        <v>27.24223897829969</v>
      </c>
      <c r="K1898" s="4">
        <v>1.331187189245278</v>
      </c>
      <c r="L1898" s="7">
        <v>1.118291169478429</v>
      </c>
      <c r="M1898" s="3">
        <v>247.43</v>
      </c>
      <c r="N1898" s="3">
        <v>165.14</v>
      </c>
    </row>
    <row r="1899" spans="1:14">
      <c r="A1899" s="8" t="s">
        <v>1911</v>
      </c>
      <c r="B1899" s="2">
        <f>HYPERLINK("https://www.suredividend.com/sure-analysis-research-database/","Matinas Biopharma Holdings Inc")</f>
        <v>0</v>
      </c>
      <c r="C1899" s="1" t="s">
        <v>3176</v>
      </c>
      <c r="D1899" s="3">
        <v>0.1589</v>
      </c>
      <c r="E1899" s="4">
        <v>0</v>
      </c>
      <c r="F1899" s="4" t="s">
        <v>3178</v>
      </c>
      <c r="G1899" s="4" t="s">
        <v>3178</v>
      </c>
      <c r="H1899" s="3">
        <v>0</v>
      </c>
      <c r="I1899" s="5">
        <v>39.854688</v>
      </c>
      <c r="J1899" s="6" t="s">
        <v>3178</v>
      </c>
      <c r="K1899" s="4">
        <v>-0</v>
      </c>
      <c r="L1899" s="7">
        <v>1.795491193903362</v>
      </c>
      <c r="M1899" s="3">
        <v>0.89</v>
      </c>
      <c r="N1899" s="3">
        <v>0.1103</v>
      </c>
    </row>
    <row r="1900" spans="1:14">
      <c r="A1900" s="8" t="s">
        <v>1912</v>
      </c>
      <c r="B1900" s="2">
        <f>HYPERLINK("https://www.suredividend.com/sure-analysis-research-database/","Meritor Inc")</f>
        <v>0</v>
      </c>
      <c r="C1900" s="1" t="s">
        <v>3182</v>
      </c>
      <c r="D1900" s="3">
        <v>36.5</v>
      </c>
      <c r="E1900" s="4">
        <v>0</v>
      </c>
      <c r="F1900" s="4" t="s">
        <v>3178</v>
      </c>
      <c r="G1900" s="4" t="s">
        <v>3178</v>
      </c>
      <c r="H1900" s="3">
        <v>0</v>
      </c>
      <c r="I1900" s="5">
        <v>2586.229364</v>
      </c>
      <c r="J1900" s="6">
        <v>11.75558801590909</v>
      </c>
      <c r="K1900" s="4">
        <v>0</v>
      </c>
      <c r="L1900" s="7">
        <v>0.264769734473721</v>
      </c>
      <c r="M1900" s="3">
        <v>36.5</v>
      </c>
      <c r="N1900" s="3">
        <v>20.5</v>
      </c>
    </row>
    <row r="1901" spans="1:14">
      <c r="A1901" s="8" t="s">
        <v>1913</v>
      </c>
      <c r="B1901" s="2">
        <f>HYPERLINK("https://www.suredividend.com/sure-analysis-research-database/","Materion Corp")</f>
        <v>0</v>
      </c>
      <c r="C1901" s="1" t="s">
        <v>3177</v>
      </c>
      <c r="D1901" s="3">
        <v>110.21</v>
      </c>
      <c r="E1901" s="4">
        <v>0.00475584099134</v>
      </c>
      <c r="F1901" s="4">
        <v>0.03846153846153855</v>
      </c>
      <c r="G1901" s="4">
        <v>0.04180926810264429</v>
      </c>
      <c r="H1901" s="3">
        <v>0.5241412356556241</v>
      </c>
      <c r="I1901" s="5">
        <v>2284.751938</v>
      </c>
      <c r="J1901" s="6">
        <v>27.3547638129617</v>
      </c>
      <c r="K1901" s="4">
        <v>0.1313637182094296</v>
      </c>
      <c r="L1901" s="7">
        <v>1.600526756703271</v>
      </c>
      <c r="M1901" s="3">
        <v>144.77</v>
      </c>
      <c r="N1901" s="3">
        <v>91.93000000000001</v>
      </c>
    </row>
    <row r="1902" spans="1:14">
      <c r="A1902" s="8" t="s">
        <v>1914</v>
      </c>
      <c r="B1902" s="2">
        <f>HYPERLINK("https://www.suredividend.com/sure-analysis-research-database/","Matrix Service Co.")</f>
        <v>0</v>
      </c>
      <c r="C1902" s="1" t="s">
        <v>3185</v>
      </c>
      <c r="D1902" s="3">
        <v>10.84</v>
      </c>
      <c r="E1902" s="4">
        <v>0</v>
      </c>
      <c r="F1902" s="4" t="s">
        <v>3178</v>
      </c>
      <c r="G1902" s="4" t="s">
        <v>3178</v>
      </c>
      <c r="H1902" s="3">
        <v>0</v>
      </c>
      <c r="I1902" s="5">
        <v>296.027338</v>
      </c>
      <c r="J1902" s="6" t="s">
        <v>3178</v>
      </c>
      <c r="K1902" s="4">
        <v>-0</v>
      </c>
      <c r="L1902" s="7">
        <v>0.327920468405944</v>
      </c>
      <c r="M1902" s="3">
        <v>13.9</v>
      </c>
      <c r="N1902" s="3">
        <v>5.3</v>
      </c>
    </row>
    <row r="1903" spans="1:14">
      <c r="A1903" s="8" t="s">
        <v>1915</v>
      </c>
      <c r="B1903" s="2">
        <f>HYPERLINK("https://www.suredividend.com/sure-analysis-research-database/","MTS Systems Corp.")</f>
        <v>0</v>
      </c>
      <c r="C1903" s="1" t="s">
        <v>3181</v>
      </c>
      <c r="D1903" s="3">
        <v>58.49</v>
      </c>
      <c r="E1903" s="4">
        <v>0</v>
      </c>
      <c r="F1903" s="4" t="s">
        <v>3178</v>
      </c>
      <c r="G1903" s="4" t="s">
        <v>3178</v>
      </c>
      <c r="H1903" s="3">
        <v>0</v>
      </c>
      <c r="I1903" s="5">
        <v>0</v>
      </c>
      <c r="J1903" s="6">
        <v>0</v>
      </c>
      <c r="K1903" s="4">
        <v>-0</v>
      </c>
    </row>
    <row r="1904" spans="1:14">
      <c r="A1904" s="8" t="s">
        <v>1916</v>
      </c>
      <c r="B1904" s="2">
        <f>HYPERLINK("https://www.suredividend.com/sure-analysis-research-database/","MACOM Technology Solutions Holdings Inc")</f>
        <v>0</v>
      </c>
      <c r="C1904" s="1" t="s">
        <v>3181</v>
      </c>
      <c r="D1904" s="3">
        <v>101.4</v>
      </c>
      <c r="E1904" s="4">
        <v>0</v>
      </c>
      <c r="F1904" s="4" t="s">
        <v>3178</v>
      </c>
      <c r="G1904" s="4" t="s">
        <v>3178</v>
      </c>
      <c r="H1904" s="3">
        <v>0</v>
      </c>
      <c r="I1904" s="5">
        <v>7311.606908</v>
      </c>
      <c r="J1904" s="6">
        <v>114.5858250058769</v>
      </c>
      <c r="K1904" s="4">
        <v>0</v>
      </c>
      <c r="L1904" s="7">
        <v>1.682893487709238</v>
      </c>
      <c r="M1904" s="3">
        <v>107</v>
      </c>
      <c r="N1904" s="3">
        <v>58.79</v>
      </c>
    </row>
    <row r="1905" spans="1:14">
      <c r="A1905" s="8" t="s">
        <v>1917</v>
      </c>
      <c r="B1905" s="2">
        <f>HYPERLINK("https://www.suredividend.com/sure-analysis-research-database/","Manitowoc Co., Inc.")</f>
        <v>0</v>
      </c>
      <c r="C1905" s="1" t="s">
        <v>3179</v>
      </c>
      <c r="D1905" s="3">
        <v>11.8</v>
      </c>
      <c r="E1905" s="4">
        <v>0</v>
      </c>
      <c r="F1905" s="4" t="s">
        <v>3178</v>
      </c>
      <c r="G1905" s="4" t="s">
        <v>3178</v>
      </c>
      <c r="H1905" s="3">
        <v>0</v>
      </c>
      <c r="I1905" s="5">
        <v>419.38321</v>
      </c>
      <c r="J1905" s="6">
        <v>15.41850036764706</v>
      </c>
      <c r="K1905" s="4">
        <v>0</v>
      </c>
      <c r="L1905" s="7">
        <v>1.653056276028861</v>
      </c>
      <c r="M1905" s="3">
        <v>19.81</v>
      </c>
      <c r="N1905" s="3">
        <v>11.16</v>
      </c>
    </row>
    <row r="1906" spans="1:14">
      <c r="A1906" s="8" t="s">
        <v>1918</v>
      </c>
      <c r="B1906" s="2">
        <f>HYPERLINK("https://www.suredividend.com/sure-analysis-research-database/","Minerals Technologies, Inc.")</f>
        <v>0</v>
      </c>
      <c r="C1906" s="1" t="s">
        <v>3177</v>
      </c>
      <c r="D1906" s="3">
        <v>84.27</v>
      </c>
      <c r="E1906" s="4">
        <v>0.004146214348251001</v>
      </c>
      <c r="F1906" s="4">
        <v>1</v>
      </c>
      <c r="G1906" s="4">
        <v>0.1486983549970351</v>
      </c>
      <c r="H1906" s="3">
        <v>0.349401483127175</v>
      </c>
      <c r="I1906" s="5">
        <v>2717.552612</v>
      </c>
      <c r="J1906" s="6">
        <v>28.9717762445629</v>
      </c>
      <c r="K1906" s="4">
        <v>0.121319959419158</v>
      </c>
      <c r="L1906" s="7">
        <v>1.055737175920507</v>
      </c>
      <c r="M1906" s="3">
        <v>87.45999999999999</v>
      </c>
      <c r="N1906" s="3">
        <v>48.39</v>
      </c>
    </row>
    <row r="1907" spans="1:14">
      <c r="A1907" s="8" t="s">
        <v>1919</v>
      </c>
      <c r="B1907" s="2">
        <f>HYPERLINK("https://www.suredividend.com/sure-analysis-research-database/","Mastec Inc.")</f>
        <v>0</v>
      </c>
      <c r="C1907" s="1" t="s">
        <v>3179</v>
      </c>
      <c r="D1907" s="3">
        <v>107.07</v>
      </c>
      <c r="E1907" s="4">
        <v>0</v>
      </c>
      <c r="F1907" s="4" t="s">
        <v>3178</v>
      </c>
      <c r="G1907" s="4" t="s">
        <v>3178</v>
      </c>
      <c r="H1907" s="3">
        <v>0</v>
      </c>
      <c r="I1907" s="5">
        <v>8507.614314</v>
      </c>
      <c r="J1907" s="6" t="s">
        <v>3178</v>
      </c>
      <c r="K1907" s="4">
        <v>-0</v>
      </c>
      <c r="L1907" s="7">
        <v>1.720726354690685</v>
      </c>
      <c r="M1907" s="3">
        <v>123.33</v>
      </c>
      <c r="N1907" s="3">
        <v>44.65</v>
      </c>
    </row>
    <row r="1908" spans="1:14">
      <c r="A1908" s="8" t="s">
        <v>1920</v>
      </c>
      <c r="B1908" s="2">
        <f>HYPERLINK("https://www.suredividend.com/sure-analysis-MU/","Micron Technology Inc.")</f>
        <v>0</v>
      </c>
      <c r="C1908" s="1" t="s">
        <v>3181</v>
      </c>
      <c r="D1908" s="3">
        <v>130.94</v>
      </c>
      <c r="E1908" s="4">
        <v>0.003513059416526654</v>
      </c>
      <c r="F1908" s="4" t="s">
        <v>3178</v>
      </c>
      <c r="G1908" s="4" t="s">
        <v>3178</v>
      </c>
      <c r="H1908" s="3">
        <v>0.45867187061917</v>
      </c>
      <c r="I1908" s="5">
        <v>144998.780323</v>
      </c>
      <c r="J1908" s="6" t="s">
        <v>3178</v>
      </c>
      <c r="K1908" s="4" t="s">
        <v>3178</v>
      </c>
      <c r="L1908" s="7">
        <v>1.557244814581351</v>
      </c>
      <c r="M1908" s="3">
        <v>134.13</v>
      </c>
      <c r="N1908" s="3">
        <v>59.85</v>
      </c>
    </row>
    <row r="1909" spans="1:14">
      <c r="A1909" s="8" t="s">
        <v>1921</v>
      </c>
      <c r="B1909" s="2">
        <f>HYPERLINK("https://www.suredividend.com/sure-analysis-research-database/","Murphy Oil Corp.")</f>
        <v>0</v>
      </c>
      <c r="C1909" s="1" t="s">
        <v>3185</v>
      </c>
      <c r="D1909" s="3">
        <v>39.67</v>
      </c>
      <c r="E1909" s="4">
        <v>0.028691749732181</v>
      </c>
      <c r="F1909" s="4">
        <v>0.09090909090909105</v>
      </c>
      <c r="G1909" s="4">
        <v>0.03713728933664817</v>
      </c>
      <c r="H1909" s="3">
        <v>1.138201711875648</v>
      </c>
      <c r="I1909" s="5">
        <v>6052.700829</v>
      </c>
      <c r="J1909" s="6">
        <v>10.80999653386127</v>
      </c>
      <c r="K1909" s="4">
        <v>0.3170478306060301</v>
      </c>
      <c r="L1909" s="7">
        <v>0.593641736127404</v>
      </c>
      <c r="M1909" s="3">
        <v>48.8</v>
      </c>
      <c r="N1909" s="3">
        <v>35.36</v>
      </c>
    </row>
    <row r="1910" spans="1:14">
      <c r="A1910" s="8" t="s">
        <v>1922</v>
      </c>
      <c r="B1910" s="2">
        <f>HYPERLINK("https://www.suredividend.com/sure-analysis-research-database/","Murphy USA Inc")</f>
        <v>0</v>
      </c>
      <c r="C1910" s="1" t="s">
        <v>3182</v>
      </c>
      <c r="D1910" s="3">
        <v>445.59</v>
      </c>
      <c r="E1910" s="4">
        <v>0.003719842158321</v>
      </c>
      <c r="F1910" s="4" t="s">
        <v>3178</v>
      </c>
      <c r="G1910" s="4" t="s">
        <v>3178</v>
      </c>
      <c r="H1910" s="3">
        <v>1.657524467326272</v>
      </c>
      <c r="I1910" s="5">
        <v>9231.595933000001</v>
      </c>
      <c r="J1910" s="6">
        <v>17.87337063444337</v>
      </c>
      <c r="K1910" s="4">
        <v>0.06932348253142083</v>
      </c>
      <c r="L1910" s="7">
        <v>0.400478132015769</v>
      </c>
      <c r="M1910" s="3">
        <v>451.6</v>
      </c>
      <c r="N1910" s="3">
        <v>281.26</v>
      </c>
    </row>
    <row r="1911" spans="1:14">
      <c r="A1911" s="8" t="s">
        <v>1923</v>
      </c>
      <c r="B1911" s="2">
        <f>HYPERLINK("https://www.suredividend.com/sure-analysis-research-database/","McEwen Mining Inc")</f>
        <v>0</v>
      </c>
      <c r="C1911" s="1" t="s">
        <v>3177</v>
      </c>
      <c r="D1911" s="3">
        <v>10.63</v>
      </c>
      <c r="E1911" s="4">
        <v>0</v>
      </c>
      <c r="F1911" s="4" t="s">
        <v>3178</v>
      </c>
      <c r="G1911" s="4" t="s">
        <v>3178</v>
      </c>
      <c r="H1911" s="3">
        <v>0</v>
      </c>
      <c r="I1911" s="5">
        <v>525.215278</v>
      </c>
      <c r="J1911" s="6">
        <v>6.734219897553595</v>
      </c>
      <c r="K1911" s="4">
        <v>0</v>
      </c>
      <c r="L1911" s="7">
        <v>1.604976433011917</v>
      </c>
      <c r="M1911" s="3">
        <v>12.5</v>
      </c>
      <c r="N1911" s="3">
        <v>5.92</v>
      </c>
    </row>
    <row r="1912" spans="1:14">
      <c r="A1912" s="8" t="s">
        <v>1924</v>
      </c>
      <c r="B1912" s="2">
        <f>HYPERLINK("https://www.suredividend.com/sure-analysis-research-database/","MVB Financial Corp.")</f>
        <v>0</v>
      </c>
      <c r="C1912" s="1" t="s">
        <v>3180</v>
      </c>
      <c r="D1912" s="3">
        <v>18.25</v>
      </c>
      <c r="E1912" s="4">
        <v>0.036309691704284</v>
      </c>
      <c r="F1912" s="4">
        <v>0</v>
      </c>
      <c r="G1912" s="4">
        <v>0.2773084445875398</v>
      </c>
      <c r="H1912" s="3">
        <v>0.662651873603189</v>
      </c>
      <c r="I1912" s="5">
        <v>235.164974</v>
      </c>
      <c r="J1912" s="6">
        <v>0</v>
      </c>
      <c r="K1912" s="4" t="s">
        <v>3178</v>
      </c>
      <c r="L1912" s="7">
        <v>1.095626760686715</v>
      </c>
      <c r="M1912" s="3">
        <v>25.5</v>
      </c>
      <c r="N1912" s="3">
        <v>17.35</v>
      </c>
    </row>
    <row r="1913" spans="1:14">
      <c r="A1913" s="8" t="s">
        <v>1925</v>
      </c>
      <c r="B1913" s="2">
        <f>HYPERLINK("https://www.suredividend.com/sure-analysis-research-database/","Microvision Inc.")</f>
        <v>0</v>
      </c>
      <c r="C1913" s="1" t="s">
        <v>3181</v>
      </c>
      <c r="D1913" s="3">
        <v>1.07</v>
      </c>
      <c r="E1913" s="4">
        <v>0</v>
      </c>
      <c r="F1913" s="4" t="s">
        <v>3178</v>
      </c>
      <c r="G1913" s="4" t="s">
        <v>3178</v>
      </c>
      <c r="H1913" s="3">
        <v>0</v>
      </c>
      <c r="I1913" s="5">
        <v>221.125808</v>
      </c>
      <c r="J1913" s="6" t="s">
        <v>3178</v>
      </c>
      <c r="K1913" s="4">
        <v>-0</v>
      </c>
      <c r="L1913" s="7">
        <v>2.786749235596198</v>
      </c>
      <c r="M1913" s="3">
        <v>6.76</v>
      </c>
      <c r="N1913" s="3">
        <v>1.02</v>
      </c>
    </row>
    <row r="1914" spans="1:14">
      <c r="A1914" s="8" t="s">
        <v>1926</v>
      </c>
      <c r="B1914" s="2">
        <f>HYPERLINK("https://www.suredividend.com/sure-analysis-MWA/","Mueller Water Products Inc")</f>
        <v>0</v>
      </c>
      <c r="C1914" s="1" t="s">
        <v>3179</v>
      </c>
      <c r="D1914" s="3">
        <v>17.52</v>
      </c>
      <c r="E1914" s="4">
        <v>0.01484018264840183</v>
      </c>
      <c r="F1914" s="4">
        <v>0.04918032786885251</v>
      </c>
      <c r="G1914" s="4">
        <v>0.04040908081735517</v>
      </c>
      <c r="H1914" s="3">
        <v>0.251476967326465</v>
      </c>
      <c r="I1914" s="5">
        <v>2728.08978</v>
      </c>
      <c r="J1914" s="6">
        <v>27.19929990269192</v>
      </c>
      <c r="K1914" s="4">
        <v>0.3928100083200016</v>
      </c>
      <c r="L1914" s="7">
        <v>0.9821629145817401</v>
      </c>
      <c r="M1914" s="3">
        <v>19.43</v>
      </c>
      <c r="N1914" s="3">
        <v>11.9</v>
      </c>
    </row>
    <row r="1915" spans="1:14">
      <c r="A1915" s="8" t="s">
        <v>1927</v>
      </c>
      <c r="B1915" s="2">
        <f>HYPERLINK("https://www.suredividend.com/sure-analysis-research-database/","Maxim Integrated Products, Inc.")</f>
        <v>0</v>
      </c>
      <c r="C1915" s="1" t="s">
        <v>3181</v>
      </c>
      <c r="D1915" s="3">
        <v>103.14</v>
      </c>
      <c r="E1915" s="4">
        <v>0</v>
      </c>
      <c r="F1915" s="4" t="s">
        <v>3178</v>
      </c>
      <c r="G1915" s="4" t="s">
        <v>3178</v>
      </c>
      <c r="H1915" s="3">
        <v>0</v>
      </c>
      <c r="I1915" s="5">
        <v>0</v>
      </c>
      <c r="J1915" s="6">
        <v>0</v>
      </c>
      <c r="K1915" s="4">
        <v>0</v>
      </c>
    </row>
    <row r="1916" spans="1:14">
      <c r="A1916" s="8" t="s">
        <v>1928</v>
      </c>
      <c r="B1916" s="2">
        <f>HYPERLINK("https://www.suredividend.com/sure-analysis-research-database/","MaxLinear Inc")</f>
        <v>0</v>
      </c>
      <c r="C1916" s="1" t="s">
        <v>3181</v>
      </c>
      <c r="D1916" s="3">
        <v>17.21</v>
      </c>
      <c r="E1916" s="4">
        <v>0</v>
      </c>
      <c r="F1916" s="4" t="s">
        <v>3178</v>
      </c>
      <c r="G1916" s="4" t="s">
        <v>3178</v>
      </c>
      <c r="H1916" s="3">
        <v>0</v>
      </c>
      <c r="I1916" s="5">
        <v>1430.633517</v>
      </c>
      <c r="J1916" s="6" t="s">
        <v>3178</v>
      </c>
      <c r="K1916" s="4">
        <v>-0</v>
      </c>
      <c r="L1916" s="7">
        <v>2.097382946359266</v>
      </c>
      <c r="M1916" s="3">
        <v>35.09</v>
      </c>
      <c r="N1916" s="3">
        <v>13.43</v>
      </c>
    </row>
    <row r="1917" spans="1:14">
      <c r="A1917" s="8" t="s">
        <v>1929</v>
      </c>
      <c r="B1917" s="2">
        <f>HYPERLINK("https://www.suredividend.com/sure-analysis-research-database/","Myers Industries Inc.")</f>
        <v>0</v>
      </c>
      <c r="C1917" s="1" t="s">
        <v>3182</v>
      </c>
      <c r="D1917" s="3">
        <v>15.78</v>
      </c>
      <c r="E1917" s="4">
        <v>0.033863046714123</v>
      </c>
      <c r="F1917" s="4">
        <v>0</v>
      </c>
      <c r="G1917" s="4">
        <v>0</v>
      </c>
      <c r="H1917" s="3">
        <v>0.5343588771488651</v>
      </c>
      <c r="I1917" s="5">
        <v>586.747014</v>
      </c>
      <c r="J1917" s="6">
        <v>14.89432436716251</v>
      </c>
      <c r="K1917" s="4">
        <v>0.5041121482536463</v>
      </c>
      <c r="L1917" s="7">
        <v>0.8461542256328091</v>
      </c>
      <c r="M1917" s="3">
        <v>23.63</v>
      </c>
      <c r="N1917" s="3">
        <v>15.2</v>
      </c>
    </row>
    <row r="1918" spans="1:14">
      <c r="A1918" s="8" t="s">
        <v>1930</v>
      </c>
      <c r="B1918" s="2">
        <f>HYPERLINK("https://www.suredividend.com/sure-analysis-research-database/","Myriad Genetics, Inc.")</f>
        <v>0</v>
      </c>
      <c r="C1918" s="1" t="s">
        <v>3176</v>
      </c>
      <c r="D1918" s="3">
        <v>22.14</v>
      </c>
      <c r="E1918" s="4">
        <v>0</v>
      </c>
      <c r="F1918" s="4" t="s">
        <v>3178</v>
      </c>
      <c r="G1918" s="4" t="s">
        <v>3178</v>
      </c>
      <c r="H1918" s="3">
        <v>0</v>
      </c>
      <c r="I1918" s="5">
        <v>2003.846699</v>
      </c>
      <c r="J1918" s="6" t="s">
        <v>3178</v>
      </c>
      <c r="K1918" s="4">
        <v>-0</v>
      </c>
      <c r="L1918" s="7">
        <v>1.715716446142406</v>
      </c>
      <c r="M1918" s="3">
        <v>25.95</v>
      </c>
      <c r="N1918" s="3">
        <v>13.82</v>
      </c>
    </row>
    <row r="1919" spans="1:14">
      <c r="A1919" s="8" t="s">
        <v>1931</v>
      </c>
      <c r="B1919" s="2">
        <f>HYPERLINK("https://www.suredividend.com/sure-analysis-research-database/","MYR Group Inc")</f>
        <v>0</v>
      </c>
      <c r="C1919" s="1" t="s">
        <v>3179</v>
      </c>
      <c r="D1919" s="3">
        <v>147.89</v>
      </c>
      <c r="E1919" s="4">
        <v>0</v>
      </c>
      <c r="F1919" s="4" t="s">
        <v>3178</v>
      </c>
      <c r="G1919" s="4" t="s">
        <v>3178</v>
      </c>
      <c r="H1919" s="3">
        <v>0</v>
      </c>
      <c r="I1919" s="5">
        <v>2479.442401</v>
      </c>
      <c r="J1919" s="6">
        <v>28.57619805569001</v>
      </c>
      <c r="K1919" s="4">
        <v>0</v>
      </c>
      <c r="L1919" s="7">
        <v>1.266751773184697</v>
      </c>
      <c r="M1919" s="3">
        <v>181.02</v>
      </c>
      <c r="N1919" s="3">
        <v>110.87</v>
      </c>
    </row>
    <row r="1920" spans="1:14">
      <c r="A1920" s="8" t="s">
        <v>1932</v>
      </c>
      <c r="B1920" s="2">
        <f>HYPERLINK("https://www.suredividend.com/sure-analysis-research-database/","Natural Alternatives International, Inc.")</f>
        <v>0</v>
      </c>
      <c r="C1920" s="1" t="s">
        <v>3184</v>
      </c>
      <c r="D1920" s="3">
        <v>6.5501</v>
      </c>
      <c r="E1920" s="4">
        <v>0</v>
      </c>
      <c r="F1920" s="4" t="s">
        <v>3178</v>
      </c>
      <c r="G1920" s="4" t="s">
        <v>3178</v>
      </c>
      <c r="H1920" s="3">
        <v>0</v>
      </c>
      <c r="I1920" s="5">
        <v>40.616312</v>
      </c>
      <c r="J1920" s="6">
        <v>0</v>
      </c>
      <c r="K1920" s="4" t="s">
        <v>3178</v>
      </c>
      <c r="M1920" s="3">
        <v>7.77</v>
      </c>
      <c r="N1920" s="3">
        <v>5.06</v>
      </c>
    </row>
    <row r="1921" spans="1:14">
      <c r="A1921" s="8" t="s">
        <v>1933</v>
      </c>
      <c r="B1921" s="2">
        <f>HYPERLINK("https://www.suredividend.com/sure-analysis-research-database/","Nathan`s Famous, Inc.")</f>
        <v>0</v>
      </c>
      <c r="C1921" s="1" t="s">
        <v>3182</v>
      </c>
      <c r="D1921" s="3">
        <v>68.52</v>
      </c>
      <c r="E1921" s="4">
        <v>0.028618812575841</v>
      </c>
      <c r="F1921" s="4">
        <v>0</v>
      </c>
      <c r="G1921" s="4">
        <v>0.07394092378577932</v>
      </c>
      <c r="H1921" s="3">
        <v>1.960961037696682</v>
      </c>
      <c r="I1921" s="5">
        <v>279.87782</v>
      </c>
      <c r="J1921" s="6">
        <v>0</v>
      </c>
      <c r="K1921" s="4" t="s">
        <v>3178</v>
      </c>
      <c r="L1921" s="7">
        <v>0.5281107321473411</v>
      </c>
      <c r="M1921" s="3">
        <v>79.12</v>
      </c>
      <c r="N1921" s="3">
        <v>59.6</v>
      </c>
    </row>
    <row r="1922" spans="1:14">
      <c r="A1922" s="8" t="s">
        <v>1934</v>
      </c>
      <c r="B1922" s="2">
        <f>HYPERLINK("https://www.suredividend.com/sure-analysis-research-database/","National Instruments Corp.")</f>
        <v>0</v>
      </c>
      <c r="C1922" s="1" t="s">
        <v>3181</v>
      </c>
      <c r="D1922" s="3">
        <v>59.98</v>
      </c>
      <c r="E1922" s="4">
        <v>0</v>
      </c>
      <c r="F1922" s="4" t="s">
        <v>3178</v>
      </c>
      <c r="G1922" s="4" t="s">
        <v>3178</v>
      </c>
      <c r="H1922" s="3">
        <v>1.107932966309952</v>
      </c>
      <c r="I1922" s="5">
        <v>0</v>
      </c>
      <c r="J1922" s="6">
        <v>0</v>
      </c>
      <c r="K1922" s="4">
        <v>0.8206910861555199</v>
      </c>
    </row>
    <row r="1923" spans="1:14">
      <c r="A1923" s="8" t="s">
        <v>1935</v>
      </c>
      <c r="B1923" s="2">
        <f>HYPERLINK("https://www.suredividend.com/sure-analysis-research-database/","Nature`s Sunshine Products, Inc.")</f>
        <v>0</v>
      </c>
      <c r="C1923" s="1" t="s">
        <v>3184</v>
      </c>
      <c r="D1923" s="3">
        <v>15.04</v>
      </c>
      <c r="E1923" s="4">
        <v>0</v>
      </c>
      <c r="F1923" s="4" t="s">
        <v>3178</v>
      </c>
      <c r="G1923" s="4" t="s">
        <v>3178</v>
      </c>
      <c r="H1923" s="3">
        <v>0</v>
      </c>
      <c r="I1923" s="5">
        <v>281.695816</v>
      </c>
      <c r="J1923" s="6">
        <v>17.0342756243575</v>
      </c>
      <c r="K1923" s="4">
        <v>0</v>
      </c>
      <c r="L1923" s="7">
        <v>0.793514760945436</v>
      </c>
      <c r="M1923" s="3">
        <v>21.72</v>
      </c>
      <c r="N1923" s="3">
        <v>11.97</v>
      </c>
    </row>
    <row r="1924" spans="1:14">
      <c r="A1924" s="8" t="s">
        <v>1936</v>
      </c>
      <c r="B1924" s="2">
        <f>HYPERLINK("https://www.suredividend.com/sure-analysis-research-database/","Navistar International Corp.")</f>
        <v>0</v>
      </c>
      <c r="C1924" s="1" t="s">
        <v>3179</v>
      </c>
      <c r="D1924" s="3">
        <v>44.5</v>
      </c>
      <c r="E1924" s="4">
        <v>0</v>
      </c>
      <c r="F1924" s="4" t="s">
        <v>3178</v>
      </c>
      <c r="G1924" s="4" t="s">
        <v>3178</v>
      </c>
      <c r="H1924" s="3">
        <v>0</v>
      </c>
      <c r="I1924" s="5">
        <v>4438.643022</v>
      </c>
      <c r="J1924" s="6" t="s">
        <v>3178</v>
      </c>
      <c r="K1924" s="4">
        <v>-0</v>
      </c>
      <c r="L1924" s="7">
        <v>0.020363096359842</v>
      </c>
      <c r="M1924" s="3">
        <v>45.25</v>
      </c>
      <c r="N1924" s="3">
        <v>26.47</v>
      </c>
    </row>
    <row r="1925" spans="1:14">
      <c r="A1925" s="8" t="s">
        <v>1937</v>
      </c>
      <c r="B1925" s="2">
        <f>HYPERLINK("https://www.suredividend.com/sure-analysis-research-database/","Navidea Biopharmaceuticals Inc")</f>
        <v>0</v>
      </c>
      <c r="C1925" s="1" t="s">
        <v>3176</v>
      </c>
      <c r="E1925" s="4">
        <v>0</v>
      </c>
      <c r="F1925" s="4" t="s">
        <v>3178</v>
      </c>
      <c r="G1925" s="4" t="s">
        <v>3178</v>
      </c>
      <c r="H1925" s="3">
        <v>0</v>
      </c>
      <c r="I1925" s="5">
        <v>0.010008</v>
      </c>
      <c r="J1925" s="6" t="s">
        <v>3178</v>
      </c>
      <c r="K1925" s="4">
        <v>-0</v>
      </c>
      <c r="M1925" s="3">
        <v>0.079</v>
      </c>
      <c r="N1925" s="3">
        <v>0.0001</v>
      </c>
    </row>
    <row r="1926" spans="1:14">
      <c r="A1926" s="8" t="s">
        <v>1938</v>
      </c>
      <c r="B1926" s="2">
        <f>HYPERLINK("https://www.suredividend.com/sure-analysis-NAVI/","Navient Corp")</f>
        <v>0</v>
      </c>
      <c r="C1926" s="1" t="s">
        <v>3180</v>
      </c>
      <c r="D1926" s="3">
        <v>14.39</v>
      </c>
      <c r="E1926" s="4">
        <v>0.04447533009034051</v>
      </c>
      <c r="F1926" s="4">
        <v>0</v>
      </c>
      <c r="G1926" s="4">
        <v>0</v>
      </c>
      <c r="H1926" s="3">
        <v>0.6203619019301481</v>
      </c>
      <c r="I1926" s="5">
        <v>1609.158138</v>
      </c>
      <c r="J1926" s="6">
        <v>8.469253358473685</v>
      </c>
      <c r="K1926" s="4">
        <v>0.3877261887063425</v>
      </c>
      <c r="L1926" s="7">
        <v>1.187589632201849</v>
      </c>
      <c r="M1926" s="3">
        <v>18.86</v>
      </c>
      <c r="N1926" s="3">
        <v>13.26</v>
      </c>
    </row>
    <row r="1927" spans="1:14">
      <c r="A1927" s="8" t="s">
        <v>1939</v>
      </c>
      <c r="B1927" s="2">
        <f>HYPERLINK("https://www.suredividend.com/sure-analysis-research-database/","NewAge Inc")</f>
        <v>0</v>
      </c>
      <c r="C1927" s="1" t="s">
        <v>3184</v>
      </c>
      <c r="D1927" s="3">
        <v>0.065</v>
      </c>
      <c r="E1927" s="4">
        <v>0</v>
      </c>
      <c r="F1927" s="4" t="s">
        <v>3178</v>
      </c>
      <c r="G1927" s="4" t="s">
        <v>3178</v>
      </c>
      <c r="H1927" s="3">
        <v>0</v>
      </c>
      <c r="I1927" s="5">
        <v>0</v>
      </c>
      <c r="J1927" s="6">
        <v>0</v>
      </c>
      <c r="K1927" s="4">
        <v>-0</v>
      </c>
    </row>
    <row r="1928" spans="1:14">
      <c r="A1928" s="8" t="s">
        <v>1940</v>
      </c>
      <c r="B1928" s="2">
        <f>HYPERLINK("https://www.suredividend.com/sure-analysis-research-database/","National Bank Holdings Corp")</f>
        <v>0</v>
      </c>
      <c r="C1928" s="1" t="s">
        <v>3180</v>
      </c>
      <c r="D1928" s="3">
        <v>36.66</v>
      </c>
      <c r="E1928" s="4">
        <v>0.02911811716146</v>
      </c>
      <c r="F1928" s="4">
        <v>0.07692307692307709</v>
      </c>
      <c r="G1928" s="4">
        <v>0.08063961960040023</v>
      </c>
      <c r="H1928" s="3">
        <v>1.06747017513914</v>
      </c>
      <c r="I1928" s="5">
        <v>1386.679641</v>
      </c>
      <c r="J1928" s="6">
        <v>10.4347144696029</v>
      </c>
      <c r="K1928" s="4">
        <v>0.3067443032009023</v>
      </c>
      <c r="L1928" s="7">
        <v>0.9623007734551451</v>
      </c>
      <c r="M1928" s="3">
        <v>38.1</v>
      </c>
      <c r="N1928" s="3">
        <v>27.7</v>
      </c>
    </row>
    <row r="1929" spans="1:14">
      <c r="A1929" s="8" t="s">
        <v>1941</v>
      </c>
      <c r="B1929" s="2">
        <f>HYPERLINK("https://www.suredividend.com/sure-analysis-research-database/","Neurocrine Biosciences, Inc.")</f>
        <v>0</v>
      </c>
      <c r="C1929" s="1" t="s">
        <v>3176</v>
      </c>
      <c r="D1929" s="3">
        <v>134.97</v>
      </c>
      <c r="E1929" s="4">
        <v>0</v>
      </c>
      <c r="F1929" s="4" t="s">
        <v>3178</v>
      </c>
      <c r="G1929" s="4" t="s">
        <v>3178</v>
      </c>
      <c r="H1929" s="3">
        <v>0</v>
      </c>
      <c r="I1929" s="5">
        <v>13583.006528</v>
      </c>
      <c r="J1929" s="6">
        <v>36.74061814495537</v>
      </c>
      <c r="K1929" s="4">
        <v>0</v>
      </c>
      <c r="L1929" s="7">
        <v>0.341086631874804</v>
      </c>
      <c r="M1929" s="3">
        <v>148.37</v>
      </c>
      <c r="N1929" s="3">
        <v>92.61</v>
      </c>
    </row>
    <row r="1930" spans="1:14">
      <c r="A1930" s="8" t="s">
        <v>1942</v>
      </c>
      <c r="B1930" s="2">
        <f>HYPERLINK("https://www.suredividend.com/sure-analysis-research-database/","Northeast Bank")</f>
        <v>0</v>
      </c>
      <c r="C1930" s="1" t="s">
        <v>3180</v>
      </c>
      <c r="D1930" s="3">
        <v>56.15</v>
      </c>
      <c r="E1930" s="4">
        <v>0.0007119739941790001</v>
      </c>
      <c r="F1930" s="4">
        <v>0</v>
      </c>
      <c r="G1930" s="4">
        <v>0</v>
      </c>
      <c r="H1930" s="3">
        <v>0.039977339773188</v>
      </c>
      <c r="I1930" s="5">
        <v>505.18155</v>
      </c>
      <c r="J1930" s="6">
        <v>0</v>
      </c>
      <c r="K1930" s="4" t="s">
        <v>3178</v>
      </c>
      <c r="L1930" s="7">
        <v>0.9279970291611471</v>
      </c>
      <c r="M1930" s="3">
        <v>62.3</v>
      </c>
      <c r="N1930" s="3">
        <v>39.1</v>
      </c>
    </row>
    <row r="1931" spans="1:14">
      <c r="A1931" s="8" t="s">
        <v>1943</v>
      </c>
      <c r="B1931" s="2">
        <f>HYPERLINK("https://www.suredividend.com/sure-analysis-research-database/","Nabors Industries Ltd")</f>
        <v>0</v>
      </c>
      <c r="C1931" s="1" t="s">
        <v>3185</v>
      </c>
      <c r="D1931" s="3">
        <v>66.87</v>
      </c>
      <c r="E1931" s="4">
        <v>0</v>
      </c>
      <c r="F1931" s="4" t="s">
        <v>3178</v>
      </c>
      <c r="G1931" s="4" t="s">
        <v>3178</v>
      </c>
      <c r="H1931" s="3">
        <v>0</v>
      </c>
      <c r="I1931" s="5">
        <v>715.610041</v>
      </c>
      <c r="J1931" s="6" t="s">
        <v>3178</v>
      </c>
      <c r="K1931" s="4">
        <v>-0</v>
      </c>
      <c r="L1931" s="7">
        <v>1.419880398589789</v>
      </c>
      <c r="M1931" s="3">
        <v>141.47</v>
      </c>
      <c r="N1931" s="3">
        <v>65.11</v>
      </c>
    </row>
    <row r="1932" spans="1:14">
      <c r="A1932" s="8" t="s">
        <v>1944</v>
      </c>
      <c r="B1932" s="2">
        <f>HYPERLINK("https://www.suredividend.com/sure-analysis-research-database/","NeuBase Therapeutics Inc")</f>
        <v>0</v>
      </c>
      <c r="C1932" s="1" t="s">
        <v>3176</v>
      </c>
      <c r="D1932" s="3">
        <v>0.378</v>
      </c>
      <c r="E1932" s="4">
        <v>0</v>
      </c>
      <c r="F1932" s="4" t="s">
        <v>3178</v>
      </c>
      <c r="G1932" s="4" t="s">
        <v>3178</v>
      </c>
      <c r="H1932" s="3">
        <v>0</v>
      </c>
      <c r="I1932" s="5">
        <v>0</v>
      </c>
      <c r="J1932" s="6">
        <v>0</v>
      </c>
      <c r="K1932" s="4" t="s">
        <v>3178</v>
      </c>
    </row>
    <row r="1933" spans="1:14">
      <c r="A1933" s="8" t="s">
        <v>1945</v>
      </c>
      <c r="B1933" s="2">
        <f>HYPERLINK("https://www.suredividend.com/sure-analysis-research-database/","NBT Bancorp. Inc.")</f>
        <v>0</v>
      </c>
      <c r="C1933" s="1" t="s">
        <v>3180</v>
      </c>
      <c r="D1933" s="3">
        <v>35.9</v>
      </c>
      <c r="E1933" s="4">
        <v>0.034713558689184</v>
      </c>
      <c r="F1933" s="4">
        <v>0.06666666666666643</v>
      </c>
      <c r="G1933" s="4">
        <v>0.0424022162772979</v>
      </c>
      <c r="H1933" s="3">
        <v>1.246216756941729</v>
      </c>
      <c r="I1933" s="5">
        <v>1692.660409</v>
      </c>
      <c r="J1933" s="6">
        <v>14.23037494430292</v>
      </c>
      <c r="K1933" s="4">
        <v>0.4793141372852804</v>
      </c>
      <c r="L1933" s="7">
        <v>0.769048629535912</v>
      </c>
      <c r="M1933" s="3">
        <v>42.21</v>
      </c>
      <c r="N1933" s="3">
        <v>28.71</v>
      </c>
    </row>
    <row r="1934" spans="1:14">
      <c r="A1934" s="8" t="s">
        <v>1946</v>
      </c>
      <c r="B1934" s="2">
        <f>HYPERLINK("https://www.suredividend.com/sure-analysis-research-database/","Novabay Pharmaceuticals Inc")</f>
        <v>0</v>
      </c>
      <c r="C1934" s="1" t="s">
        <v>3176</v>
      </c>
      <c r="D1934" s="3">
        <v>2.71</v>
      </c>
      <c r="E1934" s="4">
        <v>0</v>
      </c>
      <c r="F1934" s="4" t="s">
        <v>3178</v>
      </c>
      <c r="G1934" s="4" t="s">
        <v>3178</v>
      </c>
      <c r="H1934" s="3">
        <v>0</v>
      </c>
      <c r="I1934" s="5">
        <v>102.523121</v>
      </c>
      <c r="J1934" s="6">
        <v>0</v>
      </c>
      <c r="K1934" s="4" t="s">
        <v>3178</v>
      </c>
      <c r="M1934" s="3">
        <v>44.8</v>
      </c>
      <c r="N1934" s="3">
        <v>2.28</v>
      </c>
    </row>
    <row r="1935" spans="1:14">
      <c r="A1935" s="8" t="s">
        <v>1947</v>
      </c>
      <c r="B1935" s="2">
        <f>HYPERLINK("https://www.suredividend.com/sure-analysis-NC/","Nacco Industries Inc.")</f>
        <v>0</v>
      </c>
      <c r="C1935" s="1" t="s">
        <v>3185</v>
      </c>
      <c r="D1935" s="3">
        <v>32.61</v>
      </c>
      <c r="E1935" s="4">
        <v>0.02790555044464888</v>
      </c>
      <c r="F1935" s="4">
        <v>0.04597701149425282</v>
      </c>
      <c r="G1935" s="4">
        <v>0.03668200501305408</v>
      </c>
      <c r="H1935" s="3">
        <v>0.8712436520461021</v>
      </c>
      <c r="I1935" s="5">
        <v>191.901371</v>
      </c>
      <c r="J1935" s="6" t="s">
        <v>3178</v>
      </c>
      <c r="K1935" s="4" t="s">
        <v>3178</v>
      </c>
      <c r="L1935" s="7">
        <v>0.490207847669376</v>
      </c>
      <c r="M1935" s="3">
        <v>38.14</v>
      </c>
      <c r="N1935" s="3">
        <v>27.07</v>
      </c>
    </row>
    <row r="1936" spans="1:14">
      <c r="A1936" s="8" t="s">
        <v>1948</v>
      </c>
      <c r="B1936" s="2">
        <f>HYPERLINK("https://www.suredividend.com/sure-analysis-research-database/","Nicolet Bankshares Inc.")</f>
        <v>0</v>
      </c>
      <c r="C1936" s="1" t="s">
        <v>3180</v>
      </c>
      <c r="D1936" s="3">
        <v>78.01000000000001</v>
      </c>
      <c r="E1936" s="4">
        <v>0</v>
      </c>
      <c r="F1936" s="4" t="s">
        <v>3178</v>
      </c>
      <c r="G1936" s="4" t="s">
        <v>3178</v>
      </c>
      <c r="H1936" s="3">
        <v>0</v>
      </c>
      <c r="I1936" s="5">
        <v>994.903566</v>
      </c>
      <c r="J1936" s="6">
        <v>0</v>
      </c>
      <c r="K1936" s="4" t="s">
        <v>3178</v>
      </c>
    </row>
    <row r="1937" spans="1:14">
      <c r="A1937" s="8" t="s">
        <v>1949</v>
      </c>
      <c r="B1937" s="2">
        <f>HYPERLINK("https://www.suredividend.com/sure-analysis-research-database/","Neo Concept International Group Holdings Ltd")</f>
        <v>0</v>
      </c>
      <c r="C1937" s="1" t="s">
        <v>3178</v>
      </c>
      <c r="D1937" s="3">
        <v>0.729</v>
      </c>
      <c r="E1937" s="4">
        <v>0</v>
      </c>
      <c r="F1937" s="4" t="s">
        <v>3178</v>
      </c>
      <c r="G1937" s="4" t="s">
        <v>3178</v>
      </c>
      <c r="H1937" s="3">
        <v>0</v>
      </c>
      <c r="I1937" s="5">
        <v>14.81328</v>
      </c>
      <c r="J1937" s="6">
        <v>0</v>
      </c>
      <c r="K1937" s="4" t="s">
        <v>3178</v>
      </c>
      <c r="M1937" s="3">
        <v>11.39</v>
      </c>
      <c r="N1937" s="3">
        <v>0.6506000000000001</v>
      </c>
    </row>
    <row r="1938" spans="1:14">
      <c r="A1938" s="8" t="s">
        <v>1950</v>
      </c>
      <c r="B1938" s="2">
        <f>HYPERLINK("https://www.suredividend.com/sure-analysis-research-database/","Norwegian Cruise Line Holdings Ltd")</f>
        <v>0</v>
      </c>
      <c r="C1938" s="1" t="s">
        <v>3182</v>
      </c>
      <c r="D1938" s="3">
        <v>17.79</v>
      </c>
      <c r="E1938" s="4">
        <v>0</v>
      </c>
      <c r="F1938" s="4" t="s">
        <v>3178</v>
      </c>
      <c r="G1938" s="4" t="s">
        <v>3178</v>
      </c>
      <c r="H1938" s="3">
        <v>0</v>
      </c>
      <c r="I1938" s="5">
        <v>7632.632701</v>
      </c>
      <c r="J1938" s="6">
        <v>22.26217931048966</v>
      </c>
      <c r="K1938" s="4">
        <v>0</v>
      </c>
      <c r="L1938" s="7">
        <v>1.696542773196905</v>
      </c>
      <c r="M1938" s="3">
        <v>22.75</v>
      </c>
      <c r="N1938" s="3">
        <v>12.71</v>
      </c>
    </row>
    <row r="1939" spans="1:14">
      <c r="A1939" s="8" t="s">
        <v>1951</v>
      </c>
      <c r="B1939" s="2">
        <f>HYPERLINK("https://www.suredividend.com/sure-analysis-research-database/","National Cinemedia Inc")</f>
        <v>0</v>
      </c>
      <c r="C1939" s="1" t="s">
        <v>3187</v>
      </c>
      <c r="D1939" s="3">
        <v>4.91</v>
      </c>
      <c r="E1939" s="4">
        <v>0</v>
      </c>
      <c r="F1939" s="4" t="s">
        <v>3178</v>
      </c>
      <c r="G1939" s="4" t="s">
        <v>3178</v>
      </c>
      <c r="H1939" s="3">
        <v>0</v>
      </c>
      <c r="I1939" s="5">
        <v>474.173862</v>
      </c>
      <c r="J1939" s="6">
        <v>0.662253997318435</v>
      </c>
      <c r="K1939" s="4">
        <v>0</v>
      </c>
      <c r="L1939" s="7">
        <v>1.1116229009861</v>
      </c>
      <c r="M1939" s="3">
        <v>5.9</v>
      </c>
      <c r="N1939" s="3">
        <v>2.57</v>
      </c>
    </row>
    <row r="1940" spans="1:14">
      <c r="A1940" s="8" t="s">
        <v>1952</v>
      </c>
      <c r="B1940" s="2">
        <f>HYPERLINK("https://www.suredividend.com/sure-analysis-research-database/","NCS Multistage Holdings Inc")</f>
        <v>0</v>
      </c>
      <c r="C1940" s="1" t="s">
        <v>3185</v>
      </c>
      <c r="D1940" s="3">
        <v>17.75</v>
      </c>
      <c r="E1940" s="4">
        <v>0</v>
      </c>
      <c r="F1940" s="4" t="s">
        <v>3178</v>
      </c>
      <c r="G1940" s="4" t="s">
        <v>3178</v>
      </c>
      <c r="H1940" s="3">
        <v>0</v>
      </c>
      <c r="I1940" s="5">
        <v>44.420511</v>
      </c>
      <c r="J1940" s="6">
        <v>0</v>
      </c>
      <c r="K1940" s="4" t="s">
        <v>3178</v>
      </c>
      <c r="M1940" s="3">
        <v>21.85</v>
      </c>
      <c r="N1940" s="3">
        <v>12.02</v>
      </c>
    </row>
    <row r="1941" spans="1:14">
      <c r="A1941" s="8" t="s">
        <v>1953</v>
      </c>
      <c r="B1941" s="2">
        <f>HYPERLINK("https://www.suredividend.com/sure-analysis-NDAQ/","Nasdaq Inc")</f>
        <v>0</v>
      </c>
      <c r="C1941" s="1" t="s">
        <v>3180</v>
      </c>
      <c r="D1941" s="3">
        <v>58.78</v>
      </c>
      <c r="E1941" s="4">
        <v>0.01633208574345015</v>
      </c>
      <c r="F1941" s="4">
        <v>0.09999999999999987</v>
      </c>
      <c r="G1941" s="4">
        <v>-0.1408579720854248</v>
      </c>
      <c r="H1941" s="3">
        <v>0.8698520792676121</v>
      </c>
      <c r="I1941" s="5">
        <v>33810.642185</v>
      </c>
      <c r="J1941" s="6">
        <v>34.11770149808275</v>
      </c>
      <c r="K1941" s="4">
        <v>0.4651615397153006</v>
      </c>
      <c r="L1941" s="7">
        <v>0.712855407625494</v>
      </c>
      <c r="M1941" s="3">
        <v>64.25</v>
      </c>
      <c r="N1941" s="3">
        <v>46.17</v>
      </c>
    </row>
    <row r="1942" spans="1:14">
      <c r="A1942" s="8" t="s">
        <v>1954</v>
      </c>
      <c r="B1942" s="2">
        <f>HYPERLINK("https://www.suredividend.com/sure-analysis-research-database/","Noodles &amp; Company")</f>
        <v>0</v>
      </c>
      <c r="C1942" s="1" t="s">
        <v>3182</v>
      </c>
      <c r="D1942" s="3">
        <v>1.97</v>
      </c>
      <c r="E1942" s="4">
        <v>0</v>
      </c>
      <c r="F1942" s="4" t="s">
        <v>3178</v>
      </c>
      <c r="G1942" s="4" t="s">
        <v>3178</v>
      </c>
      <c r="H1942" s="3">
        <v>0</v>
      </c>
      <c r="I1942" s="5">
        <v>89.332308</v>
      </c>
      <c r="J1942" s="6" t="s">
        <v>3178</v>
      </c>
      <c r="K1942" s="4">
        <v>-0</v>
      </c>
      <c r="L1942" s="7">
        <v>1.658018547971418</v>
      </c>
      <c r="M1942" s="3">
        <v>3.98</v>
      </c>
      <c r="N1942" s="3">
        <v>1.11</v>
      </c>
    </row>
    <row r="1943" spans="1:14">
      <c r="A1943" s="8" t="s">
        <v>1955</v>
      </c>
      <c r="B1943" s="2">
        <f>HYPERLINK("https://www.suredividend.com/sure-analysis-NDSN/","Nordson Corp.")</f>
        <v>0</v>
      </c>
      <c r="C1943" s="1" t="s">
        <v>3179</v>
      </c>
      <c r="D1943" s="3">
        <v>226.15</v>
      </c>
      <c r="E1943" s="4">
        <v>0.01202741543223524</v>
      </c>
      <c r="F1943" s="4">
        <v>0.04615384615384621</v>
      </c>
      <c r="G1943" s="4">
        <v>0.1234275325950922</v>
      </c>
      <c r="H1943" s="3">
        <v>2.699239622506807</v>
      </c>
      <c r="I1943" s="5">
        <v>12951.334823</v>
      </c>
      <c r="J1943" s="6">
        <v>26.78895544835332</v>
      </c>
      <c r="K1943" s="4">
        <v>0.3213380502984294</v>
      </c>
      <c r="L1943" s="7">
        <v>0.9783048835035921</v>
      </c>
      <c r="M1943" s="3">
        <v>277.98</v>
      </c>
      <c r="N1943" s="3">
        <v>205.69</v>
      </c>
    </row>
    <row r="1944" spans="1:14">
      <c r="A1944" s="8" t="s">
        <v>1956</v>
      </c>
      <c r="B1944" s="2">
        <f>HYPERLINK("https://www.suredividend.com/sure-analysis-research-database/","Noble Corp Plc")</f>
        <v>0</v>
      </c>
      <c r="C1944" s="1" t="s">
        <v>3185</v>
      </c>
      <c r="D1944" s="3">
        <v>42.6</v>
      </c>
      <c r="E1944" s="4">
        <v>0.034761166653891</v>
      </c>
      <c r="F1944" s="4" t="s">
        <v>3178</v>
      </c>
      <c r="G1944" s="4" t="s">
        <v>3178</v>
      </c>
      <c r="H1944" s="3">
        <v>1.480825699455789</v>
      </c>
      <c r="I1944" s="5">
        <v>6084.166336</v>
      </c>
      <c r="J1944" s="6">
        <v>0</v>
      </c>
      <c r="K1944" s="4" t="s">
        <v>3178</v>
      </c>
      <c r="L1944" s="7">
        <v>0.8425697031989801</v>
      </c>
      <c r="M1944" s="3">
        <v>53.86</v>
      </c>
      <c r="N1944" s="3">
        <v>35.03</v>
      </c>
    </row>
    <row r="1945" spans="1:14">
      <c r="A1945" s="8" t="s">
        <v>1957</v>
      </c>
      <c r="B1945" s="2">
        <f>HYPERLINK("https://www.suredividend.com/sure-analysis-NEE/","NextEra Energy Inc")</f>
        <v>0</v>
      </c>
      <c r="C1945" s="1" t="s">
        <v>3186</v>
      </c>
      <c r="D1945" s="3">
        <v>75.39</v>
      </c>
      <c r="E1945" s="4">
        <v>0.02732457885661228</v>
      </c>
      <c r="F1945" s="4">
        <v>0.1016042780748663</v>
      </c>
      <c r="G1945" s="4">
        <v>-0.1625103603499383</v>
      </c>
      <c r="H1945" s="3">
        <v>1.943530857645892</v>
      </c>
      <c r="I1945" s="5">
        <v>154891.209095</v>
      </c>
      <c r="J1945" s="6">
        <v>20.67421370732514</v>
      </c>
      <c r="K1945" s="4">
        <v>0.5295724407754474</v>
      </c>
      <c r="L1945" s="7">
        <v>0.701645350671221</v>
      </c>
      <c r="M1945" s="3">
        <v>79.95</v>
      </c>
      <c r="N1945" s="3">
        <v>46.04</v>
      </c>
    </row>
    <row r="1946" spans="1:14">
      <c r="A1946" s="8" t="s">
        <v>1958</v>
      </c>
      <c r="B1946" s="2">
        <f>HYPERLINK("https://www.suredividend.com/sure-analysis-NEM/","Newmont Corp")</f>
        <v>0</v>
      </c>
      <c r="C1946" s="1" t="s">
        <v>3177</v>
      </c>
      <c r="D1946" s="3">
        <v>40.36</v>
      </c>
      <c r="E1946" s="4">
        <v>0.02477700693756194</v>
      </c>
      <c r="F1946" s="4">
        <v>-0.375</v>
      </c>
      <c r="G1946" s="4">
        <v>0.1229551070568209</v>
      </c>
      <c r="H1946" s="3">
        <v>1.283619232953456</v>
      </c>
      <c r="I1946" s="5">
        <v>46540.73827</v>
      </c>
      <c r="J1946" s="6" t="s">
        <v>3178</v>
      </c>
      <c r="K1946" s="4" t="s">
        <v>3178</v>
      </c>
      <c r="L1946" s="7">
        <v>0.793448465968406</v>
      </c>
      <c r="M1946" s="3">
        <v>44.38</v>
      </c>
      <c r="N1946" s="3">
        <v>29.02</v>
      </c>
    </row>
    <row r="1947" spans="1:14">
      <c r="A1947" s="8" t="s">
        <v>1959</v>
      </c>
      <c r="B1947" s="2">
        <f>HYPERLINK("https://www.suredividend.com/sure-analysis-research-database/","Neogenomics Inc.")</f>
        <v>0</v>
      </c>
      <c r="C1947" s="1" t="s">
        <v>3176</v>
      </c>
      <c r="D1947" s="3">
        <v>13.01</v>
      </c>
      <c r="E1947" s="4">
        <v>0</v>
      </c>
      <c r="F1947" s="4" t="s">
        <v>3178</v>
      </c>
      <c r="G1947" s="4" t="s">
        <v>3178</v>
      </c>
      <c r="H1947" s="3">
        <v>0</v>
      </c>
      <c r="I1947" s="5">
        <v>1661.532209</v>
      </c>
      <c r="J1947" s="6" t="s">
        <v>3178</v>
      </c>
      <c r="K1947" s="4">
        <v>-0</v>
      </c>
      <c r="L1947" s="7">
        <v>1.852883463414559</v>
      </c>
      <c r="M1947" s="3">
        <v>21.22</v>
      </c>
      <c r="N1947" s="3">
        <v>11.03</v>
      </c>
    </row>
    <row r="1948" spans="1:14">
      <c r="A1948" s="8" t="s">
        <v>1960</v>
      </c>
      <c r="B1948" s="2">
        <f>HYPERLINK("https://www.suredividend.com/sure-analysis-research-database/","Neogen Corp.")</f>
        <v>0</v>
      </c>
      <c r="C1948" s="1" t="s">
        <v>3176</v>
      </c>
      <c r="D1948" s="3">
        <v>16.11</v>
      </c>
      <c r="E1948" s="4">
        <v>0</v>
      </c>
      <c r="F1948" s="4" t="s">
        <v>3178</v>
      </c>
      <c r="G1948" s="4" t="s">
        <v>3178</v>
      </c>
      <c r="H1948" s="3">
        <v>0</v>
      </c>
      <c r="I1948" s="5">
        <v>3489.550788</v>
      </c>
      <c r="J1948" s="6">
        <v>2228.321065172414</v>
      </c>
      <c r="K1948" s="4">
        <v>0</v>
      </c>
      <c r="L1948" s="7">
        <v>1.425958363458936</v>
      </c>
      <c r="M1948" s="3">
        <v>24.1</v>
      </c>
      <c r="N1948" s="3">
        <v>11.46</v>
      </c>
    </row>
    <row r="1949" spans="1:14">
      <c r="A1949" s="8" t="s">
        <v>1961</v>
      </c>
      <c r="B1949" s="2">
        <f>HYPERLINK("https://www.suredividend.com/sure-analysis-research-database/","Neonode Inc.")</f>
        <v>0</v>
      </c>
      <c r="C1949" s="1" t="s">
        <v>3181</v>
      </c>
      <c r="D1949" s="3">
        <v>2.23</v>
      </c>
      <c r="E1949" s="4">
        <v>0</v>
      </c>
      <c r="F1949" s="4" t="s">
        <v>3178</v>
      </c>
      <c r="G1949" s="4" t="s">
        <v>3178</v>
      </c>
      <c r="H1949" s="3">
        <v>0</v>
      </c>
      <c r="I1949" s="5">
        <v>34.251643</v>
      </c>
      <c r="J1949" s="6" t="s">
        <v>3178</v>
      </c>
      <c r="K1949" s="4">
        <v>-0</v>
      </c>
      <c r="L1949" s="7">
        <v>0.850203602529207</v>
      </c>
      <c r="M1949" s="3">
        <v>8.699999999999999</v>
      </c>
      <c r="N1949" s="3">
        <v>1.02</v>
      </c>
    </row>
    <row r="1950" spans="1:14">
      <c r="A1950" s="8" t="s">
        <v>1962</v>
      </c>
      <c r="B1950" s="2">
        <f>HYPERLINK("https://www.suredividend.com/sure-analysis-research-database/","Neos Therapeutics Inc")</f>
        <v>0</v>
      </c>
      <c r="C1950" s="1" t="s">
        <v>3176</v>
      </c>
      <c r="D1950" s="3">
        <v>1.15</v>
      </c>
      <c r="E1950" s="4">
        <v>0</v>
      </c>
      <c r="F1950" s="4" t="s">
        <v>3178</v>
      </c>
      <c r="G1950" s="4" t="s">
        <v>3178</v>
      </c>
      <c r="H1950" s="3">
        <v>0</v>
      </c>
      <c r="I1950" s="5">
        <v>0</v>
      </c>
      <c r="J1950" s="6">
        <v>0</v>
      </c>
      <c r="K1950" s="4">
        <v>-0</v>
      </c>
    </row>
    <row r="1951" spans="1:14">
      <c r="A1951" s="8" t="s">
        <v>1963</v>
      </c>
      <c r="B1951" s="2">
        <f>HYPERLINK("https://www.suredividend.com/sure-analysis-research-database/","Minerva Neurosciences Inc")</f>
        <v>0</v>
      </c>
      <c r="C1951" s="1" t="s">
        <v>3176</v>
      </c>
      <c r="D1951" s="3">
        <v>3.22</v>
      </c>
      <c r="E1951" s="4">
        <v>0</v>
      </c>
      <c r="F1951" s="4" t="s">
        <v>3178</v>
      </c>
      <c r="G1951" s="4" t="s">
        <v>3178</v>
      </c>
      <c r="H1951" s="3">
        <v>0</v>
      </c>
      <c r="I1951" s="5">
        <v>22.518767</v>
      </c>
      <c r="J1951" s="6">
        <v>0</v>
      </c>
      <c r="K1951" s="4" t="s">
        <v>3178</v>
      </c>
      <c r="L1951" s="7">
        <v>1.150095561088267</v>
      </c>
      <c r="M1951" s="3">
        <v>13.49</v>
      </c>
      <c r="N1951" s="3">
        <v>2.26</v>
      </c>
    </row>
    <row r="1952" spans="1:14">
      <c r="A1952" s="8" t="s">
        <v>1964</v>
      </c>
      <c r="B1952" s="2">
        <f>HYPERLINK("https://www.suredividend.com/sure-analysis-research-database/","Net Element Inc.")</f>
        <v>0</v>
      </c>
      <c r="C1952" s="1" t="s">
        <v>3181</v>
      </c>
      <c r="D1952" s="3">
        <v>11.77</v>
      </c>
      <c r="E1952" s="4">
        <v>0</v>
      </c>
      <c r="F1952" s="4" t="s">
        <v>3178</v>
      </c>
      <c r="G1952" s="4" t="s">
        <v>3178</v>
      </c>
      <c r="H1952" s="3">
        <v>0</v>
      </c>
      <c r="I1952" s="5">
        <v>70.74211699999999</v>
      </c>
      <c r="J1952" s="6">
        <v>0</v>
      </c>
      <c r="K1952" s="4" t="s">
        <v>3178</v>
      </c>
      <c r="M1952" s="3">
        <v>19.15</v>
      </c>
      <c r="N1952" s="3">
        <v>5.72</v>
      </c>
    </row>
    <row r="1953" spans="1:14">
      <c r="A1953" s="8" t="s">
        <v>1965</v>
      </c>
      <c r="B1953" s="2">
        <f>HYPERLINK("https://www.suredividend.com/sure-analysis-NEU/","NewMarket Corp.")</f>
        <v>0</v>
      </c>
      <c r="C1953" s="1" t="s">
        <v>3177</v>
      </c>
      <c r="D1953" s="3">
        <v>535.25</v>
      </c>
      <c r="E1953" s="4">
        <v>0.01681457262961233</v>
      </c>
      <c r="F1953" s="4">
        <v>0.1904761904761905</v>
      </c>
      <c r="G1953" s="4">
        <v>0.07394092378577932</v>
      </c>
      <c r="H1953" s="3">
        <v>9.193352236729377</v>
      </c>
      <c r="I1953" s="5">
        <v>5135.322313</v>
      </c>
      <c r="J1953" s="6">
        <v>12.91557319790648</v>
      </c>
      <c r="K1953" s="4">
        <v>0.2211003423936839</v>
      </c>
      <c r="L1953" s="7">
        <v>0.4946613045242451</v>
      </c>
      <c r="M1953" s="3">
        <v>647.36</v>
      </c>
      <c r="N1953" s="3">
        <v>390.91</v>
      </c>
    </row>
    <row r="1954" spans="1:14">
      <c r="A1954" s="8" t="s">
        <v>1966</v>
      </c>
      <c r="B1954" s="2">
        <f>HYPERLINK("https://www.suredividend.com/sure-analysis-research-database/","New Relic Inc")</f>
        <v>0</v>
      </c>
      <c r="C1954" s="1" t="s">
        <v>3181</v>
      </c>
      <c r="D1954" s="3">
        <v>86.98999999999999</v>
      </c>
      <c r="E1954" s="4">
        <v>0</v>
      </c>
      <c r="F1954" s="4" t="s">
        <v>3178</v>
      </c>
      <c r="G1954" s="4" t="s">
        <v>3178</v>
      </c>
      <c r="H1954" s="3">
        <v>0</v>
      </c>
      <c r="I1954" s="5">
        <v>6178.34827</v>
      </c>
      <c r="J1954" s="6" t="s">
        <v>3178</v>
      </c>
      <c r="K1954" s="4">
        <v>-0</v>
      </c>
      <c r="M1954" s="3">
        <v>87.01000000000001</v>
      </c>
      <c r="N1954" s="3">
        <v>50.3</v>
      </c>
    </row>
    <row r="1955" spans="1:14">
      <c r="A1955" s="8" t="s">
        <v>1967</v>
      </c>
      <c r="B1955" s="2">
        <f>HYPERLINK("https://www.suredividend.com/sure-analysis-research-database/","Northfield Bancorp Inc")</f>
        <v>0</v>
      </c>
      <c r="C1955" s="1" t="s">
        <v>3180</v>
      </c>
      <c r="D1955" s="3">
        <v>8.23</v>
      </c>
      <c r="E1955" s="4">
        <v>0.06109208539096501</v>
      </c>
      <c r="F1955" s="4">
        <v>0</v>
      </c>
      <c r="G1955" s="4">
        <v>0.03397522653195018</v>
      </c>
      <c r="H1955" s="3">
        <v>0.5027878627676441</v>
      </c>
      <c r="I1955" s="5">
        <v>364.952972</v>
      </c>
      <c r="J1955" s="6">
        <v>9.68841678170379</v>
      </c>
      <c r="K1955" s="4">
        <v>0.5824697205371224</v>
      </c>
      <c r="L1955" s="7">
        <v>1.213265046866475</v>
      </c>
      <c r="M1955" s="3">
        <v>12.95</v>
      </c>
      <c r="N1955" s="3">
        <v>7.77</v>
      </c>
    </row>
    <row r="1956" spans="1:14">
      <c r="A1956" s="8" t="s">
        <v>1968</v>
      </c>
      <c r="B1956" s="2">
        <f>HYPERLINK("https://www.suredividend.com/sure-analysis-NFG/","National Fuel Gas Co.")</f>
        <v>0</v>
      </c>
      <c r="C1956" s="1" t="s">
        <v>3185</v>
      </c>
      <c r="D1956" s="3">
        <v>56.1</v>
      </c>
      <c r="E1956" s="4">
        <v>0.03529411764705882</v>
      </c>
      <c r="F1956" s="4">
        <v>0</v>
      </c>
      <c r="G1956" s="4">
        <v>0.02617915477537269</v>
      </c>
      <c r="H1956" s="3">
        <v>1.951687381340148</v>
      </c>
      <c r="I1956" s="5">
        <v>5156.592619</v>
      </c>
      <c r="J1956" s="6">
        <v>11.07541763057117</v>
      </c>
      <c r="K1956" s="4">
        <v>0.3872395597897119</v>
      </c>
      <c r="L1956" s="7">
        <v>0.6355075385332001</v>
      </c>
      <c r="M1956" s="3">
        <v>57.6</v>
      </c>
      <c r="N1956" s="3">
        <v>44.89</v>
      </c>
    </row>
    <row r="1957" spans="1:14">
      <c r="A1957" s="8" t="s">
        <v>1969</v>
      </c>
      <c r="B1957" s="2">
        <f>HYPERLINK("https://www.suredividend.com/sure-analysis-research-database/","Netflix Inc.")</f>
        <v>0</v>
      </c>
      <c r="C1957" s="1" t="s">
        <v>3187</v>
      </c>
      <c r="D1957" s="3">
        <v>641.47</v>
      </c>
      <c r="E1957" s="4">
        <v>0</v>
      </c>
      <c r="F1957" s="4" t="s">
        <v>3178</v>
      </c>
      <c r="G1957" s="4" t="s">
        <v>3178</v>
      </c>
      <c r="H1957" s="3">
        <v>0</v>
      </c>
      <c r="I1957" s="5">
        <v>283398.243782</v>
      </c>
      <c r="J1957" s="6">
        <v>44.03959046683965</v>
      </c>
      <c r="K1957" s="4">
        <v>0</v>
      </c>
      <c r="L1957" s="7">
        <v>1.291243990984331</v>
      </c>
      <c r="M1957" s="3">
        <v>664.25</v>
      </c>
      <c r="N1957" s="3">
        <v>344.73</v>
      </c>
    </row>
    <row r="1958" spans="1:14">
      <c r="A1958" s="8" t="s">
        <v>1970</v>
      </c>
      <c r="B1958" s="2">
        <f>HYPERLINK("https://www.suredividend.com/sure-analysis-research-database/","National General Holdings Corp")</f>
        <v>0</v>
      </c>
      <c r="C1958" s="1" t="s">
        <v>3180</v>
      </c>
      <c r="D1958" s="3">
        <v>34.18</v>
      </c>
      <c r="E1958" s="4">
        <v>0</v>
      </c>
      <c r="F1958" s="4" t="s">
        <v>3178</v>
      </c>
      <c r="G1958" s="4" t="s">
        <v>3178</v>
      </c>
      <c r="H1958" s="3">
        <v>0.200000002980232</v>
      </c>
      <c r="I1958" s="5">
        <v>0</v>
      </c>
      <c r="J1958" s="6">
        <v>0</v>
      </c>
      <c r="K1958" s="4">
        <v>0.05154639252067836</v>
      </c>
    </row>
    <row r="1959" spans="1:14">
      <c r="A1959" s="8" t="s">
        <v>1971</v>
      </c>
      <c r="B1959" s="2">
        <f>HYPERLINK("https://www.suredividend.com/sure-analysis-research-database/","Natural Gas Services Group, Inc.")</f>
        <v>0</v>
      </c>
      <c r="C1959" s="1" t="s">
        <v>3185</v>
      </c>
      <c r="D1959" s="3">
        <v>20.09</v>
      </c>
      <c r="E1959" s="4">
        <v>0</v>
      </c>
      <c r="F1959" s="4" t="s">
        <v>3178</v>
      </c>
      <c r="G1959" s="4" t="s">
        <v>3178</v>
      </c>
      <c r="H1959" s="3">
        <v>0</v>
      </c>
      <c r="I1959" s="5">
        <v>249.860817</v>
      </c>
      <c r="J1959" s="6">
        <v>26.37053473984169</v>
      </c>
      <c r="K1959" s="4">
        <v>0</v>
      </c>
      <c r="L1959" s="7">
        <v>0.206163023019579</v>
      </c>
      <c r="M1959" s="3">
        <v>25.24</v>
      </c>
      <c r="N1959" s="3">
        <v>9.550000000000001</v>
      </c>
    </row>
    <row r="1960" spans="1:14">
      <c r="A1960" s="8" t="s">
        <v>1972</v>
      </c>
      <c r="B1960" s="2">
        <f>HYPERLINK("https://www.suredividend.com/sure-analysis-research-database/","Natural Grocers by Vitamin Cottage Inc")</f>
        <v>0</v>
      </c>
      <c r="C1960" s="1" t="s">
        <v>3184</v>
      </c>
      <c r="D1960" s="3">
        <v>20.86</v>
      </c>
      <c r="E1960" s="4">
        <v>0.019023645643983</v>
      </c>
      <c r="F1960" s="4">
        <v>0</v>
      </c>
      <c r="G1960" s="4">
        <v>0.07394092378577932</v>
      </c>
      <c r="H1960" s="3">
        <v>0.396833248133491</v>
      </c>
      <c r="I1960" s="5">
        <v>475.439973</v>
      </c>
      <c r="J1960" s="6">
        <v>16.58434396190875</v>
      </c>
      <c r="K1960" s="4">
        <v>0.3174665985067928</v>
      </c>
      <c r="L1960" s="7">
        <v>0.764214246780877</v>
      </c>
      <c r="M1960" s="3">
        <v>21.95</v>
      </c>
      <c r="N1960" s="3">
        <v>10.89</v>
      </c>
    </row>
    <row r="1961" spans="1:14">
      <c r="A1961" s="8" t="s">
        <v>1973</v>
      </c>
      <c r="B1961" s="2">
        <f>HYPERLINK("https://www.suredividend.com/sure-analysis-research-database/","Ingevity Corp")</f>
        <v>0</v>
      </c>
      <c r="C1961" s="1" t="s">
        <v>3177</v>
      </c>
      <c r="D1961" s="3">
        <v>48.04</v>
      </c>
      <c r="E1961" s="4">
        <v>0</v>
      </c>
      <c r="F1961" s="4" t="s">
        <v>3178</v>
      </c>
      <c r="G1961" s="4" t="s">
        <v>3178</v>
      </c>
      <c r="H1961" s="3">
        <v>0</v>
      </c>
      <c r="I1961" s="5">
        <v>1745.267018</v>
      </c>
      <c r="J1961" s="6" t="s">
        <v>3178</v>
      </c>
      <c r="K1961" s="4">
        <v>-0</v>
      </c>
      <c r="L1961" s="7">
        <v>1.469466269154334</v>
      </c>
      <c r="M1961" s="3">
        <v>66.18000000000001</v>
      </c>
      <c r="N1961" s="3">
        <v>36.66</v>
      </c>
    </row>
    <row r="1962" spans="1:14">
      <c r="A1962" s="8" t="s">
        <v>1974</v>
      </c>
      <c r="B1962" s="2">
        <f>HYPERLINK("https://www.suredividend.com/sure-analysis-NHC/","National Healthcare Corp.")</f>
        <v>0</v>
      </c>
      <c r="C1962" s="1" t="s">
        <v>3176</v>
      </c>
      <c r="D1962" s="3">
        <v>103.17</v>
      </c>
      <c r="E1962" s="4">
        <v>0.02365028593583406</v>
      </c>
      <c r="F1962" s="4">
        <v>0.0350877192982455</v>
      </c>
      <c r="G1962" s="4">
        <v>0.02558045007666498</v>
      </c>
      <c r="H1962" s="3">
        <v>2.31785626435083</v>
      </c>
      <c r="I1962" s="5">
        <v>1588.789525</v>
      </c>
      <c r="J1962" s="6">
        <v>19.54519148066135</v>
      </c>
      <c r="K1962" s="4">
        <v>0.439820923026723</v>
      </c>
      <c r="L1962" s="7">
        <v>0.5338624678969951</v>
      </c>
      <c r="M1962" s="3">
        <v>107.45</v>
      </c>
      <c r="N1962" s="3">
        <v>54.95</v>
      </c>
    </row>
    <row r="1963" spans="1:14">
      <c r="A1963" s="8" t="s">
        <v>1975</v>
      </c>
      <c r="B1963" s="2">
        <f>HYPERLINK("https://www.suredividend.com/sure-analysis-NHI/","National Health Investors, Inc.")</f>
        <v>0</v>
      </c>
      <c r="C1963" s="1" t="s">
        <v>3183</v>
      </c>
      <c r="D1963" s="3">
        <v>65.59</v>
      </c>
      <c r="E1963" s="4">
        <v>0.054886415612136</v>
      </c>
      <c r="F1963" s="4">
        <v>0</v>
      </c>
      <c r="G1963" s="4">
        <v>-0.03035973390442093</v>
      </c>
      <c r="H1963" s="3">
        <v>3.517303544212344</v>
      </c>
      <c r="I1963" s="5">
        <v>2848.235321</v>
      </c>
      <c r="J1963" s="6">
        <v>21.57296422872421</v>
      </c>
      <c r="K1963" s="4">
        <v>1.157007744806692</v>
      </c>
      <c r="L1963" s="7">
        <v>0.803483394369333</v>
      </c>
      <c r="M1963" s="3">
        <v>68.14</v>
      </c>
      <c r="N1963" s="3">
        <v>47.05</v>
      </c>
    </row>
    <row r="1964" spans="1:14">
      <c r="A1964" s="8" t="s">
        <v>1976</v>
      </c>
      <c r="B1964" s="2">
        <f>HYPERLINK("https://www.suredividend.com/sure-analysis-research-database/","Natural Health Trends Corp.")</f>
        <v>0</v>
      </c>
      <c r="C1964" s="1" t="s">
        <v>3182</v>
      </c>
      <c r="D1964" s="3">
        <v>6.74</v>
      </c>
      <c r="E1964" s="4">
        <v>0.108289543916071</v>
      </c>
      <c r="F1964" s="4" t="s">
        <v>3178</v>
      </c>
      <c r="G1964" s="4" t="s">
        <v>3178</v>
      </c>
      <c r="H1964" s="3">
        <v>0.729871525994324</v>
      </c>
      <c r="I1964" s="5">
        <v>77.62305000000001</v>
      </c>
      <c r="J1964" s="6">
        <v>0</v>
      </c>
      <c r="K1964" s="4" t="s">
        <v>3178</v>
      </c>
      <c r="L1964" s="7">
        <v>0.048568839317785</v>
      </c>
      <c r="M1964" s="3">
        <v>7.24</v>
      </c>
      <c r="N1964" s="3">
        <v>3.73</v>
      </c>
    </row>
    <row r="1965" spans="1:14">
      <c r="A1965" s="8" t="s">
        <v>1977</v>
      </c>
      <c r="B1965" s="2">
        <f>HYPERLINK("https://www.suredividend.com/sure-analysis-research-database/","NiSource Inc")</f>
        <v>0</v>
      </c>
      <c r="C1965" s="1" t="s">
        <v>3186</v>
      </c>
      <c r="D1965" s="3">
        <v>28.28</v>
      </c>
      <c r="E1965" s="4">
        <v>0.03590264320861</v>
      </c>
      <c r="F1965" s="4">
        <v>0.06000000000000005</v>
      </c>
      <c r="G1965" s="4">
        <v>0.05789648870565345</v>
      </c>
      <c r="H1965" s="3">
        <v>1.015326749939508</v>
      </c>
      <c r="I1965" s="5">
        <v>12678.074959</v>
      </c>
      <c r="J1965" s="6">
        <v>18.47577230929758</v>
      </c>
      <c r="K1965" s="4">
        <v>0.6636122548624235</v>
      </c>
      <c r="L1965" s="7">
        <v>0.550777597372723</v>
      </c>
      <c r="M1965" s="3">
        <v>29.44</v>
      </c>
      <c r="N1965" s="3">
        <v>22.19</v>
      </c>
    </row>
    <row r="1966" spans="1:14">
      <c r="A1966" s="8" t="s">
        <v>1978</v>
      </c>
      <c r="B1966" s="2">
        <f>HYPERLINK("https://www.suredividend.com/sure-analysis-research-database/","Nicholas Financial, Inc.")</f>
        <v>0</v>
      </c>
      <c r="C1966" s="1" t="s">
        <v>3180</v>
      </c>
      <c r="D1966" s="3">
        <v>6.33</v>
      </c>
      <c r="E1966" s="4">
        <v>0</v>
      </c>
      <c r="F1966" s="4" t="s">
        <v>3178</v>
      </c>
      <c r="G1966" s="4" t="s">
        <v>3178</v>
      </c>
      <c r="H1966" s="3">
        <v>0</v>
      </c>
      <c r="I1966" s="5">
        <v>80.39100000000001</v>
      </c>
      <c r="J1966" s="6">
        <v>0</v>
      </c>
      <c r="K1966" s="4" t="s">
        <v>3178</v>
      </c>
      <c r="M1966" s="3">
        <v>7.55</v>
      </c>
      <c r="N1966" s="3">
        <v>4.37</v>
      </c>
    </row>
    <row r="1967" spans="1:14">
      <c r="A1967" s="8" t="s">
        <v>1979</v>
      </c>
      <c r="B1967" s="2">
        <f>HYPERLINK("https://www.suredividend.com/sure-analysis-research-database/","Nine Energy Service Inc")</f>
        <v>0</v>
      </c>
      <c r="C1967" s="1" t="s">
        <v>3185</v>
      </c>
      <c r="D1967" s="3">
        <v>1.55</v>
      </c>
      <c r="E1967" s="4">
        <v>0</v>
      </c>
      <c r="F1967" s="4" t="s">
        <v>3178</v>
      </c>
      <c r="G1967" s="4" t="s">
        <v>3178</v>
      </c>
      <c r="H1967" s="3">
        <v>0</v>
      </c>
      <c r="I1967" s="5">
        <v>54.753535</v>
      </c>
      <c r="J1967" s="6" t="s">
        <v>3178</v>
      </c>
      <c r="K1967" s="4">
        <v>-0</v>
      </c>
      <c r="L1967" s="7">
        <v>1.462045267345247</v>
      </c>
      <c r="M1967" s="3">
        <v>5.59</v>
      </c>
      <c r="N1967" s="3">
        <v>1.51</v>
      </c>
    </row>
    <row r="1968" spans="1:14">
      <c r="A1968" s="8" t="s">
        <v>1980</v>
      </c>
      <c r="B1968" s="2">
        <f>HYPERLINK("https://www.suredividend.com/sure-analysis-NJR/","New Jersey Resources Corporation")</f>
        <v>0</v>
      </c>
      <c r="C1968" s="1" t="s">
        <v>3186</v>
      </c>
      <c r="D1968" s="3">
        <v>43.29</v>
      </c>
      <c r="E1968" s="4">
        <v>0.03880803880803881</v>
      </c>
      <c r="F1968" s="4">
        <v>0.07692307692307687</v>
      </c>
      <c r="G1968" s="4">
        <v>0.07504014914181223</v>
      </c>
      <c r="H1968" s="3">
        <v>1.626752878141091</v>
      </c>
      <c r="I1968" s="5">
        <v>4278.016415</v>
      </c>
      <c r="J1968" s="6">
        <v>17.19605117240603</v>
      </c>
      <c r="K1968" s="4">
        <v>0.6429853273284944</v>
      </c>
      <c r="L1968" s="7">
        <v>0.501485698864891</v>
      </c>
      <c r="M1968" s="3">
        <v>47.92</v>
      </c>
      <c r="N1968" s="3">
        <v>38.18</v>
      </c>
    </row>
    <row r="1969" spans="1:14">
      <c r="A1969" s="8" t="s">
        <v>1981</v>
      </c>
      <c r="B1969" s="2">
        <f>HYPERLINK("https://www.suredividend.com/sure-analysis-NKE/","Nike, Inc.")</f>
        <v>0</v>
      </c>
      <c r="C1969" s="1" t="s">
        <v>3182</v>
      </c>
      <c r="D1969" s="3">
        <v>96.55</v>
      </c>
      <c r="E1969" s="4">
        <v>0.01532884515794925</v>
      </c>
      <c r="F1969" s="4">
        <v>0.08823529411764697</v>
      </c>
      <c r="G1969" s="4">
        <v>0.1095728171731842</v>
      </c>
      <c r="H1969" s="3">
        <v>1.442145430698569</v>
      </c>
      <c r="I1969" s="5">
        <v>150618</v>
      </c>
      <c r="J1969" s="6">
        <v>22.36027779301281</v>
      </c>
      <c r="K1969" s="4">
        <v>0.4241604207936968</v>
      </c>
      <c r="L1969" s="7">
        <v>0.7606716879915301</v>
      </c>
      <c r="M1969" s="3">
        <v>122.47</v>
      </c>
      <c r="N1969" s="3">
        <v>87.70999999999999</v>
      </c>
    </row>
    <row r="1970" spans="1:14">
      <c r="A1970" s="8" t="s">
        <v>1982</v>
      </c>
      <c r="B1970" s="2">
        <f>HYPERLINK("https://www.suredividend.com/sure-analysis-research-database/","National Bankshares Inc.")</f>
        <v>0</v>
      </c>
      <c r="C1970" s="1" t="s">
        <v>3180</v>
      </c>
      <c r="D1970" s="3">
        <v>29.21</v>
      </c>
      <c r="E1970" s="4">
        <v>0.05104052824466301</v>
      </c>
      <c r="F1970" s="4" t="s">
        <v>3178</v>
      </c>
      <c r="G1970" s="4" t="s">
        <v>3178</v>
      </c>
      <c r="H1970" s="3">
        <v>1.490893830026626</v>
      </c>
      <c r="I1970" s="5">
        <v>172.157372</v>
      </c>
      <c r="J1970" s="6">
        <v>12.91115735863207</v>
      </c>
      <c r="K1970" s="4">
        <v>0.6596875354100116</v>
      </c>
      <c r="L1970" s="7">
        <v>0.9927686432198181</v>
      </c>
      <c r="M1970" s="3">
        <v>36.09</v>
      </c>
      <c r="N1970" s="3">
        <v>20.52</v>
      </c>
    </row>
    <row r="1971" spans="1:14">
      <c r="A1971" s="8" t="s">
        <v>1983</v>
      </c>
      <c r="B1971" s="2">
        <f>HYPERLINK("https://www.suredividend.com/sure-analysis-research-database/","Nektar Therapeutics")</f>
        <v>0</v>
      </c>
      <c r="C1971" s="1" t="s">
        <v>3176</v>
      </c>
      <c r="D1971" s="3">
        <v>1.26</v>
      </c>
      <c r="E1971" s="4">
        <v>0</v>
      </c>
      <c r="F1971" s="4" t="s">
        <v>3178</v>
      </c>
      <c r="G1971" s="4" t="s">
        <v>3178</v>
      </c>
      <c r="H1971" s="3">
        <v>0</v>
      </c>
      <c r="I1971" s="5">
        <v>231.86461</v>
      </c>
      <c r="J1971" s="6" t="s">
        <v>3178</v>
      </c>
      <c r="K1971" s="4">
        <v>-0</v>
      </c>
      <c r="L1971" s="7">
        <v>2.484614622479635</v>
      </c>
      <c r="M1971" s="3">
        <v>1.93</v>
      </c>
      <c r="N1971" s="3">
        <v>0.4126</v>
      </c>
    </row>
    <row r="1972" spans="1:14">
      <c r="A1972" s="8" t="s">
        <v>1984</v>
      </c>
      <c r="B1972" s="2">
        <f>HYPERLINK("https://www.suredividend.com/sure-analysis-research-database/","NL Industries, Inc.")</f>
        <v>0</v>
      </c>
      <c r="C1972" s="1" t="s">
        <v>3179</v>
      </c>
      <c r="D1972" s="3">
        <v>7.04</v>
      </c>
      <c r="E1972" s="4">
        <v>0.030829529045303</v>
      </c>
      <c r="F1972" s="4" t="s">
        <v>3178</v>
      </c>
      <c r="G1972" s="4" t="s">
        <v>3178</v>
      </c>
      <c r="H1972" s="3">
        <v>0.217039884478936</v>
      </c>
      <c r="I1972" s="5">
        <v>343.787727</v>
      </c>
      <c r="J1972" s="6">
        <v>30.5670603147506</v>
      </c>
      <c r="K1972" s="4">
        <v>0.9424224250062354</v>
      </c>
      <c r="L1972" s="7">
        <v>0.6457733438825231</v>
      </c>
      <c r="M1972" s="3">
        <v>8.93</v>
      </c>
      <c r="N1972" s="3">
        <v>4.38</v>
      </c>
    </row>
    <row r="1973" spans="1:14">
      <c r="A1973" s="8" t="s">
        <v>1985</v>
      </c>
      <c r="B1973" s="2">
        <f>HYPERLINK("https://www.suredividend.com/sure-analysis-research-database/","Nielsen Holdings plc")</f>
        <v>0</v>
      </c>
      <c r="C1973" s="1" t="s">
        <v>3179</v>
      </c>
      <c r="D1973" s="3">
        <v>27.98</v>
      </c>
      <c r="E1973" s="4">
        <v>0.008546166511954001</v>
      </c>
      <c r="F1973" s="4" t="s">
        <v>3178</v>
      </c>
      <c r="G1973" s="4" t="s">
        <v>3178</v>
      </c>
      <c r="H1973" s="3">
        <v>0.239121739004478</v>
      </c>
      <c r="I1973" s="5">
        <v>10068.164861</v>
      </c>
      <c r="J1973" s="6">
        <v>18.99653747392453</v>
      </c>
      <c r="K1973" s="4">
        <v>0.1626678496629102</v>
      </c>
      <c r="M1973" s="3">
        <v>28</v>
      </c>
      <c r="N1973" s="3">
        <v>15.89</v>
      </c>
    </row>
    <row r="1974" spans="1:14">
      <c r="A1974" s="8" t="s">
        <v>1986</v>
      </c>
      <c r="B1974" s="2">
        <f>HYPERLINK("https://www.suredividend.com/sure-analysis-NLY/","Annaly Capital Management Inc")</f>
        <v>0</v>
      </c>
      <c r="C1974" s="1" t="s">
        <v>3183</v>
      </c>
      <c r="D1974" s="3">
        <v>19.74</v>
      </c>
      <c r="E1974" s="4">
        <v>0.1317122593718339</v>
      </c>
      <c r="F1974" s="4">
        <v>0</v>
      </c>
      <c r="G1974" s="4">
        <v>0.2105832751075947</v>
      </c>
      <c r="H1974" s="3">
        <v>2.475359419193347</v>
      </c>
      <c r="I1974" s="5">
        <v>9878.686054</v>
      </c>
      <c r="J1974" s="6" t="s">
        <v>3178</v>
      </c>
      <c r="K1974" s="4" t="s">
        <v>3178</v>
      </c>
      <c r="L1974" s="7">
        <v>1.248768765643764</v>
      </c>
      <c r="M1974" s="3">
        <v>20.53</v>
      </c>
      <c r="N1974" s="3">
        <v>13.6</v>
      </c>
    </row>
    <row r="1975" spans="1:14">
      <c r="A1975" s="8" t="s">
        <v>1987</v>
      </c>
      <c r="B1975" s="2">
        <f>HYPERLINK("https://www.suredividend.com/sure-analysis-research-database/","NMI Holdings Inc")</f>
        <v>0</v>
      </c>
      <c r="C1975" s="1" t="s">
        <v>3180</v>
      </c>
      <c r="D1975" s="3">
        <v>32.72</v>
      </c>
      <c r="E1975" s="4">
        <v>0</v>
      </c>
      <c r="F1975" s="4" t="s">
        <v>3178</v>
      </c>
      <c r="G1975" s="4" t="s">
        <v>3178</v>
      </c>
      <c r="H1975" s="3">
        <v>0</v>
      </c>
      <c r="I1975" s="5">
        <v>0</v>
      </c>
      <c r="J1975" s="6">
        <v>0</v>
      </c>
      <c r="K1975" s="4">
        <v>0</v>
      </c>
      <c r="L1975" s="7">
        <v>0.321440861142318</v>
      </c>
      <c r="M1975" s="3">
        <v>34.26</v>
      </c>
      <c r="N1975" s="3">
        <v>31.59</v>
      </c>
    </row>
    <row r="1976" spans="1:14">
      <c r="A1976" s="8" t="s">
        <v>1988</v>
      </c>
      <c r="B1976" s="2">
        <f>HYPERLINK("https://www.suredividend.com/sure-analysis-research-database/","Newmark Group Inc")</f>
        <v>0</v>
      </c>
      <c r="C1976" s="1" t="s">
        <v>3183</v>
      </c>
      <c r="D1976" s="3">
        <v>9.91</v>
      </c>
      <c r="E1976" s="4">
        <v>0.012038414247324</v>
      </c>
      <c r="F1976" s="4">
        <v>0</v>
      </c>
      <c r="G1976" s="4">
        <v>-0.2139969144033772</v>
      </c>
      <c r="H1976" s="3">
        <v>0.119300685190987</v>
      </c>
      <c r="I1976" s="5">
        <v>1498.470457</v>
      </c>
      <c r="J1976" s="6">
        <v>35.1960177914269</v>
      </c>
      <c r="K1976" s="4">
        <v>0.4942033355053314</v>
      </c>
      <c r="L1976" s="7">
        <v>1.90454567459894</v>
      </c>
      <c r="M1976" s="3">
        <v>11.48</v>
      </c>
      <c r="N1976" s="3">
        <v>5.02</v>
      </c>
    </row>
    <row r="1977" spans="1:14">
      <c r="A1977" s="8" t="s">
        <v>1989</v>
      </c>
      <c r="B1977" s="2">
        <f>HYPERLINK("https://www.suredividend.com/sure-analysis-research-database/","NN Inc")</f>
        <v>0</v>
      </c>
      <c r="C1977" s="1" t="s">
        <v>3179</v>
      </c>
      <c r="D1977" s="3">
        <v>3.02</v>
      </c>
      <c r="E1977" s="4">
        <v>0</v>
      </c>
      <c r="F1977" s="4" t="s">
        <v>3178</v>
      </c>
      <c r="G1977" s="4" t="s">
        <v>3178</v>
      </c>
      <c r="H1977" s="3">
        <v>0</v>
      </c>
      <c r="I1977" s="5">
        <v>151.014632</v>
      </c>
      <c r="J1977" s="6" t="s">
        <v>3178</v>
      </c>
      <c r="K1977" s="4">
        <v>-0</v>
      </c>
      <c r="L1977" s="7">
        <v>1.177610560564257</v>
      </c>
      <c r="M1977" s="3">
        <v>5.4</v>
      </c>
      <c r="N1977" s="3">
        <v>1.63</v>
      </c>
    </row>
    <row r="1978" spans="1:14">
      <c r="A1978" s="8" t="s">
        <v>1990</v>
      </c>
      <c r="B1978" s="2">
        <f>HYPERLINK("https://www.suredividend.com/sure-analysis-research-database/","Nelnet Inc")</f>
        <v>0</v>
      </c>
      <c r="C1978" s="1" t="s">
        <v>3180</v>
      </c>
      <c r="D1978" s="3">
        <v>100.69</v>
      </c>
      <c r="E1978" s="4">
        <v>0.01087649535105</v>
      </c>
      <c r="F1978" s="4">
        <v>0.07692307692307709</v>
      </c>
      <c r="G1978" s="4">
        <v>0.09238846414037316</v>
      </c>
      <c r="H1978" s="3">
        <v>1.095154316897291</v>
      </c>
      <c r="I1978" s="5">
        <v>2588.125087</v>
      </c>
      <c r="J1978" s="6">
        <v>18.64683737299797</v>
      </c>
      <c r="K1978" s="4">
        <v>0.295987653215484</v>
      </c>
      <c r="L1978" s="7">
        <v>0.687015169275745</v>
      </c>
      <c r="M1978" s="3">
        <v>110.4</v>
      </c>
      <c r="N1978" s="3">
        <v>80.91</v>
      </c>
    </row>
    <row r="1979" spans="1:14">
      <c r="A1979" s="8" t="s">
        <v>1991</v>
      </c>
      <c r="B1979" s="2">
        <f>HYPERLINK("https://www.suredividend.com/sure-analysis-NNN/","NNN REIT Inc")</f>
        <v>0</v>
      </c>
      <c r="C1979" s="1" t="s">
        <v>3183</v>
      </c>
      <c r="D1979" s="3">
        <v>42.03</v>
      </c>
      <c r="E1979" s="4">
        <v>0.05377111586961694</v>
      </c>
      <c r="F1979" s="4">
        <v>0.02727272727272734</v>
      </c>
      <c r="G1979" s="4">
        <v>0.0187045449225216</v>
      </c>
      <c r="H1979" s="3">
        <v>2.212505559423391</v>
      </c>
      <c r="I1979" s="5">
        <v>7706.178098</v>
      </c>
      <c r="J1979" s="6">
        <v>19.4642727915911</v>
      </c>
      <c r="K1979" s="4">
        <v>1.01491080707495</v>
      </c>
      <c r="L1979" s="7">
        <v>0.7871666581142911</v>
      </c>
      <c r="M1979" s="3">
        <v>43.35</v>
      </c>
      <c r="N1979" s="3">
        <v>32.9</v>
      </c>
    </row>
    <row r="1980" spans="1:14">
      <c r="A1980" s="8" t="s">
        <v>1992</v>
      </c>
      <c r="B1980" s="2">
        <f>HYPERLINK("https://www.suredividend.com/sure-analysis-research-database/","NanoViricides Inc")</f>
        <v>0</v>
      </c>
      <c r="C1980" s="1" t="s">
        <v>3176</v>
      </c>
      <c r="D1980" s="3">
        <v>2.67</v>
      </c>
      <c r="E1980" s="4">
        <v>0</v>
      </c>
      <c r="F1980" s="4" t="s">
        <v>3178</v>
      </c>
      <c r="G1980" s="4" t="s">
        <v>3178</v>
      </c>
      <c r="H1980" s="3">
        <v>0</v>
      </c>
      <c r="I1980" s="5">
        <v>31.54338</v>
      </c>
      <c r="J1980" s="6">
        <v>0</v>
      </c>
      <c r="K1980" s="4" t="s">
        <v>3178</v>
      </c>
      <c r="L1980" s="7">
        <v>0.17509951372652</v>
      </c>
      <c r="M1980" s="3">
        <v>2.95</v>
      </c>
      <c r="N1980" s="3">
        <v>1</v>
      </c>
    </row>
    <row r="1981" spans="1:14">
      <c r="A1981" s="8" t="s">
        <v>1993</v>
      </c>
      <c r="B1981" s="2">
        <f>HYPERLINK("https://www.suredividend.com/sure-analysis-NOC/","Northrop Grumman Corp.")</f>
        <v>0</v>
      </c>
      <c r="C1981" s="1" t="s">
        <v>3179</v>
      </c>
      <c r="D1981" s="3">
        <v>440.04</v>
      </c>
      <c r="E1981" s="4">
        <v>0.01872557040269066</v>
      </c>
      <c r="F1981" s="4">
        <v>0.1016042780748663</v>
      </c>
      <c r="G1981" s="4">
        <v>0.09309688786454995</v>
      </c>
      <c r="H1981" s="3">
        <v>7.622675304619108</v>
      </c>
      <c r="I1981" s="5">
        <v>65121.505959</v>
      </c>
      <c r="J1981" s="6">
        <v>30.17678682055607</v>
      </c>
      <c r="K1981" s="4">
        <v>0.5334272431503925</v>
      </c>
      <c r="L1981" s="7">
        <v>0.131686842373551</v>
      </c>
      <c r="M1981" s="3">
        <v>490.72</v>
      </c>
      <c r="N1981" s="3">
        <v>409.41</v>
      </c>
    </row>
    <row r="1982" spans="1:14">
      <c r="A1982" s="8" t="s">
        <v>1994</v>
      </c>
      <c r="B1982" s="2">
        <f>HYPERLINK("https://www.suredividend.com/sure-analysis-research-database/","NI Holdings Inc")</f>
        <v>0</v>
      </c>
      <c r="C1982" s="1" t="s">
        <v>3180</v>
      </c>
      <c r="D1982" s="3">
        <v>15.2</v>
      </c>
      <c r="E1982" s="4">
        <v>0</v>
      </c>
      <c r="F1982" s="4" t="s">
        <v>3178</v>
      </c>
      <c r="G1982" s="4" t="s">
        <v>3178</v>
      </c>
      <c r="H1982" s="3">
        <v>0</v>
      </c>
      <c r="I1982" s="5">
        <v>313.567701</v>
      </c>
      <c r="J1982" s="6">
        <v>0</v>
      </c>
      <c r="K1982" s="4" t="s">
        <v>3178</v>
      </c>
      <c r="L1982" s="7">
        <v>0.5131031290236571</v>
      </c>
      <c r="M1982" s="3">
        <v>16.55</v>
      </c>
      <c r="N1982" s="3">
        <v>12.01</v>
      </c>
    </row>
    <row r="1983" spans="1:14">
      <c r="A1983" s="8" t="s">
        <v>1995</v>
      </c>
      <c r="B1983" s="2">
        <f>HYPERLINK("https://www.suredividend.com/sure-analysis-research-database/","Northern Oil and Gas Inc.")</f>
        <v>0</v>
      </c>
      <c r="C1983" s="1" t="s">
        <v>3185</v>
      </c>
      <c r="D1983" s="3">
        <v>37.55</v>
      </c>
      <c r="E1983" s="4">
        <v>0.04066724060653201</v>
      </c>
      <c r="F1983" s="4" t="s">
        <v>3178</v>
      </c>
      <c r="G1983" s="4" t="s">
        <v>3178</v>
      </c>
      <c r="H1983" s="3">
        <v>1.52705488477529</v>
      </c>
      <c r="I1983" s="5">
        <v>3794.627379</v>
      </c>
      <c r="J1983" s="6">
        <v>6.384134462990255</v>
      </c>
      <c r="K1983" s="4">
        <v>0.2470962596723771</v>
      </c>
      <c r="L1983" s="7">
        <v>0.6109407724829781</v>
      </c>
      <c r="M1983" s="3">
        <v>43.75</v>
      </c>
      <c r="N1983" s="3">
        <v>30.27</v>
      </c>
    </row>
    <row r="1984" spans="1:14">
      <c r="A1984" s="8" t="s">
        <v>1996</v>
      </c>
      <c r="B1984" s="2">
        <f>HYPERLINK("https://www.suredividend.com/sure-analysis-research-database/","NOV Inc")</f>
        <v>0</v>
      </c>
      <c r="C1984" s="1" t="s">
        <v>3185</v>
      </c>
      <c r="D1984" s="3">
        <v>17.32</v>
      </c>
      <c r="E1984" s="4">
        <v>0.011500463070652</v>
      </c>
      <c r="F1984" s="4" t="s">
        <v>3178</v>
      </c>
      <c r="G1984" s="4" t="s">
        <v>3178</v>
      </c>
      <c r="H1984" s="3">
        <v>0.199188020383699</v>
      </c>
      <c r="I1984" s="5">
        <v>6850.682325</v>
      </c>
      <c r="J1984" s="6">
        <v>6.947953676389452</v>
      </c>
      <c r="K1984" s="4">
        <v>0.08031775015471734</v>
      </c>
      <c r="L1984" s="7">
        <v>0.8140940345174</v>
      </c>
      <c r="M1984" s="3">
        <v>21.73</v>
      </c>
      <c r="N1984" s="3">
        <v>14.73</v>
      </c>
    </row>
    <row r="1985" spans="1:14">
      <c r="A1985" s="8" t="s">
        <v>1997</v>
      </c>
      <c r="B1985" s="2">
        <f>HYPERLINK("https://www.suredividend.com/sure-analysis-research-database/","Novanta Inc")</f>
        <v>0</v>
      </c>
      <c r="C1985" s="1" t="s">
        <v>3181</v>
      </c>
      <c r="D1985" s="3">
        <v>160.93</v>
      </c>
      <c r="E1985" s="4">
        <v>0</v>
      </c>
      <c r="F1985" s="4" t="s">
        <v>3178</v>
      </c>
      <c r="G1985" s="4" t="s">
        <v>3178</v>
      </c>
      <c r="H1985" s="3">
        <v>0</v>
      </c>
      <c r="I1985" s="5">
        <v>5776.406293</v>
      </c>
      <c r="J1985" s="6">
        <v>83.36685899031592</v>
      </c>
      <c r="K1985" s="4">
        <v>0</v>
      </c>
      <c r="L1985" s="7">
        <v>1.758830589406133</v>
      </c>
      <c r="M1985" s="3">
        <v>187.61</v>
      </c>
      <c r="N1985" s="3">
        <v>111.2</v>
      </c>
    </row>
    <row r="1986" spans="1:14">
      <c r="A1986" s="8" t="s">
        <v>1998</v>
      </c>
      <c r="B1986" s="2">
        <f>HYPERLINK("https://www.suredividend.com/sure-analysis-research-database/","ServiceNow Inc")</f>
        <v>0</v>
      </c>
      <c r="C1986" s="1" t="s">
        <v>3181</v>
      </c>
      <c r="D1986" s="3">
        <v>698.8099999999999</v>
      </c>
      <c r="E1986" s="4">
        <v>0</v>
      </c>
      <c r="F1986" s="4" t="s">
        <v>3178</v>
      </c>
      <c r="G1986" s="4" t="s">
        <v>3178</v>
      </c>
      <c r="H1986" s="3">
        <v>0</v>
      </c>
      <c r="I1986" s="5">
        <v>143256.05</v>
      </c>
      <c r="J1986" s="6">
        <v>74.3029304979253</v>
      </c>
      <c r="K1986" s="4">
        <v>0</v>
      </c>
      <c r="L1986" s="7">
        <v>1.677112964377351</v>
      </c>
      <c r="M1986" s="3">
        <v>815.3200000000001</v>
      </c>
      <c r="N1986" s="3">
        <v>527.24</v>
      </c>
    </row>
    <row r="1987" spans="1:14">
      <c r="A1987" s="8" t="s">
        <v>1999</v>
      </c>
      <c r="B1987" s="2">
        <f>HYPERLINK("https://www.suredividend.com/sure-analysis-research-database/","Neenah Inc")</f>
        <v>0</v>
      </c>
      <c r="C1987" s="1" t="s">
        <v>3177</v>
      </c>
      <c r="D1987" s="3">
        <v>32</v>
      </c>
      <c r="E1987" s="4">
        <v>0.058252615601215</v>
      </c>
      <c r="F1987" s="4" t="s">
        <v>3178</v>
      </c>
      <c r="G1987" s="4" t="s">
        <v>3178</v>
      </c>
      <c r="H1987" s="3">
        <v>1.864083699238888</v>
      </c>
      <c r="I1987" s="5">
        <v>537.253888</v>
      </c>
      <c r="J1987" s="6" t="s">
        <v>3178</v>
      </c>
      <c r="K1987" s="4" t="s">
        <v>3178</v>
      </c>
      <c r="L1987" s="7">
        <v>0.7464642607469351</v>
      </c>
      <c r="M1987" s="3">
        <v>55.11</v>
      </c>
      <c r="N1987" s="3">
        <v>31.05</v>
      </c>
    </row>
    <row r="1988" spans="1:14">
      <c r="A1988" s="8" t="s">
        <v>2000</v>
      </c>
      <c r="B1988" s="2">
        <f>HYPERLINK("https://www.suredividend.com/sure-analysis-research-database/","National Presto Industries, Inc.")</f>
        <v>0</v>
      </c>
      <c r="C1988" s="1" t="s">
        <v>3179</v>
      </c>
      <c r="D1988" s="3">
        <v>74.14</v>
      </c>
      <c r="E1988" s="4">
        <v>0.013487995683841</v>
      </c>
      <c r="F1988" s="4" t="s">
        <v>3178</v>
      </c>
      <c r="G1988" s="4" t="s">
        <v>3178</v>
      </c>
      <c r="H1988" s="3">
        <v>1</v>
      </c>
      <c r="I1988" s="5">
        <v>526.218436</v>
      </c>
      <c r="J1988" s="6">
        <v>15.22666849388003</v>
      </c>
      <c r="K1988" s="4">
        <v>0.205761316872428</v>
      </c>
      <c r="L1988" s="7">
        <v>0.31939330069229</v>
      </c>
      <c r="M1988" s="3">
        <v>86.08</v>
      </c>
      <c r="N1988" s="3">
        <v>69.36</v>
      </c>
    </row>
    <row r="1989" spans="1:14">
      <c r="A1989" s="8" t="s">
        <v>2001</v>
      </c>
      <c r="B1989" s="2">
        <f>HYPERLINK("https://www.suredividend.com/sure-analysis-research-database/","Enpro Inc")</f>
        <v>0</v>
      </c>
      <c r="C1989" s="1" t="s">
        <v>3179</v>
      </c>
      <c r="D1989" s="3">
        <v>148.73</v>
      </c>
      <c r="E1989" s="4">
        <v>0.007909901729017</v>
      </c>
      <c r="F1989" s="4">
        <v>0.03448275862068995</v>
      </c>
      <c r="G1989" s="4">
        <v>0.03713728933664817</v>
      </c>
      <c r="H1989" s="3">
        <v>1.176439684156773</v>
      </c>
      <c r="I1989" s="5">
        <v>3116.212675</v>
      </c>
      <c r="J1989" s="6" t="s">
        <v>3178</v>
      </c>
      <c r="K1989" s="4" t="s">
        <v>3178</v>
      </c>
      <c r="L1989" s="7">
        <v>1.201753645320722</v>
      </c>
      <c r="M1989" s="3">
        <v>170.29</v>
      </c>
      <c r="N1989" s="3">
        <v>105.42</v>
      </c>
    </row>
    <row r="1990" spans="1:14">
      <c r="A1990" s="8" t="s">
        <v>2002</v>
      </c>
      <c r="B1990" s="2">
        <f>HYPERLINK("https://www.suredividend.com/sure-analysis-research-database/","NeoPhotonics Corporation")</f>
        <v>0</v>
      </c>
      <c r="C1990" s="1" t="s">
        <v>3181</v>
      </c>
      <c r="D1990" s="3">
        <v>16.01</v>
      </c>
      <c r="E1990" s="4">
        <v>0</v>
      </c>
      <c r="F1990" s="4" t="s">
        <v>3178</v>
      </c>
      <c r="G1990" s="4" t="s">
        <v>3178</v>
      </c>
      <c r="H1990" s="3">
        <v>0</v>
      </c>
      <c r="I1990" s="5">
        <v>859.559257</v>
      </c>
      <c r="J1990" s="6">
        <v>0</v>
      </c>
      <c r="K1990" s="4" t="s">
        <v>3178</v>
      </c>
      <c r="L1990" s="7">
        <v>0.274869353252886</v>
      </c>
      <c r="M1990" s="3">
        <v>16.14</v>
      </c>
      <c r="N1990" s="3">
        <v>7.95</v>
      </c>
    </row>
    <row r="1991" spans="1:14">
      <c r="A1991" s="8" t="s">
        <v>2003</v>
      </c>
      <c r="B1991" s="2">
        <f>HYPERLINK("https://www.suredividend.com/sure-analysis-research-database/","Newpark Resources, Inc.")</f>
        <v>0</v>
      </c>
      <c r="C1991" s="1" t="s">
        <v>3185</v>
      </c>
      <c r="D1991" s="3">
        <v>8.15</v>
      </c>
      <c r="E1991" s="4">
        <v>0</v>
      </c>
      <c r="F1991" s="4" t="s">
        <v>3178</v>
      </c>
      <c r="G1991" s="4" t="s">
        <v>3178</v>
      </c>
      <c r="H1991" s="3">
        <v>0</v>
      </c>
      <c r="I1991" s="5">
        <v>694.393464</v>
      </c>
      <c r="J1991" s="6">
        <v>42.89291888319229</v>
      </c>
      <c r="K1991" s="4">
        <v>0</v>
      </c>
      <c r="L1991" s="7">
        <v>0.522851904672424</v>
      </c>
      <c r="M1991" s="3">
        <v>8.56</v>
      </c>
      <c r="N1991" s="3">
        <v>4.09</v>
      </c>
    </row>
    <row r="1992" spans="1:14">
      <c r="A1992" s="8" t="s">
        <v>2004</v>
      </c>
      <c r="B1992" s="2">
        <f>HYPERLINK("https://www.suredividend.com/sure-analysis-research-database/","National Research Corp")</f>
        <v>0</v>
      </c>
      <c r="C1992" s="1" t="s">
        <v>3176</v>
      </c>
      <c r="D1992" s="3">
        <v>25.69</v>
      </c>
      <c r="E1992" s="4">
        <v>0.018321175337679</v>
      </c>
      <c r="F1992" s="4" t="s">
        <v>3178</v>
      </c>
      <c r="G1992" s="4" t="s">
        <v>3178</v>
      </c>
      <c r="H1992" s="3">
        <v>0.4706709944249831</v>
      </c>
      <c r="I1992" s="5">
        <v>613.408222</v>
      </c>
      <c r="J1992" s="6">
        <v>20.20382142715984</v>
      </c>
      <c r="K1992" s="4">
        <v>0.3795733826007928</v>
      </c>
      <c r="L1992" s="7">
        <v>0.316363422170117</v>
      </c>
      <c r="M1992" s="3">
        <v>46.43</v>
      </c>
      <c r="N1992" s="3">
        <v>25.63</v>
      </c>
    </row>
    <row r="1993" spans="1:14">
      <c r="A1993" s="8" t="s">
        <v>2005</v>
      </c>
      <c r="B1993" s="2">
        <f>HYPERLINK("https://www.suredividend.com/sure-analysis-NRG/","NRG Energy Inc.")</f>
        <v>0</v>
      </c>
      <c r="C1993" s="1" t="s">
        <v>3186</v>
      </c>
      <c r="D1993" s="3">
        <v>77.89</v>
      </c>
      <c r="E1993" s="4">
        <v>0.02092694826036718</v>
      </c>
      <c r="F1993" s="4">
        <v>0.07947019867549665</v>
      </c>
      <c r="G1993" s="4">
        <v>0.6850053016913757</v>
      </c>
      <c r="H1993" s="3">
        <v>1.554602080043672</v>
      </c>
      <c r="I1993" s="5">
        <v>16238.168145</v>
      </c>
      <c r="J1993" s="6">
        <v>10.32305667185632</v>
      </c>
      <c r="K1993" s="4">
        <v>0.2214532877555089</v>
      </c>
      <c r="L1993" s="7">
        <v>0.8298903527322191</v>
      </c>
      <c r="M1993" s="3">
        <v>87.58</v>
      </c>
      <c r="N1993" s="3">
        <v>31.9</v>
      </c>
    </row>
    <row r="1994" spans="1:14">
      <c r="A1994" s="8" t="s">
        <v>2006</v>
      </c>
      <c r="B1994" s="2">
        <f>HYPERLINK("https://www.suredividend.com/sure-analysis-NRIM/","Northrim Bancorp, Inc.")</f>
        <v>0</v>
      </c>
      <c r="C1994" s="1" t="s">
        <v>3180</v>
      </c>
      <c r="D1994" s="3">
        <v>53.62</v>
      </c>
      <c r="E1994" s="4">
        <v>0.04550540842969041</v>
      </c>
      <c r="F1994" s="4">
        <v>0.01666666666666639</v>
      </c>
      <c r="G1994" s="4">
        <v>0.1307411023504537</v>
      </c>
      <c r="H1994" s="3">
        <v>2.352758647201153</v>
      </c>
      <c r="I1994" s="5">
        <v>294.887372</v>
      </c>
      <c r="J1994" s="6">
        <v>0</v>
      </c>
      <c r="K1994" s="4" t="s">
        <v>3178</v>
      </c>
      <c r="L1994" s="7">
        <v>1.067902489883088</v>
      </c>
      <c r="M1994" s="3">
        <v>57.85</v>
      </c>
      <c r="N1994" s="3">
        <v>34.38</v>
      </c>
    </row>
    <row r="1995" spans="1:14">
      <c r="A1995" s="8" t="s">
        <v>2007</v>
      </c>
      <c r="B1995" s="2">
        <f>HYPERLINK("https://www.suredividend.com/sure-analysis-NSA/","National Storage Affiliates Trust")</f>
        <v>0</v>
      </c>
      <c r="C1995" s="1" t="s">
        <v>3183</v>
      </c>
      <c r="D1995" s="3">
        <v>38.81</v>
      </c>
      <c r="E1995" s="4">
        <v>0.05771708322597269</v>
      </c>
      <c r="F1995" s="4">
        <v>0.0181818181818183</v>
      </c>
      <c r="G1995" s="4">
        <v>0.1184269147201447</v>
      </c>
      <c r="H1995" s="3">
        <v>2.190366870574844</v>
      </c>
      <c r="I1995" s="5">
        <v>2909.360059</v>
      </c>
      <c r="J1995" s="6">
        <v>17.47185007332585</v>
      </c>
      <c r="K1995" s="4">
        <v>1.888247302219694</v>
      </c>
      <c r="L1995" s="7">
        <v>1.090697102997326</v>
      </c>
      <c r="M1995" s="3">
        <v>41.92</v>
      </c>
      <c r="N1995" s="3">
        <v>27.05</v>
      </c>
    </row>
    <row r="1996" spans="1:14">
      <c r="A1996" s="8" t="s">
        <v>2008</v>
      </c>
      <c r="B1996" s="2">
        <f>HYPERLINK("https://www.suredividend.com/sure-analysis-NSC/","Norfolk Southern Corp.")</f>
        <v>0</v>
      </c>
      <c r="C1996" s="1" t="s">
        <v>3179</v>
      </c>
      <c r="D1996" s="3">
        <v>224.07</v>
      </c>
      <c r="E1996" s="4">
        <v>0.02409961172847771</v>
      </c>
      <c r="F1996" s="4">
        <v>0</v>
      </c>
      <c r="G1996" s="4">
        <v>0.07508099102891208</v>
      </c>
      <c r="H1996" s="3">
        <v>5.351412357241333</v>
      </c>
      <c r="I1996" s="5">
        <v>50620.556254</v>
      </c>
      <c r="J1996" s="6">
        <v>35.87565999571935</v>
      </c>
      <c r="K1996" s="4">
        <v>0.8589746961864098</v>
      </c>
      <c r="L1996" s="7">
        <v>0.9505182920378331</v>
      </c>
      <c r="M1996" s="3">
        <v>262.12</v>
      </c>
      <c r="N1996" s="3">
        <v>179.69</v>
      </c>
    </row>
    <row r="1997" spans="1:14">
      <c r="A1997" s="8" t="s">
        <v>2009</v>
      </c>
      <c r="B1997" s="2">
        <f>HYPERLINK("https://www.suredividend.com/sure-analysis-research-database/","National Security Group, Inc.")</f>
        <v>0</v>
      </c>
      <c r="C1997" s="1" t="s">
        <v>3180</v>
      </c>
      <c r="D1997" s="3">
        <v>16.36</v>
      </c>
      <c r="E1997" s="4">
        <v>0</v>
      </c>
      <c r="F1997" s="4" t="s">
        <v>3178</v>
      </c>
      <c r="G1997" s="4" t="s">
        <v>3178</v>
      </c>
      <c r="H1997" s="3">
        <v>0.239999994635582</v>
      </c>
      <c r="I1997" s="5">
        <v>0</v>
      </c>
      <c r="J1997" s="6">
        <v>0</v>
      </c>
      <c r="K1997" s="4" t="s">
        <v>3178</v>
      </c>
    </row>
    <row r="1998" spans="1:14">
      <c r="A1998" s="8" t="s">
        <v>2010</v>
      </c>
      <c r="B1998" s="2">
        <f>HYPERLINK("https://www.suredividend.com/sure-analysis-research-database/","Insight Enterprises Inc.")</f>
        <v>0</v>
      </c>
      <c r="C1998" s="1" t="s">
        <v>3181</v>
      </c>
      <c r="D1998" s="3">
        <v>199.6</v>
      </c>
      <c r="E1998" s="4">
        <v>0</v>
      </c>
      <c r="F1998" s="4" t="s">
        <v>3178</v>
      </c>
      <c r="G1998" s="4" t="s">
        <v>3178</v>
      </c>
      <c r="H1998" s="3">
        <v>0</v>
      </c>
      <c r="I1998" s="5">
        <v>6498.145864</v>
      </c>
      <c r="J1998" s="6">
        <v>21.77925575337507</v>
      </c>
      <c r="K1998" s="4">
        <v>0</v>
      </c>
      <c r="L1998" s="7">
        <v>0.8797107241919551</v>
      </c>
      <c r="M1998" s="3">
        <v>212.44</v>
      </c>
      <c r="N1998" s="3">
        <v>131.59</v>
      </c>
    </row>
    <row r="1999" spans="1:14">
      <c r="A1999" s="8" t="s">
        <v>2011</v>
      </c>
      <c r="B1999" s="2">
        <f>HYPERLINK("https://www.suredividend.com/sure-analysis-NSP/","Insperity Inc")</f>
        <v>0</v>
      </c>
      <c r="C1999" s="1" t="s">
        <v>3179</v>
      </c>
      <c r="D1999" s="3">
        <v>97.06999999999999</v>
      </c>
      <c r="E1999" s="4">
        <v>0.02472442567219532</v>
      </c>
      <c r="F1999" s="4">
        <v>0.05263157894736836</v>
      </c>
      <c r="G1999" s="4">
        <v>0.1486983549970351</v>
      </c>
      <c r="H1999" s="3">
        <v>2.289797701578558</v>
      </c>
      <c r="I1999" s="5">
        <v>3655.215017</v>
      </c>
      <c r="J1999" s="6">
        <v>23.46290137720092</v>
      </c>
      <c r="K1999" s="4">
        <v>0.5612249268574897</v>
      </c>
      <c r="L1999" s="7">
        <v>0.719122695361028</v>
      </c>
      <c r="M1999" s="3">
        <v>125.79</v>
      </c>
      <c r="N1999" s="3">
        <v>89.7</v>
      </c>
    </row>
    <row r="2000" spans="1:14">
      <c r="A2000" s="8" t="s">
        <v>2012</v>
      </c>
      <c r="B2000" s="2">
        <f>HYPERLINK("https://www.suredividend.com/sure-analysis-research-database/","NAPCO Security Technologies Inc")</f>
        <v>0</v>
      </c>
      <c r="C2000" s="1" t="s">
        <v>3179</v>
      </c>
      <c r="D2000" s="3">
        <v>50.22</v>
      </c>
      <c r="E2000" s="4">
        <v>0.007129205873952001</v>
      </c>
      <c r="F2000" s="4" t="s">
        <v>3178</v>
      </c>
      <c r="G2000" s="4" t="s">
        <v>3178</v>
      </c>
      <c r="H2000" s="3">
        <v>0.358028718989916</v>
      </c>
      <c r="I2000" s="5">
        <v>1849.55238</v>
      </c>
      <c r="J2000" s="6">
        <v>39.47901513372751</v>
      </c>
      <c r="K2000" s="4">
        <v>0.2841497769761238</v>
      </c>
      <c r="L2000" s="7">
        <v>0.9866432445624391</v>
      </c>
      <c r="M2000" s="3">
        <v>52.52</v>
      </c>
      <c r="N2000" s="3">
        <v>17.56</v>
      </c>
    </row>
    <row r="2001" spans="1:14">
      <c r="A2001" s="8" t="s">
        <v>2013</v>
      </c>
      <c r="B2001" s="2">
        <f>HYPERLINK("https://www.suredividend.com/sure-analysis-research-database/","Nanostring Technologies Inc")</f>
        <v>0</v>
      </c>
      <c r="C2001" s="1" t="s">
        <v>3176</v>
      </c>
      <c r="D2001" s="3">
        <v>0.1053</v>
      </c>
      <c r="E2001" s="4">
        <v>0</v>
      </c>
      <c r="F2001" s="4" t="s">
        <v>3178</v>
      </c>
      <c r="G2001" s="4" t="s">
        <v>3178</v>
      </c>
      <c r="H2001" s="3">
        <v>0</v>
      </c>
      <c r="I2001" s="5">
        <v>0</v>
      </c>
      <c r="J2001" s="6">
        <v>0</v>
      </c>
      <c r="K2001" s="4">
        <v>-0</v>
      </c>
    </row>
    <row r="2002" spans="1:14">
      <c r="A2002" s="8" t="s">
        <v>2014</v>
      </c>
      <c r="B2002" s="2">
        <f>HYPERLINK("https://www.suredividend.com/sure-analysis-research-database/","Netapp Inc")</f>
        <v>0</v>
      </c>
      <c r="C2002" s="1" t="s">
        <v>3181</v>
      </c>
      <c r="D2002" s="3">
        <v>120.98</v>
      </c>
      <c r="E2002" s="4">
        <v>0.016324641559725</v>
      </c>
      <c r="F2002" s="4">
        <v>0</v>
      </c>
      <c r="G2002" s="4">
        <v>0.008197818497166498</v>
      </c>
      <c r="H2002" s="3">
        <v>1.974955135895556</v>
      </c>
      <c r="I2002" s="5">
        <v>24967.448448</v>
      </c>
      <c r="J2002" s="6">
        <v>26.56111536997873</v>
      </c>
      <c r="K2002" s="4">
        <v>0.4488534399762627</v>
      </c>
      <c r="L2002" s="7">
        <v>0.9794950327909241</v>
      </c>
      <c r="M2002" s="3">
        <v>122.3</v>
      </c>
      <c r="N2002" s="3">
        <v>66.79000000000001</v>
      </c>
    </row>
    <row r="2003" spans="1:14">
      <c r="A2003" s="8" t="s">
        <v>2015</v>
      </c>
      <c r="B2003" s="2">
        <f>HYPERLINK("https://www.suredividend.com/sure-analysis-research-database/","Netscout Systems Inc")</f>
        <v>0</v>
      </c>
      <c r="C2003" s="1" t="s">
        <v>3181</v>
      </c>
      <c r="D2003" s="3">
        <v>18.75</v>
      </c>
      <c r="E2003" s="4">
        <v>0</v>
      </c>
      <c r="F2003" s="4" t="s">
        <v>3178</v>
      </c>
      <c r="G2003" s="4" t="s">
        <v>3178</v>
      </c>
      <c r="H2003" s="3">
        <v>0</v>
      </c>
      <c r="I2003" s="5">
        <v>1339.044619</v>
      </c>
      <c r="J2003" s="6" t="s">
        <v>3178</v>
      </c>
      <c r="K2003" s="4">
        <v>-0</v>
      </c>
      <c r="L2003" s="7">
        <v>0.7519379761550441</v>
      </c>
      <c r="M2003" s="3">
        <v>31.42</v>
      </c>
      <c r="N2003" s="3">
        <v>18.6</v>
      </c>
    </row>
    <row r="2004" spans="1:14">
      <c r="A2004" s="8" t="s">
        <v>2016</v>
      </c>
      <c r="B2004" s="2">
        <f>HYPERLINK("https://www.suredividend.com/sure-analysis-research-database/","Netgear Inc")</f>
        <v>0</v>
      </c>
      <c r="C2004" s="1" t="s">
        <v>3181</v>
      </c>
      <c r="D2004" s="3">
        <v>14.09</v>
      </c>
      <c r="E2004" s="4">
        <v>0</v>
      </c>
      <c r="F2004" s="4" t="s">
        <v>3178</v>
      </c>
      <c r="G2004" s="4" t="s">
        <v>3178</v>
      </c>
      <c r="H2004" s="3">
        <v>0</v>
      </c>
      <c r="I2004" s="5">
        <v>410.019</v>
      </c>
      <c r="J2004" s="6" t="s">
        <v>3178</v>
      </c>
      <c r="K2004" s="4">
        <v>-0</v>
      </c>
      <c r="L2004" s="7">
        <v>0.9038836555095321</v>
      </c>
      <c r="M2004" s="3">
        <v>15.93</v>
      </c>
      <c r="N2004" s="3">
        <v>10.4</v>
      </c>
    </row>
    <row r="2005" spans="1:14">
      <c r="A2005" s="8" t="s">
        <v>2017</v>
      </c>
      <c r="B2005" s="2">
        <f>HYPERLINK("https://www.suredividend.com/sure-analysis-research-database/","Northern Technologies International Corp.")</f>
        <v>0</v>
      </c>
      <c r="C2005" s="1" t="s">
        <v>3177</v>
      </c>
      <c r="D2005" s="3">
        <v>18.08</v>
      </c>
      <c r="E2005" s="4">
        <v>0.015315643438443</v>
      </c>
      <c r="F2005" s="4" t="s">
        <v>3178</v>
      </c>
      <c r="G2005" s="4" t="s">
        <v>3178</v>
      </c>
      <c r="H2005" s="3">
        <v>0.276906833367067</v>
      </c>
      <c r="I2005" s="5">
        <v>170.450972</v>
      </c>
      <c r="J2005" s="6">
        <v>0</v>
      </c>
      <c r="K2005" s="4" t="s">
        <v>3178</v>
      </c>
      <c r="L2005" s="7">
        <v>0.290942841500824</v>
      </c>
      <c r="M2005" s="3">
        <v>19.63</v>
      </c>
      <c r="N2005" s="3">
        <v>9.73</v>
      </c>
    </row>
    <row r="2006" spans="1:14">
      <c r="A2006" s="8" t="s">
        <v>2018</v>
      </c>
      <c r="B2006" s="2">
        <f>HYPERLINK("https://www.suredividend.com/sure-analysis-research-database/","Network-1 Technologies Inc")</f>
        <v>0</v>
      </c>
      <c r="C2006" s="1" t="s">
        <v>3181</v>
      </c>
      <c r="D2006" s="3">
        <v>1.655</v>
      </c>
      <c r="E2006" s="4">
        <v>0.059030816589597</v>
      </c>
      <c r="F2006" s="4" t="s">
        <v>3178</v>
      </c>
      <c r="G2006" s="4" t="s">
        <v>3178</v>
      </c>
      <c r="H2006" s="3">
        <v>0.09769600145578301</v>
      </c>
      <c r="I2006" s="5">
        <v>38.750953</v>
      </c>
      <c r="J2006" s="6">
        <v>0</v>
      </c>
      <c r="K2006" s="4" t="s">
        <v>3178</v>
      </c>
      <c r="M2006" s="3">
        <v>2.43</v>
      </c>
      <c r="N2006" s="3">
        <v>1.64</v>
      </c>
    </row>
    <row r="2007" spans="1:14">
      <c r="A2007" s="8" t="s">
        <v>2019</v>
      </c>
      <c r="B2007" s="2">
        <f>HYPERLINK("https://www.suredividend.com/sure-analysis-research-database/","Intellia Therapeutics Inc")</f>
        <v>0</v>
      </c>
      <c r="C2007" s="1" t="s">
        <v>3176</v>
      </c>
      <c r="D2007" s="3">
        <v>22.73</v>
      </c>
      <c r="E2007" s="4">
        <v>0</v>
      </c>
      <c r="F2007" s="4" t="s">
        <v>3178</v>
      </c>
      <c r="G2007" s="4" t="s">
        <v>3178</v>
      </c>
      <c r="H2007" s="3">
        <v>0</v>
      </c>
      <c r="I2007" s="5">
        <v>2192.886319</v>
      </c>
      <c r="J2007" s="6" t="s">
        <v>3178</v>
      </c>
      <c r="K2007" s="4">
        <v>-0</v>
      </c>
      <c r="L2007" s="7">
        <v>2.059797535195537</v>
      </c>
      <c r="M2007" s="3">
        <v>47.48</v>
      </c>
      <c r="N2007" s="3">
        <v>19.37</v>
      </c>
    </row>
    <row r="2008" spans="1:14">
      <c r="A2008" s="8" t="s">
        <v>2020</v>
      </c>
      <c r="B2008" s="2">
        <f>HYPERLINK("https://www.suredividend.com/sure-analysis-research-database/","Nutanix Inc")</f>
        <v>0</v>
      </c>
      <c r="C2008" s="1" t="s">
        <v>3181</v>
      </c>
      <c r="D2008" s="3">
        <v>52.37</v>
      </c>
      <c r="E2008" s="4">
        <v>0</v>
      </c>
      <c r="F2008" s="4" t="s">
        <v>3178</v>
      </c>
      <c r="G2008" s="4" t="s">
        <v>3178</v>
      </c>
      <c r="H2008" s="3">
        <v>0</v>
      </c>
      <c r="I2008" s="5">
        <v>12793.991</v>
      </c>
      <c r="J2008" s="6" t="s">
        <v>3178</v>
      </c>
      <c r="K2008" s="4">
        <v>-0</v>
      </c>
      <c r="L2008" s="7">
        <v>1.510380969923986</v>
      </c>
      <c r="M2008" s="3">
        <v>73.69</v>
      </c>
      <c r="N2008" s="3">
        <v>26.47</v>
      </c>
    </row>
    <row r="2009" spans="1:14">
      <c r="A2009" s="8" t="s">
        <v>2021</v>
      </c>
      <c r="B2009" s="2">
        <f>HYPERLINK("https://www.suredividend.com/sure-analysis-research-database/","Natera Inc")</f>
        <v>0</v>
      </c>
      <c r="C2009" s="1" t="s">
        <v>3176</v>
      </c>
      <c r="D2009" s="3">
        <v>111.19</v>
      </c>
      <c r="E2009" s="4">
        <v>0</v>
      </c>
      <c r="F2009" s="4" t="s">
        <v>3178</v>
      </c>
      <c r="G2009" s="4" t="s">
        <v>3178</v>
      </c>
      <c r="H2009" s="3">
        <v>0</v>
      </c>
      <c r="I2009" s="5">
        <v>13654.431546</v>
      </c>
      <c r="J2009" s="6" t="s">
        <v>3178</v>
      </c>
      <c r="K2009" s="4">
        <v>-0</v>
      </c>
      <c r="L2009" s="7">
        <v>1.319720443325955</v>
      </c>
      <c r="M2009" s="3">
        <v>112.05</v>
      </c>
      <c r="N2009" s="3">
        <v>36.9</v>
      </c>
    </row>
    <row r="2010" spans="1:14">
      <c r="A2010" s="8" t="s">
        <v>2022</v>
      </c>
      <c r="B2010" s="2">
        <f>HYPERLINK("https://www.suredividend.com/sure-analysis-NTRS/","Northern Trust Corp.")</f>
        <v>0</v>
      </c>
      <c r="C2010" s="1" t="s">
        <v>3180</v>
      </c>
      <c r="D2010" s="3">
        <v>82.29000000000001</v>
      </c>
      <c r="E2010" s="4">
        <v>0.03645643456069996</v>
      </c>
      <c r="F2010" s="4">
        <v>0</v>
      </c>
      <c r="G2010" s="4">
        <v>0.04563955259127317</v>
      </c>
      <c r="H2010" s="3">
        <v>2.919029023794571</v>
      </c>
      <c r="I2010" s="5">
        <v>16835.852968</v>
      </c>
      <c r="J2010" s="6">
        <v>18.01011228921695</v>
      </c>
      <c r="K2010" s="4">
        <v>0.6458028813704804</v>
      </c>
      <c r="L2010" s="7">
        <v>1.01559014168943</v>
      </c>
      <c r="M2010" s="3">
        <v>87.64</v>
      </c>
      <c r="N2010" s="3">
        <v>59.07</v>
      </c>
    </row>
    <row r="2011" spans="1:14">
      <c r="A2011" s="8" t="s">
        <v>2023</v>
      </c>
      <c r="B2011" s="2">
        <f>HYPERLINK("https://www.suredividend.com/sure-analysis-research-database/","Natus Medical Inc")</f>
        <v>0</v>
      </c>
      <c r="C2011" s="1" t="s">
        <v>3176</v>
      </c>
      <c r="D2011" s="3">
        <v>32.96</v>
      </c>
      <c r="E2011" s="4">
        <v>0</v>
      </c>
      <c r="F2011" s="4" t="s">
        <v>3178</v>
      </c>
      <c r="G2011" s="4" t="s">
        <v>3178</v>
      </c>
      <c r="H2011" s="3">
        <v>0</v>
      </c>
      <c r="I2011" s="5">
        <v>0</v>
      </c>
      <c r="J2011" s="6">
        <v>0</v>
      </c>
      <c r="K2011" s="4">
        <v>0</v>
      </c>
    </row>
    <row r="2012" spans="1:14">
      <c r="A2012" s="8" t="s">
        <v>2024</v>
      </c>
      <c r="B2012" s="2">
        <f>HYPERLINK("https://www.suredividend.com/sure-analysis-research-database/","Netsol Technologies, Inc.")</f>
        <v>0</v>
      </c>
      <c r="C2012" s="1" t="s">
        <v>3181</v>
      </c>
      <c r="D2012" s="3">
        <v>2.62</v>
      </c>
      <c r="E2012" s="4">
        <v>0</v>
      </c>
      <c r="F2012" s="4" t="s">
        <v>3178</v>
      </c>
      <c r="G2012" s="4" t="s">
        <v>3178</v>
      </c>
      <c r="H2012" s="3">
        <v>0</v>
      </c>
      <c r="I2012" s="5">
        <v>29.881729</v>
      </c>
      <c r="J2012" s="6" t="s">
        <v>3178</v>
      </c>
      <c r="K2012" s="4">
        <v>-0</v>
      </c>
      <c r="L2012" s="7">
        <v>-0.012653295246831</v>
      </c>
      <c r="M2012" s="3">
        <v>3.05</v>
      </c>
      <c r="N2012" s="3">
        <v>1.72</v>
      </c>
    </row>
    <row r="2013" spans="1:14">
      <c r="A2013" s="8" t="s">
        <v>2025</v>
      </c>
      <c r="B2013" s="2">
        <f>HYPERLINK("https://www.suredividend.com/sure-analysis-research-database/","Nuance Communications Inc")</f>
        <v>0</v>
      </c>
      <c r="C2013" s="1" t="s">
        <v>3181</v>
      </c>
      <c r="D2013" s="3">
        <v>55.99</v>
      </c>
      <c r="E2013" s="4">
        <v>0</v>
      </c>
      <c r="F2013" s="4" t="s">
        <v>3178</v>
      </c>
      <c r="G2013" s="4" t="s">
        <v>3178</v>
      </c>
      <c r="H2013" s="3">
        <v>0</v>
      </c>
      <c r="I2013" s="5">
        <v>0</v>
      </c>
      <c r="J2013" s="6">
        <v>0</v>
      </c>
      <c r="K2013" s="4">
        <v>-0</v>
      </c>
    </row>
    <row r="2014" spans="1:14">
      <c r="A2014" s="8" t="s">
        <v>2026</v>
      </c>
      <c r="B2014" s="2">
        <f>HYPERLINK("https://www.suredividend.com/sure-analysis-NUE/","Nucor Corp.")</f>
        <v>0</v>
      </c>
      <c r="C2014" s="1" t="s">
        <v>3177</v>
      </c>
      <c r="D2014" s="3">
        <v>161</v>
      </c>
      <c r="E2014" s="4">
        <v>0.01341614906832298</v>
      </c>
      <c r="F2014" s="4">
        <v>0.05882352941176472</v>
      </c>
      <c r="G2014" s="4">
        <v>0.06185875879493463</v>
      </c>
      <c r="H2014" s="3">
        <v>2.09091040629862</v>
      </c>
      <c r="I2014" s="5">
        <v>38601.64497</v>
      </c>
      <c r="J2014" s="6">
        <v>9.155236541308517</v>
      </c>
      <c r="K2014" s="4">
        <v>0.1228502001350541</v>
      </c>
      <c r="L2014" s="7">
        <v>0.84997756223203</v>
      </c>
      <c r="M2014" s="3">
        <v>203</v>
      </c>
      <c r="N2014" s="3">
        <v>139.26</v>
      </c>
    </row>
    <row r="2015" spans="1:14">
      <c r="A2015" s="8" t="s">
        <v>2027</v>
      </c>
      <c r="B2015" s="2">
        <f>HYPERLINK("https://www.suredividend.com/sure-analysis-research-database/","Neurometrix Inc.")</f>
        <v>0</v>
      </c>
      <c r="C2015" s="1" t="s">
        <v>3176</v>
      </c>
      <c r="D2015" s="3">
        <v>3.815</v>
      </c>
      <c r="E2015" s="4">
        <v>0</v>
      </c>
      <c r="F2015" s="4" t="s">
        <v>3178</v>
      </c>
      <c r="G2015" s="4" t="s">
        <v>3178</v>
      </c>
      <c r="H2015" s="3">
        <v>0</v>
      </c>
      <c r="I2015" s="5">
        <v>7.673815</v>
      </c>
      <c r="J2015" s="6">
        <v>0</v>
      </c>
      <c r="K2015" s="4" t="s">
        <v>3178</v>
      </c>
      <c r="L2015" s="7">
        <v>0.720793321331875</v>
      </c>
      <c r="M2015" s="3">
        <v>9.199999999999999</v>
      </c>
      <c r="N2015" s="3">
        <v>2.7</v>
      </c>
    </row>
    <row r="2016" spans="1:14">
      <c r="A2016" s="8" t="s">
        <v>2028</v>
      </c>
      <c r="B2016" s="2">
        <f>HYPERLINK("https://www.suredividend.com/sure-analysis-NUS/","Nu Skin Enterprises, Inc.")</f>
        <v>0</v>
      </c>
      <c r="C2016" s="1" t="s">
        <v>3184</v>
      </c>
      <c r="D2016" s="3">
        <v>13.24</v>
      </c>
      <c r="E2016" s="4">
        <v>0.01812688821752266</v>
      </c>
      <c r="F2016" s="4">
        <v>-0.8461538461538461</v>
      </c>
      <c r="G2016" s="4">
        <v>-0.304991837361859</v>
      </c>
      <c r="H2016" s="3">
        <v>0.8836113161276431</v>
      </c>
      <c r="I2016" s="5">
        <v>657.596416</v>
      </c>
      <c r="J2016" s="6" t="s">
        <v>3178</v>
      </c>
      <c r="K2016" s="4" t="s">
        <v>3178</v>
      </c>
      <c r="L2016" s="7">
        <v>0.880949803930655</v>
      </c>
      <c r="M2016" s="3">
        <v>33.26</v>
      </c>
      <c r="N2016" s="3">
        <v>11.68</v>
      </c>
    </row>
    <row r="2017" spans="1:14">
      <c r="A2017" s="8" t="s">
        <v>2029</v>
      </c>
      <c r="B2017" s="2">
        <f>HYPERLINK("https://www.suredividend.com/sure-analysis-research-database/","Nuvasive Inc")</f>
        <v>0</v>
      </c>
      <c r="C2017" s="1" t="s">
        <v>3176</v>
      </c>
      <c r="D2017" s="3">
        <v>39.75</v>
      </c>
      <c r="E2017" s="4">
        <v>0</v>
      </c>
      <c r="F2017" s="4" t="s">
        <v>3178</v>
      </c>
      <c r="G2017" s="4" t="s">
        <v>3178</v>
      </c>
      <c r="H2017" s="3">
        <v>0</v>
      </c>
      <c r="I2017" s="5">
        <v>0</v>
      </c>
      <c r="J2017" s="6">
        <v>0</v>
      </c>
      <c r="K2017" s="4">
        <v>0</v>
      </c>
    </row>
    <row r="2018" spans="1:14">
      <c r="A2018" s="8" t="s">
        <v>2030</v>
      </c>
      <c r="B2018" s="2">
        <f>HYPERLINK("https://www.suredividend.com/sure-analysis-research-database/","Novavax, Inc.")</f>
        <v>0</v>
      </c>
      <c r="C2018" s="1" t="s">
        <v>3176</v>
      </c>
      <c r="D2018" s="3">
        <v>18.17</v>
      </c>
      <c r="E2018" s="4">
        <v>0</v>
      </c>
      <c r="F2018" s="4" t="s">
        <v>3178</v>
      </c>
      <c r="G2018" s="4" t="s">
        <v>3178</v>
      </c>
      <c r="H2018" s="3">
        <v>0</v>
      </c>
      <c r="I2018" s="5">
        <v>2551.132576</v>
      </c>
      <c r="J2018" s="6" t="s">
        <v>3178</v>
      </c>
      <c r="K2018" s="4">
        <v>-0</v>
      </c>
      <c r="M2018" s="3">
        <v>23.86</v>
      </c>
      <c r="N2018" s="3">
        <v>3.53</v>
      </c>
    </row>
    <row r="2019" spans="1:14">
      <c r="A2019" s="8" t="s">
        <v>2031</v>
      </c>
      <c r="B2019" s="2">
        <f>HYPERLINK("https://www.suredividend.com/sure-analysis-research-database/","NVIDIA Corp")</f>
        <v>0</v>
      </c>
      <c r="C2019" s="1" t="s">
        <v>3181</v>
      </c>
      <c r="D2019" s="3">
        <v>1208.88</v>
      </c>
      <c r="E2019" s="4">
        <v>9.925631687300001E-05</v>
      </c>
      <c r="F2019" s="4">
        <v>0</v>
      </c>
      <c r="G2019" s="4">
        <v>-0.242141716744801</v>
      </c>
      <c r="H2019" s="3">
        <v>0.119988976342349</v>
      </c>
      <c r="I2019" s="5">
        <v>2973844.8</v>
      </c>
      <c r="J2019" s="6">
        <v>69.81184093149913</v>
      </c>
      <c r="K2019" s="4">
        <v>0.007025115710910364</v>
      </c>
      <c r="L2019" s="7">
        <v>2.236103114152581</v>
      </c>
      <c r="M2019" s="3">
        <v>1255.87</v>
      </c>
      <c r="N2019" s="3">
        <v>386.08</v>
      </c>
    </row>
    <row r="2020" spans="1:14">
      <c r="A2020" s="8" t="s">
        <v>2032</v>
      </c>
      <c r="B2020" s="2">
        <f>HYPERLINK("https://www.suredividend.com/sure-analysis-research-database/","NVE Corp")</f>
        <v>0</v>
      </c>
      <c r="C2020" s="1" t="s">
        <v>3181</v>
      </c>
      <c r="D2020" s="3">
        <v>76.73999999999999</v>
      </c>
      <c r="E2020" s="4">
        <v>0.050121900685444</v>
      </c>
      <c r="F2020" s="4">
        <v>0</v>
      </c>
      <c r="G2020" s="4">
        <v>0</v>
      </c>
      <c r="H2020" s="3">
        <v>3.846354658601036</v>
      </c>
      <c r="I2020" s="5">
        <v>370.936296</v>
      </c>
      <c r="J2020" s="6">
        <v>21.6608943748442</v>
      </c>
      <c r="K2020" s="4">
        <v>1.086540864011592</v>
      </c>
      <c r="L2020" s="7">
        <v>1.088614114588197</v>
      </c>
      <c r="M2020" s="3">
        <v>91.23</v>
      </c>
      <c r="N2020" s="3">
        <v>59.13</v>
      </c>
    </row>
    <row r="2021" spans="1:14">
      <c r="A2021" s="8" t="s">
        <v>2033</v>
      </c>
      <c r="B2021" s="2">
        <f>HYPERLINK("https://www.suredividend.com/sure-analysis-research-database/","NV5 Global Inc")</f>
        <v>0</v>
      </c>
      <c r="C2021" s="1" t="s">
        <v>3179</v>
      </c>
      <c r="D2021" s="3">
        <v>91.95999999999999</v>
      </c>
      <c r="E2021" s="4">
        <v>0</v>
      </c>
      <c r="F2021" s="4" t="s">
        <v>3178</v>
      </c>
      <c r="G2021" s="4" t="s">
        <v>3178</v>
      </c>
      <c r="H2021" s="3">
        <v>0</v>
      </c>
      <c r="I2021" s="5">
        <v>1484.779355</v>
      </c>
      <c r="J2021" s="6">
        <v>37.9991645329375</v>
      </c>
      <c r="K2021" s="4">
        <v>0</v>
      </c>
      <c r="L2021" s="7">
        <v>0.9463183925396301</v>
      </c>
      <c r="M2021" s="3">
        <v>119.56</v>
      </c>
      <c r="N2021" s="3">
        <v>88.56</v>
      </c>
    </row>
    <row r="2022" spans="1:14">
      <c r="A2022" s="8" t="s">
        <v>2034</v>
      </c>
      <c r="B2022" s="2">
        <f>HYPERLINK("https://www.suredividend.com/sure-analysis-research-database/","Nova Lifestyle Inc")</f>
        <v>0</v>
      </c>
      <c r="C2022" s="1" t="s">
        <v>3182</v>
      </c>
      <c r="D2022" s="3">
        <v>1.64</v>
      </c>
      <c r="E2022" s="4">
        <v>0</v>
      </c>
      <c r="F2022" s="4" t="s">
        <v>3178</v>
      </c>
      <c r="G2022" s="4" t="s">
        <v>3178</v>
      </c>
      <c r="H2022" s="3">
        <v>0</v>
      </c>
      <c r="I2022" s="5">
        <v>3.978881</v>
      </c>
      <c r="J2022" s="6">
        <v>0</v>
      </c>
      <c r="K2022" s="4" t="s">
        <v>3178</v>
      </c>
      <c r="M2022" s="3">
        <v>6.38</v>
      </c>
      <c r="N2022" s="3">
        <v>1.45</v>
      </c>
    </row>
    <row r="2023" spans="1:14">
      <c r="A2023" s="8" t="s">
        <v>2035</v>
      </c>
      <c r="B2023" s="2">
        <f>HYPERLINK("https://www.suredividend.com/sure-analysis-research-database/","InVivo Therapeutics Holdings Corp")</f>
        <v>0</v>
      </c>
      <c r="C2023" s="1" t="s">
        <v>3176</v>
      </c>
      <c r="D2023" s="3">
        <v>0.3207</v>
      </c>
      <c r="E2023" s="4">
        <v>0</v>
      </c>
      <c r="F2023" s="4" t="s">
        <v>3178</v>
      </c>
      <c r="G2023" s="4" t="s">
        <v>3178</v>
      </c>
      <c r="H2023" s="3">
        <v>0</v>
      </c>
      <c r="I2023" s="5">
        <v>0</v>
      </c>
      <c r="J2023" s="6">
        <v>0</v>
      </c>
      <c r="K2023" s="4" t="s">
        <v>3178</v>
      </c>
    </row>
    <row r="2024" spans="1:14">
      <c r="A2024" s="8" t="s">
        <v>2036</v>
      </c>
      <c r="B2024" s="2">
        <f>HYPERLINK("https://www.suredividend.com/sure-analysis-research-database/","NVR Inc.")</f>
        <v>0</v>
      </c>
      <c r="C2024" s="1" t="s">
        <v>3182</v>
      </c>
      <c r="D2024" s="3">
        <v>7497.67</v>
      </c>
      <c r="E2024" s="4">
        <v>0</v>
      </c>
      <c r="F2024" s="4" t="s">
        <v>3178</v>
      </c>
      <c r="G2024" s="4" t="s">
        <v>3178</v>
      </c>
      <c r="H2024" s="3">
        <v>0</v>
      </c>
      <c r="I2024" s="5">
        <v>23490.889896</v>
      </c>
      <c r="J2024" s="6">
        <v>14.310380264997</v>
      </c>
      <c r="K2024" s="4">
        <v>0</v>
      </c>
      <c r="L2024" s="7">
        <v>1.182060078219163</v>
      </c>
      <c r="M2024" s="3">
        <v>8211.4</v>
      </c>
      <c r="N2024" s="3">
        <v>5210.49</v>
      </c>
    </row>
    <row r="2025" spans="1:14">
      <c r="A2025" s="8" t="s">
        <v>2037</v>
      </c>
      <c r="B2025" s="2">
        <f>HYPERLINK("https://www.suredividend.com/sure-analysis-research-database/","Nevro Corp")</f>
        <v>0</v>
      </c>
      <c r="C2025" s="1" t="s">
        <v>3176</v>
      </c>
      <c r="D2025" s="3">
        <v>9.27</v>
      </c>
      <c r="E2025" s="4">
        <v>0</v>
      </c>
      <c r="F2025" s="4" t="s">
        <v>3178</v>
      </c>
      <c r="G2025" s="4" t="s">
        <v>3178</v>
      </c>
      <c r="H2025" s="3">
        <v>0</v>
      </c>
      <c r="I2025" s="5">
        <v>340.474567</v>
      </c>
      <c r="J2025" s="6" t="s">
        <v>3178</v>
      </c>
      <c r="K2025" s="4">
        <v>-0</v>
      </c>
      <c r="L2025" s="7">
        <v>1.888972925819673</v>
      </c>
      <c r="M2025" s="3">
        <v>26.63</v>
      </c>
      <c r="N2025" s="3">
        <v>8.93</v>
      </c>
    </row>
    <row r="2026" spans="1:14">
      <c r="A2026" s="8" t="s">
        <v>2038</v>
      </c>
      <c r="B2026" s="2">
        <f>HYPERLINK("https://www.suredividend.com/sure-analysis-research-database/","nVent Electric plc")</f>
        <v>0</v>
      </c>
      <c r="C2026" s="1" t="s">
        <v>3179</v>
      </c>
      <c r="D2026" s="3">
        <v>76.94</v>
      </c>
      <c r="E2026" s="4">
        <v>0.0094463423389</v>
      </c>
      <c r="F2026" s="4">
        <v>0.08571428571428563</v>
      </c>
      <c r="G2026" s="4">
        <v>0.01658362638262734</v>
      </c>
      <c r="H2026" s="3">
        <v>0.726801579555022</v>
      </c>
      <c r="I2026" s="5">
        <v>12773.502937</v>
      </c>
      <c r="J2026" s="6">
        <v>22.08420286507607</v>
      </c>
      <c r="K2026" s="4">
        <v>0.2112795289404134</v>
      </c>
      <c r="L2026" s="7">
        <v>1.435027741842391</v>
      </c>
      <c r="M2026" s="3">
        <v>86.56999999999999</v>
      </c>
      <c r="N2026" s="3">
        <v>45.33</v>
      </c>
    </row>
    <row r="2027" spans="1:14">
      <c r="A2027" s="8" t="s">
        <v>2039</v>
      </c>
      <c r="B2027" s="2">
        <f>HYPERLINK("https://www.suredividend.com/sure-analysis-research-database/","Invitae Corp")</f>
        <v>0</v>
      </c>
      <c r="C2027" s="1" t="s">
        <v>3176</v>
      </c>
      <c r="D2027" s="3">
        <v>0.019</v>
      </c>
      <c r="E2027" s="4">
        <v>0</v>
      </c>
      <c r="F2027" s="4" t="s">
        <v>3178</v>
      </c>
      <c r="G2027" s="4" t="s">
        <v>3178</v>
      </c>
      <c r="H2027" s="3">
        <v>0</v>
      </c>
      <c r="I2027" s="5">
        <v>5.443364</v>
      </c>
      <c r="J2027" s="6" t="s">
        <v>3178</v>
      </c>
      <c r="K2027" s="4">
        <v>-0</v>
      </c>
      <c r="M2027" s="3">
        <v>0.07250000000000001</v>
      </c>
      <c r="N2027" s="3">
        <v>0.015</v>
      </c>
    </row>
    <row r="2028" spans="1:14">
      <c r="A2028" s="8" t="s">
        <v>2040</v>
      </c>
      <c r="B2028" s="2">
        <f>HYPERLINK("https://www.suredividend.com/sure-analysis-NWBI/","Northwest Bancshares Inc")</f>
        <v>0</v>
      </c>
      <c r="C2028" s="1" t="s">
        <v>3180</v>
      </c>
      <c r="D2028" s="3">
        <v>10.87</v>
      </c>
      <c r="E2028" s="4">
        <v>0.0735970561177553</v>
      </c>
      <c r="F2028" s="4">
        <v>0</v>
      </c>
      <c r="G2028" s="4">
        <v>0.02129568760013512</v>
      </c>
      <c r="H2028" s="3">
        <v>0.7750020471294691</v>
      </c>
      <c r="I2028" s="5">
        <v>1383.360713</v>
      </c>
      <c r="J2028" s="6">
        <v>10.62701240378263</v>
      </c>
      <c r="K2028" s="4">
        <v>0.759805928558303</v>
      </c>
      <c r="L2028" s="7">
        <v>0.9630799100737011</v>
      </c>
      <c r="M2028" s="3">
        <v>12.62</v>
      </c>
      <c r="N2028" s="3">
        <v>9.1</v>
      </c>
    </row>
    <row r="2029" spans="1:14">
      <c r="A2029" s="8" t="s">
        <v>2041</v>
      </c>
      <c r="B2029" s="2">
        <f>HYPERLINK("https://www.suredividend.com/sure-analysis-NWE/","NorthWestern Energy Group Inc")</f>
        <v>0</v>
      </c>
      <c r="C2029" s="1" t="s">
        <v>3186</v>
      </c>
      <c r="D2029" s="3">
        <v>50.54</v>
      </c>
      <c r="E2029" s="4">
        <v>0.05144440047487139</v>
      </c>
      <c r="F2029" s="4">
        <v>0.015625</v>
      </c>
      <c r="G2029" s="4">
        <v>0.02482356331085978</v>
      </c>
      <c r="H2029" s="3">
        <v>1.273345207182062</v>
      </c>
      <c r="I2029" s="5">
        <v>3097.414555</v>
      </c>
      <c r="J2029" s="6">
        <v>0</v>
      </c>
      <c r="K2029" s="4" t="s">
        <v>3178</v>
      </c>
      <c r="L2029" s="7">
        <v>0.7900787615679251</v>
      </c>
      <c r="M2029" s="3">
        <v>53.03</v>
      </c>
      <c r="N2029" s="3">
        <v>43.71</v>
      </c>
    </row>
    <row r="2030" spans="1:14">
      <c r="A2030" s="8" t="s">
        <v>2042</v>
      </c>
      <c r="B2030" s="2">
        <f>HYPERLINK("https://www.suredividend.com/sure-analysis-NWFL/","Norwood Financial Corp.")</f>
        <v>0</v>
      </c>
      <c r="C2030" s="1" t="s">
        <v>3180</v>
      </c>
      <c r="D2030" s="3">
        <v>25.03</v>
      </c>
      <c r="E2030" s="4">
        <v>0.04794246903715541</v>
      </c>
      <c r="F2030" s="4">
        <v>0.03448275862068995</v>
      </c>
      <c r="G2030" s="4">
        <v>0.04563955259127317</v>
      </c>
      <c r="H2030" s="3">
        <v>1.143348289469216</v>
      </c>
      <c r="I2030" s="5">
        <v>202.704604</v>
      </c>
      <c r="J2030" s="6">
        <v>0</v>
      </c>
      <c r="K2030" s="4" t="s">
        <v>3178</v>
      </c>
      <c r="L2030" s="7">
        <v>0.8424614918151671</v>
      </c>
      <c r="M2030" s="3">
        <v>33.07</v>
      </c>
      <c r="N2030" s="3">
        <v>23.01</v>
      </c>
    </row>
    <row r="2031" spans="1:14">
      <c r="A2031" s="8" t="s">
        <v>2043</v>
      </c>
      <c r="B2031" s="2">
        <f>HYPERLINK("https://www.suredividend.com/sure-analysis-research-database/","New Home Company Inc (The)")</f>
        <v>0</v>
      </c>
      <c r="C2031" s="1" t="s">
        <v>3182</v>
      </c>
      <c r="D2031" s="3">
        <v>8.99</v>
      </c>
      <c r="E2031" s="4">
        <v>0</v>
      </c>
      <c r="F2031" s="4" t="s">
        <v>3178</v>
      </c>
      <c r="G2031" s="4" t="s">
        <v>3178</v>
      </c>
      <c r="H2031" s="3">
        <v>0</v>
      </c>
      <c r="I2031" s="5">
        <v>163.263911</v>
      </c>
      <c r="J2031" s="6">
        <v>0</v>
      </c>
      <c r="K2031" s="4" t="s">
        <v>3178</v>
      </c>
      <c r="M2031" s="3">
        <v>9</v>
      </c>
      <c r="N2031" s="3">
        <v>3.81</v>
      </c>
    </row>
    <row r="2032" spans="1:14">
      <c r="A2032" s="8" t="s">
        <v>2044</v>
      </c>
      <c r="B2032" s="2">
        <f>HYPERLINK("https://www.suredividend.com/sure-analysis-NWL/","Newell Brands Inc")</f>
        <v>0</v>
      </c>
      <c r="C2032" s="1" t="s">
        <v>3184</v>
      </c>
      <c r="D2032" s="3">
        <v>7.37</v>
      </c>
      <c r="E2032" s="4">
        <v>0.03799185888738128</v>
      </c>
      <c r="F2032" s="4">
        <v>0</v>
      </c>
      <c r="G2032" s="4">
        <v>-0.2117317382570955</v>
      </c>
      <c r="H2032" s="3">
        <v>0.272858874319198</v>
      </c>
      <c r="I2032" s="5">
        <v>3060.024</v>
      </c>
      <c r="J2032" s="6" t="s">
        <v>3178</v>
      </c>
      <c r="K2032" s="4" t="s">
        <v>3178</v>
      </c>
      <c r="L2032" s="7">
        <v>1.35002916768065</v>
      </c>
      <c r="M2032" s="3">
        <v>10.93</v>
      </c>
      <c r="N2032" s="3">
        <v>6.2</v>
      </c>
    </row>
    <row r="2033" spans="1:14">
      <c r="A2033" s="8" t="s">
        <v>2045</v>
      </c>
      <c r="B2033" s="2">
        <f>HYPERLINK("https://www.suredividend.com/sure-analysis-research-database/","National Western Life Group Inc")</f>
        <v>0</v>
      </c>
      <c r="C2033" s="1" t="s">
        <v>3180</v>
      </c>
      <c r="D2033" s="3">
        <v>492.6</v>
      </c>
      <c r="E2033" s="4">
        <v>0.0007308161069930001</v>
      </c>
      <c r="F2033" s="4" t="s">
        <v>3178</v>
      </c>
      <c r="G2033" s="4" t="s">
        <v>3178</v>
      </c>
      <c r="H2033" s="3">
        <v>0.360000014305114</v>
      </c>
      <c r="I2033" s="5">
        <v>1692.583452</v>
      </c>
      <c r="J2033" s="6">
        <v>10.95799879581254</v>
      </c>
      <c r="K2033" s="4">
        <v>0.008241758569256274</v>
      </c>
      <c r="L2033" s="7">
        <v>0.240848327112651</v>
      </c>
      <c r="M2033" s="3">
        <v>495.38</v>
      </c>
      <c r="N2033" s="3">
        <v>366.96</v>
      </c>
    </row>
    <row r="2034" spans="1:14">
      <c r="A2034" s="8" t="s">
        <v>2046</v>
      </c>
      <c r="B2034" s="2">
        <f>HYPERLINK("https://www.suredividend.com/sure-analysis-NWN/","Northwest Natural Holding Co")</f>
        <v>0</v>
      </c>
      <c r="C2034" s="1" t="s">
        <v>3186</v>
      </c>
      <c r="D2034" s="3">
        <v>36.12</v>
      </c>
      <c r="E2034" s="4">
        <v>0.05398671096345515</v>
      </c>
      <c r="F2034" s="4">
        <v>0.005154639175257936</v>
      </c>
      <c r="G2034" s="4">
        <v>0.005208615197356048</v>
      </c>
      <c r="H2034" s="3">
        <v>1.910696560388566</v>
      </c>
      <c r="I2034" s="5">
        <v>1373.576308</v>
      </c>
      <c r="J2034" s="6">
        <v>15.96810402743548</v>
      </c>
      <c r="K2034" s="4">
        <v>0.8165369916190454</v>
      </c>
      <c r="L2034" s="7">
        <v>0.5219703721373571</v>
      </c>
      <c r="M2034" s="3">
        <v>42.72</v>
      </c>
      <c r="N2034" s="3">
        <v>34.51</v>
      </c>
    </row>
    <row r="2035" spans="1:14">
      <c r="A2035" s="8" t="s">
        <v>2047</v>
      </c>
      <c r="B2035" s="2">
        <f>HYPERLINK("https://www.suredividend.com/sure-analysis-research-database/","Northwest Pipe Co.")</f>
        <v>0</v>
      </c>
      <c r="C2035" s="1" t="s">
        <v>3179</v>
      </c>
      <c r="D2035" s="3">
        <v>33.79</v>
      </c>
      <c r="E2035" s="4">
        <v>0</v>
      </c>
      <c r="F2035" s="4" t="s">
        <v>3178</v>
      </c>
      <c r="G2035" s="4" t="s">
        <v>3178</v>
      </c>
      <c r="H2035" s="3">
        <v>0</v>
      </c>
      <c r="I2035" s="5">
        <v>335.044373</v>
      </c>
      <c r="J2035" s="6">
        <v>13.99049496033072</v>
      </c>
      <c r="K2035" s="4">
        <v>0</v>
      </c>
      <c r="L2035" s="7">
        <v>1.109935880499398</v>
      </c>
      <c r="M2035" s="3">
        <v>36.92</v>
      </c>
      <c r="N2035" s="3">
        <v>25.67</v>
      </c>
    </row>
    <row r="2036" spans="1:14">
      <c r="A2036" s="8" t="s">
        <v>2048</v>
      </c>
      <c r="B2036" s="2">
        <f>HYPERLINK("https://www.suredividend.com/sure-analysis-research-database/","News Corp")</f>
        <v>0</v>
      </c>
      <c r="C2036" s="1" t="s">
        <v>3187</v>
      </c>
      <c r="D2036" s="3">
        <v>27.79</v>
      </c>
      <c r="E2036" s="4">
        <v>0.007183704142134001</v>
      </c>
      <c r="F2036" s="4" t="s">
        <v>3178</v>
      </c>
      <c r="G2036" s="4" t="s">
        <v>3178</v>
      </c>
      <c r="H2036" s="3">
        <v>0.19963513810993</v>
      </c>
      <c r="I2036" s="5">
        <v>15609.687874</v>
      </c>
      <c r="J2036" s="6">
        <v>75.04657631817307</v>
      </c>
      <c r="K2036" s="4">
        <v>0.5513259820765811</v>
      </c>
      <c r="L2036" s="7">
        <v>0.9738634870139181</v>
      </c>
      <c r="M2036" s="3">
        <v>28.81</v>
      </c>
      <c r="N2036" s="3">
        <v>18.6</v>
      </c>
    </row>
    <row r="2037" spans="1:14">
      <c r="A2037" s="8" t="s">
        <v>2049</v>
      </c>
      <c r="B2037" s="2">
        <f>HYPERLINK("https://www.suredividend.com/sure-analysis-research-database/","News Corp")</f>
        <v>0</v>
      </c>
      <c r="C2037" s="1" t="s">
        <v>3187</v>
      </c>
      <c r="D2037" s="3">
        <v>27.19</v>
      </c>
      <c r="E2037" s="4">
        <v>0.007341760991569001</v>
      </c>
      <c r="F2037" s="4" t="s">
        <v>3178</v>
      </c>
      <c r="G2037" s="4" t="s">
        <v>3178</v>
      </c>
      <c r="H2037" s="3">
        <v>0.199622481360773</v>
      </c>
      <c r="I2037" s="5">
        <v>15609.687874</v>
      </c>
      <c r="J2037" s="6">
        <v>75.04657631817308</v>
      </c>
      <c r="K2037" s="4">
        <v>0.551291028336849</v>
      </c>
      <c r="L2037" s="7">
        <v>0.9602668399302111</v>
      </c>
      <c r="M2037" s="3">
        <v>27.92</v>
      </c>
      <c r="N2037" s="3">
        <v>18.34</v>
      </c>
    </row>
    <row r="2038" spans="1:14">
      <c r="A2038" s="8" t="s">
        <v>2050</v>
      </c>
      <c r="B2038" s="2">
        <f>HYPERLINK("https://www.suredividend.com/sure-analysis-research-database/","Quanex Building Products Corp")</f>
        <v>0</v>
      </c>
      <c r="C2038" s="1" t="s">
        <v>3179</v>
      </c>
      <c r="D2038" s="3">
        <v>31.68</v>
      </c>
      <c r="E2038" s="4">
        <v>0.010063784915466</v>
      </c>
      <c r="F2038" s="4">
        <v>0</v>
      </c>
      <c r="G2038" s="4">
        <v>0</v>
      </c>
      <c r="H2038" s="3">
        <v>0.318820706121972</v>
      </c>
      <c r="I2038" s="5">
        <v>1048.721826</v>
      </c>
      <c r="J2038" s="6">
        <v>12.07634442532905</v>
      </c>
      <c r="K2038" s="4">
        <v>0.1212246030882023</v>
      </c>
      <c r="L2038" s="7">
        <v>1.277356007714964</v>
      </c>
      <c r="M2038" s="3">
        <v>39.31</v>
      </c>
      <c r="N2038" s="3">
        <v>24.78</v>
      </c>
    </row>
    <row r="2039" spans="1:14">
      <c r="A2039" s="8" t="s">
        <v>2051</v>
      </c>
      <c r="B2039" s="2">
        <f>HYPERLINK("https://www.suredividend.com/sure-analysis-research-database/","NextGen Healthcare Inc")</f>
        <v>0</v>
      </c>
      <c r="C2039" s="1" t="s">
        <v>3176</v>
      </c>
      <c r="D2039" s="3">
        <v>23.94</v>
      </c>
      <c r="E2039" s="4">
        <v>0</v>
      </c>
      <c r="F2039" s="4" t="s">
        <v>3178</v>
      </c>
      <c r="G2039" s="4" t="s">
        <v>3178</v>
      </c>
      <c r="H2039" s="3">
        <v>0</v>
      </c>
      <c r="I2039" s="5">
        <v>0</v>
      </c>
      <c r="J2039" s="6">
        <v>0</v>
      </c>
      <c r="K2039" s="4">
        <v>-0</v>
      </c>
    </row>
    <row r="2040" spans="1:14">
      <c r="A2040" s="8" t="s">
        <v>2052</v>
      </c>
      <c r="B2040" s="2">
        <f>HYPERLINK("https://www.suredividend.com/sure-analysis-NXRT/","NexPoint Residential Trust Inc")</f>
        <v>0</v>
      </c>
      <c r="C2040" s="1" t="s">
        <v>3183</v>
      </c>
      <c r="D2040" s="3">
        <v>37.8</v>
      </c>
      <c r="E2040" s="4">
        <v>0.04894179894179895</v>
      </c>
      <c r="F2040" s="4">
        <v>0.1010000000000002</v>
      </c>
      <c r="G2040" s="4">
        <v>0.1095344292952829</v>
      </c>
      <c r="H2040" s="3">
        <v>1.729467335546348</v>
      </c>
      <c r="I2040" s="5">
        <v>970.489031</v>
      </c>
      <c r="J2040" s="6">
        <v>13.03632253878702</v>
      </c>
      <c r="K2040" s="4">
        <v>0.6132862892008326</v>
      </c>
      <c r="L2040" s="7">
        <v>1.486637688135846</v>
      </c>
      <c r="M2040" s="3">
        <v>47.9</v>
      </c>
      <c r="N2040" s="3">
        <v>25.47</v>
      </c>
    </row>
    <row r="2041" spans="1:14">
      <c r="A2041" s="8" t="s">
        <v>2053</v>
      </c>
      <c r="B2041" s="2">
        <f>HYPERLINK("https://www.suredividend.com/sure-analysis-NXST/","Nexstar Media Group Inc")</f>
        <v>0</v>
      </c>
      <c r="C2041" s="1" t="s">
        <v>3187</v>
      </c>
      <c r="D2041" s="3">
        <v>156.47</v>
      </c>
      <c r="E2041" s="4">
        <v>0.04320316993672908</v>
      </c>
      <c r="F2041" s="4">
        <v>0.2518518518518518</v>
      </c>
      <c r="G2041" s="4">
        <v>0.2472104342138273</v>
      </c>
      <c r="H2041" s="3">
        <v>5.912813718577262</v>
      </c>
      <c r="I2041" s="5">
        <v>5136.887099</v>
      </c>
      <c r="J2041" s="6">
        <v>12.52899292417073</v>
      </c>
      <c r="K2041" s="4">
        <v>0.5045062899809951</v>
      </c>
      <c r="L2041" s="7">
        <v>1.248402180799209</v>
      </c>
      <c r="M2041" s="3">
        <v>185.42</v>
      </c>
      <c r="N2041" s="3">
        <v>124.61</v>
      </c>
    </row>
    <row r="2042" spans="1:14">
      <c r="A2042" s="8" t="s">
        <v>2054</v>
      </c>
      <c r="B2042" s="2">
        <f>HYPERLINK("https://www.suredividend.com/sure-analysis-research-database/","Nxt-ID Inc")</f>
        <v>0</v>
      </c>
      <c r="C2042" s="1" t="s">
        <v>3179</v>
      </c>
      <c r="D2042" s="3">
        <v>2.42</v>
      </c>
      <c r="E2042" s="4">
        <v>0</v>
      </c>
      <c r="F2042" s="4" t="s">
        <v>3178</v>
      </c>
      <c r="G2042" s="4" t="s">
        <v>3178</v>
      </c>
      <c r="H2042" s="3">
        <v>0</v>
      </c>
      <c r="I2042" s="5">
        <v>21.529479</v>
      </c>
      <c r="J2042" s="6">
        <v>0</v>
      </c>
      <c r="K2042" s="4" t="s">
        <v>3178</v>
      </c>
      <c r="M2042" s="3">
        <v>19.2</v>
      </c>
      <c r="N2042" s="3">
        <v>2.1</v>
      </c>
    </row>
    <row r="2043" spans="1:14">
      <c r="A2043" s="8" t="s">
        <v>2055</v>
      </c>
      <c r="B2043" s="2">
        <f>HYPERLINK("https://www.suredividend.com/sure-analysis-research-database/","New York Community Bancorp Inc.")</f>
        <v>0</v>
      </c>
      <c r="C2043" s="1" t="s">
        <v>3180</v>
      </c>
      <c r="D2043" s="3">
        <v>3.12</v>
      </c>
      <c r="E2043" s="4">
        <v>0.126702454180377</v>
      </c>
      <c r="F2043" s="4">
        <v>-0.9411764705882353</v>
      </c>
      <c r="G2043" s="4">
        <v>-0.4325727143284199</v>
      </c>
      <c r="H2043" s="3">
        <v>0.395311657042778</v>
      </c>
      <c r="I2043" s="5">
        <v>2560.634254</v>
      </c>
      <c r="J2043" s="6" t="s">
        <v>3178</v>
      </c>
      <c r="K2043" s="4" t="s">
        <v>3178</v>
      </c>
      <c r="L2043" s="7">
        <v>1.616777532510936</v>
      </c>
      <c r="M2043" s="3">
        <v>13.86</v>
      </c>
      <c r="N2043" s="3">
        <v>1.69</v>
      </c>
    </row>
    <row r="2044" spans="1:14">
      <c r="A2044" s="8" t="s">
        <v>2056</v>
      </c>
      <c r="B2044" s="2">
        <f>HYPERLINK("https://www.suredividend.com/sure-analysis-NYMT/","New York Mortgage Trust Inc")</f>
        <v>0</v>
      </c>
      <c r="C2044" s="1" t="s">
        <v>3183</v>
      </c>
      <c r="D2044" s="3">
        <v>5.82</v>
      </c>
      <c r="E2044" s="4">
        <v>0.1374570446735395</v>
      </c>
      <c r="F2044" s="4" t="s">
        <v>3178</v>
      </c>
      <c r="G2044" s="4" t="s">
        <v>3178</v>
      </c>
      <c r="H2044" s="3">
        <v>0.943389978649762</v>
      </c>
      <c r="I2044" s="5">
        <v>530.94568</v>
      </c>
      <c r="J2044" s="6" t="s">
        <v>3178</v>
      </c>
      <c r="K2044" s="4" t="s">
        <v>3178</v>
      </c>
      <c r="L2044" s="7">
        <v>1.318227639090494</v>
      </c>
      <c r="M2044" s="3">
        <v>9.57</v>
      </c>
      <c r="N2044" s="3">
        <v>5.65</v>
      </c>
    </row>
    <row r="2045" spans="1:14">
      <c r="A2045" s="8" t="s">
        <v>2057</v>
      </c>
      <c r="B2045" s="2">
        <f>HYPERLINK("https://www.suredividend.com/sure-analysis-research-database/","New York Times Co.")</f>
        <v>0</v>
      </c>
      <c r="C2045" s="1" t="s">
        <v>3187</v>
      </c>
      <c r="D2045" s="3">
        <v>50.28</v>
      </c>
      <c r="E2045" s="4">
        <v>0.009113398391576001</v>
      </c>
      <c r="F2045" s="4">
        <v>0.1818181818181819</v>
      </c>
      <c r="G2045" s="4">
        <v>0.2105832751075947</v>
      </c>
      <c r="H2045" s="3">
        <v>0.4582216711284781</v>
      </c>
      <c r="I2045" s="5">
        <v>8222.311629</v>
      </c>
      <c r="J2045" s="6">
        <v>32.77806332663605</v>
      </c>
      <c r="K2045" s="4">
        <v>0.3034580603499855</v>
      </c>
      <c r="L2045" s="7">
        <v>0.6704838752127501</v>
      </c>
      <c r="M2045" s="3">
        <v>51.98</v>
      </c>
      <c r="N2045" s="3">
        <v>36.15</v>
      </c>
    </row>
    <row r="2046" spans="1:14">
      <c r="A2046" s="8" t="s">
        <v>2058</v>
      </c>
      <c r="B2046" s="2">
        <f>HYPERLINK("https://www.suredividend.com/sure-analysis-O/","Realty Income Corp.")</f>
        <v>0</v>
      </c>
      <c r="C2046" s="1" t="s">
        <v>3183</v>
      </c>
      <c r="D2046" s="3">
        <v>53.32</v>
      </c>
      <c r="E2046" s="4">
        <v>0.05907726931732933</v>
      </c>
      <c r="F2046" s="4">
        <v>0.02339181286549707</v>
      </c>
      <c r="G2046" s="4">
        <v>0.01142928804925547</v>
      </c>
      <c r="H2046" s="3">
        <v>3.000489506701509</v>
      </c>
      <c r="I2046" s="5">
        <v>46429.692928</v>
      </c>
      <c r="J2046" s="6">
        <v>59.75592051820553</v>
      </c>
      <c r="K2046" s="4">
        <v>2.857609054001437</v>
      </c>
      <c r="L2046" s="7">
        <v>0.6661643837559811</v>
      </c>
      <c r="M2046" s="3">
        <v>60.89</v>
      </c>
      <c r="N2046" s="3">
        <v>43.32</v>
      </c>
    </row>
    <row r="2047" spans="1:14">
      <c r="A2047" s="8" t="s">
        <v>2059</v>
      </c>
      <c r="B2047" s="2">
        <f>HYPERLINK("https://www.suredividend.com/sure-analysis-research-database/","Oasis Petroleum Inc.")</f>
        <v>0</v>
      </c>
      <c r="C2047" s="1" t="s">
        <v>3185</v>
      </c>
      <c r="D2047" s="3">
        <v>109.3</v>
      </c>
      <c r="E2047" s="4">
        <v>0.016078129074666</v>
      </c>
      <c r="F2047" s="4" t="s">
        <v>3178</v>
      </c>
      <c r="G2047" s="4" t="s">
        <v>3178</v>
      </c>
      <c r="H2047" s="3">
        <v>1.757339507861067</v>
      </c>
      <c r="I2047" s="5">
        <v>2145.305533</v>
      </c>
      <c r="J2047" s="6" t="s">
        <v>3178</v>
      </c>
      <c r="K2047" s="4" t="s">
        <v>3178</v>
      </c>
      <c r="L2047" s="7">
        <v>0.91924262363451</v>
      </c>
      <c r="M2047" s="3">
        <v>158.98</v>
      </c>
      <c r="N2047" s="3">
        <v>67.28</v>
      </c>
    </row>
    <row r="2048" spans="1:14">
      <c r="A2048" s="8" t="s">
        <v>2060</v>
      </c>
      <c r="B2048" s="2">
        <f>HYPERLINK("https://www.suredividend.com/sure-analysis-research-database/","Ocean Bio-Chem, Inc.")</f>
        <v>0</v>
      </c>
      <c r="C2048" s="1" t="s">
        <v>3179</v>
      </c>
      <c r="D2048" s="3">
        <v>13.03</v>
      </c>
      <c r="E2048" s="4">
        <v>0</v>
      </c>
      <c r="F2048" s="4" t="s">
        <v>3178</v>
      </c>
      <c r="G2048" s="4" t="s">
        <v>3178</v>
      </c>
      <c r="H2048" s="3">
        <v>0.139999996870756</v>
      </c>
      <c r="I2048" s="5">
        <v>0</v>
      </c>
      <c r="J2048" s="6">
        <v>0</v>
      </c>
      <c r="K2048" s="4" t="s">
        <v>3178</v>
      </c>
    </row>
    <row r="2049" spans="1:14">
      <c r="A2049" s="8" t="s">
        <v>2061</v>
      </c>
      <c r="B2049" s="2">
        <f>HYPERLINK("https://www.suredividend.com/sure-analysis-research-database/","Origin Bancorp Inc")</f>
        <v>0</v>
      </c>
      <c r="C2049" s="1" t="s">
        <v>3180</v>
      </c>
      <c r="D2049" s="3">
        <v>30.41</v>
      </c>
      <c r="E2049" s="4">
        <v>0</v>
      </c>
      <c r="F2049" s="4" t="s">
        <v>3178</v>
      </c>
      <c r="G2049" s="4" t="s">
        <v>3178</v>
      </c>
      <c r="H2049" s="3">
        <v>0.600000023841857</v>
      </c>
      <c r="I2049" s="5">
        <v>906.191256</v>
      </c>
      <c r="J2049" s="6">
        <v>0</v>
      </c>
      <c r="K2049" s="4" t="s">
        <v>3178</v>
      </c>
    </row>
    <row r="2050" spans="1:14">
      <c r="A2050" s="8" t="s">
        <v>2062</v>
      </c>
      <c r="B2050" s="2">
        <f>HYPERLINK("https://www.suredividend.com/sure-analysis-OC/","Owens Corning")</f>
        <v>0</v>
      </c>
      <c r="C2050" s="1" t="s">
        <v>3179</v>
      </c>
      <c r="D2050" s="3">
        <v>176.89</v>
      </c>
      <c r="E2050" s="4">
        <v>0.01356775397139465</v>
      </c>
      <c r="F2050" s="4">
        <v>0.153846153846154</v>
      </c>
      <c r="G2050" s="4">
        <v>0.2222096655552421</v>
      </c>
      <c r="H2050" s="3">
        <v>2.227075700512392</v>
      </c>
      <c r="I2050" s="5">
        <v>15328.676422</v>
      </c>
      <c r="J2050" s="6">
        <v>13.78478095498201</v>
      </c>
      <c r="K2050" s="4">
        <v>0.180184118164433</v>
      </c>
      <c r="L2050" s="7">
        <v>1.305716085958388</v>
      </c>
      <c r="M2050" s="3">
        <v>184</v>
      </c>
      <c r="N2050" s="3">
        <v>109.06</v>
      </c>
    </row>
    <row r="2051" spans="1:14">
      <c r="A2051" s="8" t="s">
        <v>2063</v>
      </c>
      <c r="B2051" s="2">
        <f>HYPERLINK("https://www.suredividend.com/sure-analysis-research-database/","Optical Cable Corp.")</f>
        <v>0</v>
      </c>
      <c r="C2051" s="1" t="s">
        <v>3181</v>
      </c>
      <c r="D2051" s="3">
        <v>2.74</v>
      </c>
      <c r="E2051" s="4">
        <v>0</v>
      </c>
      <c r="F2051" s="4" t="s">
        <v>3178</v>
      </c>
      <c r="G2051" s="4" t="s">
        <v>3178</v>
      </c>
      <c r="H2051" s="3">
        <v>0</v>
      </c>
      <c r="I2051" s="5">
        <v>21.518198</v>
      </c>
      <c r="J2051" s="6">
        <v>0</v>
      </c>
      <c r="K2051" s="4" t="s">
        <v>3178</v>
      </c>
      <c r="M2051" s="3">
        <v>4.65</v>
      </c>
      <c r="N2051" s="3">
        <v>2.26</v>
      </c>
    </row>
    <row r="2052" spans="1:14">
      <c r="A2052" s="8" t="s">
        <v>2064</v>
      </c>
      <c r="B2052" s="2">
        <f>HYPERLINK("https://www.suredividend.com/sure-analysis-research-database/","OceanFirst Financial Corp.")</f>
        <v>0</v>
      </c>
      <c r="C2052" s="1" t="s">
        <v>3180</v>
      </c>
      <c r="D2052" s="3">
        <v>14.4</v>
      </c>
      <c r="E2052" s="4">
        <v>0.053769632794592</v>
      </c>
      <c r="F2052" s="4">
        <v>0</v>
      </c>
      <c r="G2052" s="4">
        <v>0.03303780411393231</v>
      </c>
      <c r="H2052" s="3">
        <v>0.7742827122421341</v>
      </c>
      <c r="I2052" s="5">
        <v>845.473954</v>
      </c>
      <c r="J2052" s="6">
        <v>8.387888068097265</v>
      </c>
      <c r="K2052" s="4">
        <v>0.452796907743938</v>
      </c>
      <c r="L2052" s="7">
        <v>1.349619507864028</v>
      </c>
      <c r="M2052" s="3">
        <v>17.91</v>
      </c>
      <c r="N2052" s="3">
        <v>11.22</v>
      </c>
    </row>
    <row r="2053" spans="1:14">
      <c r="A2053" s="8" t="s">
        <v>2065</v>
      </c>
      <c r="B2053" s="2">
        <f>HYPERLINK("https://www.suredividend.com/sure-analysis-research-database/","Ocwen Financial Corp.")</f>
        <v>0</v>
      </c>
      <c r="C2053" s="1" t="s">
        <v>3180</v>
      </c>
      <c r="D2053" s="3">
        <v>25.08</v>
      </c>
      <c r="E2053" s="4">
        <v>0</v>
      </c>
      <c r="F2053" s="4" t="s">
        <v>3178</v>
      </c>
      <c r="G2053" s="4" t="s">
        <v>3178</v>
      </c>
      <c r="H2053" s="3">
        <v>0</v>
      </c>
      <c r="I2053" s="5">
        <v>195.865219</v>
      </c>
      <c r="J2053" s="6">
        <v>30.13311068307692</v>
      </c>
      <c r="K2053" s="4">
        <v>0</v>
      </c>
      <c r="L2053" s="7">
        <v>1.399547537372142</v>
      </c>
      <c r="M2053" s="3">
        <v>35.79</v>
      </c>
      <c r="N2053" s="3">
        <v>21.15</v>
      </c>
    </row>
    <row r="2054" spans="1:14">
      <c r="A2054" s="8" t="s">
        <v>2066</v>
      </c>
      <c r="B2054" s="2">
        <f>HYPERLINK("https://www.suredividend.com/sure-analysis-research-database/","Ocular Therapeutix Inc")</f>
        <v>0</v>
      </c>
      <c r="C2054" s="1" t="s">
        <v>3176</v>
      </c>
      <c r="D2054" s="3">
        <v>4.94</v>
      </c>
      <c r="E2054" s="4">
        <v>0</v>
      </c>
      <c r="F2054" s="4" t="s">
        <v>3178</v>
      </c>
      <c r="G2054" s="4" t="s">
        <v>3178</v>
      </c>
      <c r="H2054" s="3">
        <v>0</v>
      </c>
      <c r="I2054" s="5">
        <v>765.15124</v>
      </c>
      <c r="J2054" s="6" t="s">
        <v>3178</v>
      </c>
      <c r="K2054" s="4">
        <v>-0</v>
      </c>
      <c r="L2054" s="7">
        <v>2.082599896600593</v>
      </c>
      <c r="M2054" s="3">
        <v>11.31</v>
      </c>
      <c r="N2054" s="3">
        <v>2</v>
      </c>
    </row>
    <row r="2055" spans="1:14">
      <c r="A2055" s="8" t="s">
        <v>2067</v>
      </c>
      <c r="B2055" s="2">
        <f>HYPERLINK("https://www.suredividend.com/sure-analysis-research-database/","Oncocyte Corporation")</f>
        <v>0</v>
      </c>
      <c r="C2055" s="1" t="s">
        <v>3176</v>
      </c>
      <c r="D2055" s="3">
        <v>2.74</v>
      </c>
      <c r="E2055" s="4">
        <v>0</v>
      </c>
      <c r="F2055" s="4" t="s">
        <v>3178</v>
      </c>
      <c r="G2055" s="4" t="s">
        <v>3178</v>
      </c>
      <c r="H2055" s="3">
        <v>0</v>
      </c>
      <c r="I2055" s="5">
        <v>36.619105</v>
      </c>
      <c r="J2055" s="6" t="s">
        <v>3178</v>
      </c>
      <c r="K2055" s="4">
        <v>-0</v>
      </c>
      <c r="L2055" s="7">
        <v>0.690644534161135</v>
      </c>
      <c r="M2055" s="3">
        <v>4.86</v>
      </c>
      <c r="N2055" s="3">
        <v>2.08</v>
      </c>
    </row>
    <row r="2056" spans="1:14">
      <c r="A2056" s="8" t="s">
        <v>2068</v>
      </c>
      <c r="B2056" s="2">
        <f>HYPERLINK("https://www.suredividend.com/sure-analysis-ODC/","Oil-Dri Corp. Of America")</f>
        <v>0</v>
      </c>
      <c r="C2056" s="1" t="s">
        <v>3177</v>
      </c>
      <c r="D2056" s="3">
        <v>70.13</v>
      </c>
      <c r="E2056" s="4">
        <v>0.01768144873805789</v>
      </c>
      <c r="F2056" s="4">
        <v>0.03571428571428559</v>
      </c>
      <c r="G2056" s="4">
        <v>0.03012896281839894</v>
      </c>
      <c r="H2056" s="3">
        <v>1.152932278571382</v>
      </c>
      <c r="I2056" s="5">
        <v>359.831139</v>
      </c>
      <c r="J2056" s="6">
        <v>8.672719669317907</v>
      </c>
      <c r="K2056" s="4">
        <v>0.2556390861577344</v>
      </c>
      <c r="L2056" s="7">
        <v>0.782692433219325</v>
      </c>
      <c r="M2056" s="3">
        <v>87.31999999999999</v>
      </c>
      <c r="N2056" s="3">
        <v>47.66</v>
      </c>
    </row>
    <row r="2057" spans="1:14">
      <c r="A2057" s="8" t="s">
        <v>2069</v>
      </c>
      <c r="B2057" s="2">
        <f>HYPERLINK("https://www.suredividend.com/sure-analysis-ODFL/","Old Dominion Freight Line, Inc.")</f>
        <v>0</v>
      </c>
      <c r="C2057" s="1" t="s">
        <v>3179</v>
      </c>
      <c r="D2057" s="3">
        <v>168.53</v>
      </c>
      <c r="E2057" s="4">
        <v>0.006171008129116478</v>
      </c>
      <c r="F2057" s="4">
        <v>-0.35</v>
      </c>
      <c r="G2057" s="4">
        <v>0.08869163325077611</v>
      </c>
      <c r="H2057" s="3">
        <v>0.9178756044670111</v>
      </c>
      <c r="I2057" s="5">
        <v>36619.054869</v>
      </c>
      <c r="J2057" s="6">
        <v>29.37118603417797</v>
      </c>
      <c r="K2057" s="4">
        <v>0.1615978176878541</v>
      </c>
      <c r="L2057" s="7">
        <v>1.270989728562818</v>
      </c>
      <c r="M2057" s="3">
        <v>227.46</v>
      </c>
      <c r="N2057" s="3">
        <v>148.45</v>
      </c>
    </row>
    <row r="2058" spans="1:14">
      <c r="A2058" s="8" t="s">
        <v>2070</v>
      </c>
      <c r="B2058" s="2">
        <f>HYPERLINK("https://www.suredividend.com/sure-analysis-research-database/","ODP Corporation (The)")</f>
        <v>0</v>
      </c>
      <c r="C2058" s="1" t="s">
        <v>3182</v>
      </c>
      <c r="D2058" s="3">
        <v>38.52</v>
      </c>
      <c r="E2058" s="4">
        <v>0</v>
      </c>
      <c r="F2058" s="4" t="s">
        <v>3178</v>
      </c>
      <c r="G2058" s="4" t="s">
        <v>3178</v>
      </c>
      <c r="H2058" s="3">
        <v>0</v>
      </c>
      <c r="I2058" s="5">
        <v>1382.67124</v>
      </c>
      <c r="J2058" s="6">
        <v>16.86184438829268</v>
      </c>
      <c r="K2058" s="4">
        <v>0</v>
      </c>
      <c r="L2058" s="7">
        <v>0.9027568779959061</v>
      </c>
      <c r="M2058" s="3">
        <v>58.98</v>
      </c>
      <c r="N2058" s="3">
        <v>37.61</v>
      </c>
    </row>
    <row r="2059" spans="1:14">
      <c r="A2059" s="8" t="s">
        <v>2071</v>
      </c>
      <c r="B2059" s="2">
        <f>HYPERLINK("https://www.suredividend.com/sure-analysis-research-database/","Odonate Therapeutics Inc")</f>
        <v>0</v>
      </c>
      <c r="C2059" s="1" t="s">
        <v>3176</v>
      </c>
      <c r="D2059" s="3">
        <v>1.12</v>
      </c>
      <c r="E2059" s="4">
        <v>0</v>
      </c>
      <c r="F2059" s="4" t="s">
        <v>3178</v>
      </c>
      <c r="G2059" s="4" t="s">
        <v>3178</v>
      </c>
      <c r="H2059" s="3">
        <v>0</v>
      </c>
      <c r="I2059" s="5">
        <v>0</v>
      </c>
      <c r="J2059" s="6">
        <v>0</v>
      </c>
      <c r="K2059" s="4" t="s">
        <v>3178</v>
      </c>
    </row>
    <row r="2060" spans="1:14">
      <c r="A2060" s="8" t="s">
        <v>2072</v>
      </c>
      <c r="B2060" s="2">
        <f>HYPERLINK("https://www.suredividend.com/sure-analysis-research-database/","Orion Energy Systems Inc")</f>
        <v>0</v>
      </c>
      <c r="C2060" s="1" t="s">
        <v>3179</v>
      </c>
      <c r="D2060" s="3">
        <v>1.09</v>
      </c>
      <c r="E2060" s="4">
        <v>0</v>
      </c>
      <c r="F2060" s="4" t="s">
        <v>3178</v>
      </c>
      <c r="G2060" s="4" t="s">
        <v>3178</v>
      </c>
      <c r="H2060" s="3">
        <v>0</v>
      </c>
      <c r="I2060" s="5">
        <v>35.492145</v>
      </c>
      <c r="J2060" s="6">
        <v>0</v>
      </c>
      <c r="K2060" s="4" t="s">
        <v>3178</v>
      </c>
      <c r="L2060" s="7">
        <v>0.5270348372190921</v>
      </c>
      <c r="M2060" s="3">
        <v>1.94</v>
      </c>
      <c r="N2060" s="3">
        <v>0.8139000000000001</v>
      </c>
    </row>
    <row r="2061" spans="1:14">
      <c r="A2061" s="8" t="s">
        <v>2073</v>
      </c>
      <c r="B2061" s="2">
        <f>HYPERLINK("https://www.suredividend.com/sure-analysis-research-database/","Oconee Federal Financial Corp")</f>
        <v>0</v>
      </c>
      <c r="C2061" s="1" t="s">
        <v>3180</v>
      </c>
      <c r="D2061" s="3">
        <v>13</v>
      </c>
      <c r="E2061" s="4">
        <v>0</v>
      </c>
      <c r="F2061" s="4">
        <v>0</v>
      </c>
      <c r="G2061" s="4">
        <v>0</v>
      </c>
      <c r="H2061" s="3">
        <v>0.100000001490116</v>
      </c>
      <c r="I2061" s="5">
        <v>0</v>
      </c>
      <c r="J2061" s="6">
        <v>0</v>
      </c>
      <c r="K2061" s="4" t="s">
        <v>3178</v>
      </c>
    </row>
    <row r="2062" spans="1:14">
      <c r="A2062" s="8" t="s">
        <v>2074</v>
      </c>
      <c r="B2062" s="2">
        <f>HYPERLINK("https://www.suredividend.com/sure-analysis-research-database/","OFG Bancorp")</f>
        <v>0</v>
      </c>
      <c r="C2062" s="1" t="s">
        <v>3180</v>
      </c>
      <c r="D2062" s="3">
        <v>36.48</v>
      </c>
      <c r="E2062" s="4">
        <v>0.024703961673361</v>
      </c>
      <c r="F2062" s="4">
        <v>0.1363636363636365</v>
      </c>
      <c r="G2062" s="4">
        <v>0.2899366842116895</v>
      </c>
      <c r="H2062" s="3">
        <v>0.901200521844234</v>
      </c>
      <c r="I2062" s="5">
        <v>1714.635039</v>
      </c>
      <c r="J2062" s="6">
        <v>9.251544712871286</v>
      </c>
      <c r="K2062" s="4">
        <v>0.2304860669678348</v>
      </c>
      <c r="L2062" s="7">
        <v>1.000462574330826</v>
      </c>
      <c r="M2062" s="3">
        <v>38.77</v>
      </c>
      <c r="N2062" s="3">
        <v>24.53</v>
      </c>
    </row>
    <row r="2063" spans="1:14">
      <c r="A2063" s="8" t="s">
        <v>2075</v>
      </c>
      <c r="B2063" s="2">
        <f>HYPERLINK("https://www.suredividend.com/sure-analysis-research-database/","Orthofix Medical Inc")</f>
        <v>0</v>
      </c>
      <c r="C2063" s="1" t="s">
        <v>3176</v>
      </c>
      <c r="D2063" s="3">
        <v>13.42</v>
      </c>
      <c r="E2063" s="4">
        <v>0</v>
      </c>
      <c r="F2063" s="4" t="s">
        <v>3178</v>
      </c>
      <c r="G2063" s="4" t="s">
        <v>3178</v>
      </c>
      <c r="H2063" s="3">
        <v>0</v>
      </c>
      <c r="I2063" s="5">
        <v>503.642616</v>
      </c>
      <c r="J2063" s="6" t="s">
        <v>3178</v>
      </c>
      <c r="K2063" s="4">
        <v>-0</v>
      </c>
      <c r="L2063" s="7">
        <v>1.586068764940103</v>
      </c>
      <c r="M2063" s="3">
        <v>21.6</v>
      </c>
      <c r="N2063" s="3">
        <v>9.57</v>
      </c>
    </row>
    <row r="2064" spans="1:14">
      <c r="A2064" s="8" t="s">
        <v>2076</v>
      </c>
      <c r="B2064" s="2">
        <f>HYPERLINK("https://www.suredividend.com/sure-analysis-research-database/","Omega Flex Inc")</f>
        <v>0</v>
      </c>
      <c r="C2064" s="1" t="s">
        <v>3179</v>
      </c>
      <c r="D2064" s="3">
        <v>60.93</v>
      </c>
      <c r="E2064" s="4">
        <v>0.021381726466133</v>
      </c>
      <c r="F2064" s="4">
        <v>0.03125</v>
      </c>
      <c r="G2064" s="4">
        <v>0.03340648293877924</v>
      </c>
      <c r="H2064" s="3">
        <v>1.302788593581534</v>
      </c>
      <c r="I2064" s="5">
        <v>615.047039</v>
      </c>
      <c r="J2064" s="6">
        <v>31.96710184303534</v>
      </c>
      <c r="K2064" s="4">
        <v>0.6820882688908554</v>
      </c>
      <c r="L2064" s="7">
        <v>0.699497952718778</v>
      </c>
      <c r="M2064" s="3">
        <v>110.91</v>
      </c>
      <c r="N2064" s="3">
        <v>58.02</v>
      </c>
    </row>
    <row r="2065" spans="1:14">
      <c r="A2065" s="8" t="s">
        <v>2077</v>
      </c>
      <c r="B2065" s="2">
        <f>HYPERLINK("https://www.suredividend.com/sure-analysis-OGE/","Oge Energy Corp.")</f>
        <v>0</v>
      </c>
      <c r="C2065" s="1" t="s">
        <v>3186</v>
      </c>
      <c r="D2065" s="3">
        <v>35.41</v>
      </c>
      <c r="E2065" s="4">
        <v>0.04716181869528382</v>
      </c>
      <c r="F2065" s="4">
        <v>0.00990099009900991</v>
      </c>
      <c r="G2065" s="4">
        <v>0.02758612793428594</v>
      </c>
      <c r="H2065" s="3">
        <v>1.638621208595383</v>
      </c>
      <c r="I2065" s="5">
        <v>7101.399085</v>
      </c>
      <c r="J2065" s="6">
        <v>17.88315055457064</v>
      </c>
      <c r="K2065" s="4">
        <v>0.8275864689875673</v>
      </c>
      <c r="L2065" s="7">
        <v>0.462154348850948</v>
      </c>
      <c r="M2065" s="3">
        <v>37.3</v>
      </c>
      <c r="N2065" s="3">
        <v>30.11</v>
      </c>
    </row>
    <row r="2066" spans="1:14">
      <c r="A2066" s="8" t="s">
        <v>2078</v>
      </c>
      <c r="B2066" s="2">
        <f>HYPERLINK("https://www.suredividend.com/sure-analysis-research-database/","Oragenics Inc")</f>
        <v>0</v>
      </c>
      <c r="C2066" s="1" t="s">
        <v>3176</v>
      </c>
      <c r="D2066" s="3">
        <v>1.67</v>
      </c>
      <c r="E2066" s="4">
        <v>0</v>
      </c>
      <c r="F2066" s="4" t="s">
        <v>3178</v>
      </c>
      <c r="G2066" s="4" t="s">
        <v>3178</v>
      </c>
      <c r="H2066" s="3">
        <v>0</v>
      </c>
      <c r="I2066" s="5">
        <v>7.482757</v>
      </c>
      <c r="J2066" s="6">
        <v>0</v>
      </c>
      <c r="K2066" s="4" t="s">
        <v>3178</v>
      </c>
      <c r="L2066" s="7">
        <v>1.082806828756258</v>
      </c>
      <c r="M2066" s="3">
        <v>7.74</v>
      </c>
      <c r="N2066" s="3">
        <v>1</v>
      </c>
    </row>
    <row r="2067" spans="1:14">
      <c r="A2067" s="8" t="s">
        <v>2079</v>
      </c>
      <c r="B2067" s="2">
        <f>HYPERLINK("https://www.suredividend.com/sure-analysis-OGS/","ONE Gas Inc")</f>
        <v>0</v>
      </c>
      <c r="C2067" s="1" t="s">
        <v>3186</v>
      </c>
      <c r="D2067" s="3">
        <v>60.43</v>
      </c>
      <c r="E2067" s="4">
        <v>0.04368691047492967</v>
      </c>
      <c r="F2067" s="4">
        <v>0.01538461538461533</v>
      </c>
      <c r="G2067" s="4">
        <v>0.05709686837461603</v>
      </c>
      <c r="H2067" s="3">
        <v>2.579062987911924</v>
      </c>
      <c r="I2067" s="5">
        <v>3418.4886</v>
      </c>
      <c r="J2067" s="6">
        <v>14.99810729826963</v>
      </c>
      <c r="K2067" s="4">
        <v>0.6352371891408681</v>
      </c>
      <c r="L2067" s="7">
        <v>0.562035583750052</v>
      </c>
      <c r="M2067" s="3">
        <v>79.56</v>
      </c>
      <c r="N2067" s="3">
        <v>54.33</v>
      </c>
    </row>
    <row r="2068" spans="1:14">
      <c r="A2068" s="8" t="s">
        <v>2080</v>
      </c>
      <c r="B2068" s="2">
        <f>HYPERLINK("https://www.suredividend.com/sure-analysis-OHI/","Omega Healthcare Investors, Inc.")</f>
        <v>0</v>
      </c>
      <c r="C2068" s="1" t="s">
        <v>3183</v>
      </c>
      <c r="D2068" s="3">
        <v>32.14</v>
      </c>
      <c r="E2068" s="4">
        <v>0.08338518979464841</v>
      </c>
      <c r="F2068" s="4">
        <v>0</v>
      </c>
      <c r="G2068" s="4">
        <v>0.003012102765607816</v>
      </c>
      <c r="H2068" s="3">
        <v>2.593897017128716</v>
      </c>
      <c r="I2068" s="5">
        <v>7941.760574</v>
      </c>
      <c r="J2068" s="6">
        <v>29.02700877707887</v>
      </c>
      <c r="K2068" s="4">
        <v>2.401756497341403</v>
      </c>
      <c r="L2068" s="7">
        <v>0.5965406221630231</v>
      </c>
      <c r="M2068" s="3">
        <v>32.98</v>
      </c>
      <c r="N2068" s="3">
        <v>26.94</v>
      </c>
    </row>
    <row r="2069" spans="1:14">
      <c r="A2069" s="8" t="s">
        <v>2081</v>
      </c>
      <c r="B2069" s="2">
        <f>HYPERLINK("https://www.suredividend.com/sure-analysis-research-database/","O-I Glass Inc")</f>
        <v>0</v>
      </c>
      <c r="C2069" s="1" t="s">
        <v>3182</v>
      </c>
      <c r="D2069" s="3">
        <v>11.87</v>
      </c>
      <c r="E2069" s="4">
        <v>0</v>
      </c>
      <c r="F2069" s="4" t="s">
        <v>3178</v>
      </c>
      <c r="G2069" s="4" t="s">
        <v>3178</v>
      </c>
      <c r="H2069" s="3">
        <v>0</v>
      </c>
      <c r="I2069" s="5">
        <v>1848.416698</v>
      </c>
      <c r="J2069" s="6">
        <v>0</v>
      </c>
      <c r="K2069" s="4" t="s">
        <v>3178</v>
      </c>
      <c r="L2069" s="7">
        <v>1.559183162746276</v>
      </c>
      <c r="M2069" s="3">
        <v>23.57</v>
      </c>
      <c r="N2069" s="3">
        <v>11.85</v>
      </c>
    </row>
    <row r="2070" spans="1:14">
      <c r="A2070" s="8" t="s">
        <v>2082</v>
      </c>
      <c r="B2070" s="2">
        <f>HYPERLINK("https://www.suredividend.com/sure-analysis-research-database/","Oceaneering International, Inc.")</f>
        <v>0</v>
      </c>
      <c r="C2070" s="1" t="s">
        <v>3185</v>
      </c>
      <c r="D2070" s="3">
        <v>20.86</v>
      </c>
      <c r="E2070" s="4">
        <v>0</v>
      </c>
      <c r="F2070" s="4" t="s">
        <v>3178</v>
      </c>
      <c r="G2070" s="4" t="s">
        <v>3178</v>
      </c>
      <c r="H2070" s="3">
        <v>0</v>
      </c>
      <c r="I2070" s="5">
        <v>2114.979317</v>
      </c>
      <c r="J2070" s="6">
        <v>19.49685020870591</v>
      </c>
      <c r="K2070" s="4">
        <v>0</v>
      </c>
      <c r="L2070" s="7">
        <v>0.9660843260660951</v>
      </c>
      <c r="M2070" s="3">
        <v>27.46</v>
      </c>
      <c r="N2070" s="3">
        <v>16.8</v>
      </c>
    </row>
    <row r="2071" spans="1:14">
      <c r="A2071" s="8" t="s">
        <v>2083</v>
      </c>
      <c r="B2071" s="2">
        <f>HYPERLINK("https://www.suredividend.com/sure-analysis-research-database/","Oil States International, Inc.")</f>
        <v>0</v>
      </c>
      <c r="C2071" s="1" t="s">
        <v>3185</v>
      </c>
      <c r="D2071" s="3">
        <v>4.05</v>
      </c>
      <c r="E2071" s="4">
        <v>0</v>
      </c>
      <c r="F2071" s="4" t="s">
        <v>3178</v>
      </c>
      <c r="G2071" s="4" t="s">
        <v>3178</v>
      </c>
      <c r="H2071" s="3">
        <v>0</v>
      </c>
      <c r="I2071" s="5">
        <v>260.071576</v>
      </c>
      <c r="J2071" s="6" t="s">
        <v>3178</v>
      </c>
      <c r="K2071" s="4">
        <v>-0</v>
      </c>
      <c r="L2071" s="7">
        <v>0.820844723796412</v>
      </c>
      <c r="M2071" s="3">
        <v>9.02</v>
      </c>
      <c r="N2071" s="3">
        <v>3.95</v>
      </c>
    </row>
    <row r="2072" spans="1:14">
      <c r="A2072" s="8" t="s">
        <v>2084</v>
      </c>
      <c r="B2072" s="2">
        <f>HYPERLINK("https://www.suredividend.com/sure-analysis-OKE/","Oneok Inc.")</f>
        <v>0</v>
      </c>
      <c r="C2072" s="1" t="s">
        <v>3185</v>
      </c>
      <c r="D2072" s="3">
        <v>78.65000000000001</v>
      </c>
      <c r="E2072" s="4">
        <v>0.05034965034965035</v>
      </c>
      <c r="F2072" s="4">
        <v>0.03664921465968574</v>
      </c>
      <c r="G2072" s="4">
        <v>0.02152508917036067</v>
      </c>
      <c r="H2072" s="3">
        <v>3.814681794994697</v>
      </c>
      <c r="I2072" s="5">
        <v>45903.829393</v>
      </c>
      <c r="J2072" s="6">
        <v>20.41985293276246</v>
      </c>
      <c r="K2072" s="4">
        <v>0.880988867204318</v>
      </c>
      <c r="L2072" s="7">
        <v>0.6505631876489241</v>
      </c>
      <c r="M2072" s="3">
        <v>83.31</v>
      </c>
      <c r="N2072" s="3">
        <v>54.28</v>
      </c>
    </row>
    <row r="2073" spans="1:14">
      <c r="A2073" s="8" t="s">
        <v>2085</v>
      </c>
      <c r="B2073" s="2">
        <f>HYPERLINK("https://www.suredividend.com/sure-analysis-research-database/","Okta Inc")</f>
        <v>0</v>
      </c>
      <c r="C2073" s="1" t="s">
        <v>3181</v>
      </c>
      <c r="D2073" s="3">
        <v>87.42</v>
      </c>
      <c r="E2073" s="4">
        <v>0</v>
      </c>
      <c r="F2073" s="4" t="s">
        <v>3178</v>
      </c>
      <c r="G2073" s="4" t="s">
        <v>3178</v>
      </c>
      <c r="H2073" s="3">
        <v>0</v>
      </c>
      <c r="I2073" s="5">
        <v>14070.271817</v>
      </c>
      <c r="J2073" s="6" t="s">
        <v>3178</v>
      </c>
      <c r="K2073" s="4">
        <v>-0</v>
      </c>
      <c r="L2073" s="7">
        <v>1.801081476336629</v>
      </c>
      <c r="M2073" s="3">
        <v>114.5</v>
      </c>
      <c r="N2073" s="3">
        <v>65.04000000000001</v>
      </c>
    </row>
    <row r="2074" spans="1:14">
      <c r="A2074" s="8" t="s">
        <v>2086</v>
      </c>
      <c r="B2074" s="2">
        <f>HYPERLINK("https://www.suredividend.com/sure-analysis-research-database/","Universal Display Corp.")</f>
        <v>0</v>
      </c>
      <c r="C2074" s="1" t="s">
        <v>3181</v>
      </c>
      <c r="D2074" s="3">
        <v>183.03</v>
      </c>
      <c r="E2074" s="4">
        <v>0.007871170929739001</v>
      </c>
      <c r="F2074" s="4">
        <v>0.1428571428571428</v>
      </c>
      <c r="G2074" s="4">
        <v>0.3195079107728942</v>
      </c>
      <c r="H2074" s="3">
        <v>1.440660415270203</v>
      </c>
      <c r="I2074" s="5">
        <v>8682.849489</v>
      </c>
      <c r="J2074" s="6">
        <v>39.63975040923285</v>
      </c>
      <c r="K2074" s="4">
        <v>0.3131870467978702</v>
      </c>
      <c r="L2074" s="7">
        <v>1.57359257933561</v>
      </c>
      <c r="M2074" s="3">
        <v>193.88</v>
      </c>
      <c r="N2074" s="3">
        <v>132.5</v>
      </c>
    </row>
    <row r="2075" spans="1:14">
      <c r="A2075" s="8" t="s">
        <v>2087</v>
      </c>
      <c r="B2075" s="2">
        <f>HYPERLINK("https://www.suredividend.com/sure-analysis-research-database/","Ollies Bargain Outlet Holdings Inc")</f>
        <v>0</v>
      </c>
      <c r="C2075" s="1" t="s">
        <v>3184</v>
      </c>
      <c r="D2075" s="3">
        <v>83.51000000000001</v>
      </c>
      <c r="E2075" s="4">
        <v>0</v>
      </c>
      <c r="F2075" s="4" t="s">
        <v>3178</v>
      </c>
      <c r="G2075" s="4" t="s">
        <v>3178</v>
      </c>
      <c r="H2075" s="3">
        <v>0</v>
      </c>
      <c r="I2075" s="5">
        <v>5111.371183</v>
      </c>
      <c r="J2075" s="6">
        <v>25.97228257458041</v>
      </c>
      <c r="K2075" s="4">
        <v>0</v>
      </c>
      <c r="L2075" s="7">
        <v>0.6692543560096961</v>
      </c>
      <c r="M2075" s="3">
        <v>91.08</v>
      </c>
      <c r="N2075" s="3">
        <v>57.31</v>
      </c>
    </row>
    <row r="2076" spans="1:14">
      <c r="A2076" s="8" t="s">
        <v>2088</v>
      </c>
      <c r="B2076" s="2">
        <f>HYPERLINK("https://www.suredividend.com/sure-analysis-research-database/","Olin Corp.")</f>
        <v>0</v>
      </c>
      <c r="C2076" s="1" t="s">
        <v>3177</v>
      </c>
      <c r="D2076" s="3">
        <v>50.07</v>
      </c>
      <c r="E2076" s="4">
        <v>0.015887794501742</v>
      </c>
      <c r="F2076" s="4">
        <v>0</v>
      </c>
      <c r="G2076" s="4">
        <v>0</v>
      </c>
      <c r="H2076" s="3">
        <v>0.7955018707022261</v>
      </c>
      <c r="I2076" s="5">
        <v>5979.410772</v>
      </c>
      <c r="J2076" s="6">
        <v>16.85290521933484</v>
      </c>
      <c r="K2076" s="4">
        <v>0.282092861951144</v>
      </c>
      <c r="L2076" s="7">
        <v>1.104878519297573</v>
      </c>
      <c r="M2076" s="3">
        <v>60.38</v>
      </c>
      <c r="N2076" s="3">
        <v>41.22</v>
      </c>
    </row>
    <row r="2077" spans="1:14">
      <c r="A2077" s="8" t="s">
        <v>2089</v>
      </c>
      <c r="B2077" s="2">
        <f>HYPERLINK("https://www.suredividend.com/sure-analysis-OLP/","One Liberty Properties, Inc.")</f>
        <v>0</v>
      </c>
      <c r="C2077" s="1" t="s">
        <v>3183</v>
      </c>
      <c r="D2077" s="3">
        <v>23.48</v>
      </c>
      <c r="E2077" s="4">
        <v>0.07666098807495741</v>
      </c>
      <c r="F2077" s="4">
        <v>0</v>
      </c>
      <c r="G2077" s="4">
        <v>0</v>
      </c>
      <c r="H2077" s="3">
        <v>1.745409385351537</v>
      </c>
      <c r="I2077" s="5">
        <v>494.622425</v>
      </c>
      <c r="J2077" s="6">
        <v>17.60598080301844</v>
      </c>
      <c r="K2077" s="4">
        <v>1.274021449161706</v>
      </c>
      <c r="L2077" s="7">
        <v>0.8815579830610111</v>
      </c>
      <c r="M2077" s="3">
        <v>24.3</v>
      </c>
      <c r="N2077" s="3">
        <v>16.86</v>
      </c>
    </row>
    <row r="2078" spans="1:14">
      <c r="A2078" s="8" t="s">
        <v>2090</v>
      </c>
      <c r="B2078" s="2">
        <f>HYPERLINK("https://www.suredividend.com/sure-analysis-OMC/","Omnicom Group, Inc.")</f>
        <v>0</v>
      </c>
      <c r="C2078" s="1" t="s">
        <v>3187</v>
      </c>
      <c r="D2078" s="3">
        <v>91.09</v>
      </c>
      <c r="E2078" s="4">
        <v>0.03073882972883961</v>
      </c>
      <c r="F2078" s="4">
        <v>0</v>
      </c>
      <c r="G2078" s="4">
        <v>0.01493197894539389</v>
      </c>
      <c r="H2078" s="3">
        <v>2.083760239199441</v>
      </c>
      <c r="I2078" s="5">
        <v>17838.489091</v>
      </c>
      <c r="J2078" s="6">
        <v>12.03270765017875</v>
      </c>
      <c r="K2078" s="4">
        <v>0.281589221513438</v>
      </c>
      <c r="L2078" s="7">
        <v>0.7281170088834741</v>
      </c>
      <c r="M2078" s="3">
        <v>98.06</v>
      </c>
      <c r="N2078" s="3">
        <v>71.06999999999999</v>
      </c>
    </row>
    <row r="2079" spans="1:14">
      <c r="A2079" s="8" t="s">
        <v>2091</v>
      </c>
      <c r="B2079" s="2">
        <f>HYPERLINK("https://www.suredividend.com/sure-analysis-research-database/","Omnicell, Inc.")</f>
        <v>0</v>
      </c>
      <c r="C2079" s="1" t="s">
        <v>3176</v>
      </c>
      <c r="D2079" s="3">
        <v>29.72</v>
      </c>
      <c r="E2079" s="4">
        <v>0</v>
      </c>
      <c r="F2079" s="4" t="s">
        <v>3178</v>
      </c>
      <c r="G2079" s="4" t="s">
        <v>3178</v>
      </c>
      <c r="H2079" s="3">
        <v>0</v>
      </c>
      <c r="I2079" s="5">
        <v>1364.846182</v>
      </c>
      <c r="J2079" s="6" t="s">
        <v>3178</v>
      </c>
      <c r="K2079" s="4">
        <v>-0</v>
      </c>
      <c r="L2079" s="7">
        <v>0.919395281864082</v>
      </c>
      <c r="M2079" s="3">
        <v>75.06999999999999</v>
      </c>
      <c r="N2079" s="3">
        <v>25.69</v>
      </c>
    </row>
    <row r="2080" spans="1:14">
      <c r="A2080" s="8" t="s">
        <v>2092</v>
      </c>
      <c r="B2080" s="2">
        <f>HYPERLINK("https://www.suredividend.com/sure-analysis-research-database/","OptMed Inc")</f>
        <v>0</v>
      </c>
      <c r="C2080" s="1" t="s">
        <v>3178</v>
      </c>
      <c r="D2080" s="3">
        <v>0.89</v>
      </c>
      <c r="E2080" s="4">
        <v>0</v>
      </c>
      <c r="F2080" s="4" t="s">
        <v>3178</v>
      </c>
      <c r="G2080" s="4" t="s">
        <v>3178</v>
      </c>
      <c r="H2080" s="3">
        <v>0</v>
      </c>
      <c r="I2080" s="5">
        <v>0</v>
      </c>
      <c r="J2080" s="6">
        <v>0</v>
      </c>
      <c r="K2080" s="4" t="s">
        <v>3178</v>
      </c>
    </row>
    <row r="2081" spans="1:14">
      <c r="A2081" s="8" t="s">
        <v>2093</v>
      </c>
      <c r="B2081" s="2">
        <f>HYPERLINK("https://www.suredividend.com/sure-analysis-research-database/","Omeros Corporation")</f>
        <v>0</v>
      </c>
      <c r="C2081" s="1" t="s">
        <v>3176</v>
      </c>
      <c r="D2081" s="3">
        <v>3.86</v>
      </c>
      <c r="E2081" s="4">
        <v>0</v>
      </c>
      <c r="F2081" s="4" t="s">
        <v>3178</v>
      </c>
      <c r="G2081" s="4" t="s">
        <v>3178</v>
      </c>
      <c r="H2081" s="3">
        <v>0</v>
      </c>
      <c r="I2081" s="5">
        <v>223.664454</v>
      </c>
      <c r="J2081" s="6" t="s">
        <v>3178</v>
      </c>
      <c r="K2081" s="4">
        <v>-0</v>
      </c>
      <c r="L2081" s="7">
        <v>2.250732377107805</v>
      </c>
      <c r="M2081" s="3">
        <v>7.59</v>
      </c>
      <c r="N2081" s="3">
        <v>0.92</v>
      </c>
    </row>
    <row r="2082" spans="1:14">
      <c r="A2082" s="8" t="s">
        <v>2094</v>
      </c>
      <c r="B2082" s="2">
        <f>HYPERLINK("https://www.suredividend.com/sure-analysis-research-database/","Odyssey Marine Exploration, Inc.")</f>
        <v>0</v>
      </c>
      <c r="C2082" s="1" t="s">
        <v>3179</v>
      </c>
      <c r="D2082" s="3">
        <v>5.06</v>
      </c>
      <c r="E2082" s="4">
        <v>0</v>
      </c>
      <c r="F2082" s="4" t="s">
        <v>3178</v>
      </c>
      <c r="G2082" s="4" t="s">
        <v>3178</v>
      </c>
      <c r="H2082" s="3">
        <v>0</v>
      </c>
      <c r="I2082" s="5">
        <v>103.381498</v>
      </c>
      <c r="J2082" s="6">
        <v>19.33875755239749</v>
      </c>
      <c r="K2082" s="4">
        <v>0</v>
      </c>
      <c r="L2082" s="7">
        <v>0.008215534672236001</v>
      </c>
      <c r="M2082" s="3">
        <v>5.19</v>
      </c>
      <c r="N2082" s="3">
        <v>2.85</v>
      </c>
    </row>
    <row r="2083" spans="1:14">
      <c r="A2083" s="8" t="s">
        <v>2095</v>
      </c>
      <c r="B2083" s="2">
        <f>HYPERLINK("https://www.suredividend.com/sure-analysis-OMF/","OneMain Holdings Inc")</f>
        <v>0</v>
      </c>
      <c r="C2083" s="1" t="s">
        <v>3180</v>
      </c>
      <c r="D2083" s="3">
        <v>49.07</v>
      </c>
      <c r="E2083" s="4">
        <v>0.08477684939881802</v>
      </c>
      <c r="F2083" s="4">
        <v>0.04000000000000004</v>
      </c>
      <c r="G2083" s="4">
        <v>0.2580673164459764</v>
      </c>
      <c r="H2083" s="3">
        <v>3.913374863756702</v>
      </c>
      <c r="I2083" s="5">
        <v>5879.012664</v>
      </c>
      <c r="J2083" s="6">
        <v>9.528383571555915</v>
      </c>
      <c r="K2083" s="4">
        <v>0.7643310280774808</v>
      </c>
      <c r="L2083" s="7">
        <v>1.092515689217466</v>
      </c>
      <c r="M2083" s="3">
        <v>52.57</v>
      </c>
      <c r="N2083" s="3">
        <v>32.7</v>
      </c>
    </row>
    <row r="2084" spans="1:14">
      <c r="A2084" s="8" t="s">
        <v>2096</v>
      </c>
      <c r="B2084" s="2">
        <f>HYPERLINK("https://www.suredividend.com/sure-analysis-research-database/","Owens &amp; Minor, Inc.")</f>
        <v>0</v>
      </c>
      <c r="C2084" s="1" t="s">
        <v>3176</v>
      </c>
      <c r="D2084" s="3">
        <v>17.36</v>
      </c>
      <c r="E2084" s="4">
        <v>0</v>
      </c>
      <c r="F2084" s="4" t="s">
        <v>3178</v>
      </c>
      <c r="G2084" s="4" t="s">
        <v>3178</v>
      </c>
      <c r="H2084" s="3">
        <v>0</v>
      </c>
      <c r="I2084" s="5">
        <v>1328.02764</v>
      </c>
      <c r="J2084" s="6" t="s">
        <v>3178</v>
      </c>
      <c r="K2084" s="4">
        <v>-0</v>
      </c>
      <c r="L2084" s="7">
        <v>1.37623786377597</v>
      </c>
      <c r="M2084" s="3">
        <v>28.35</v>
      </c>
      <c r="N2084" s="3">
        <v>13.64</v>
      </c>
    </row>
    <row r="2085" spans="1:14">
      <c r="A2085" s="8" t="s">
        <v>2097</v>
      </c>
      <c r="B2085" s="2">
        <f>HYPERLINK("https://www.suredividend.com/sure-analysis-research-database/","ON Semiconductor Corp.")</f>
        <v>0</v>
      </c>
      <c r="C2085" s="1" t="s">
        <v>3181</v>
      </c>
      <c r="D2085" s="3">
        <v>72.31</v>
      </c>
      <c r="E2085" s="4">
        <v>0</v>
      </c>
      <c r="F2085" s="4" t="s">
        <v>3178</v>
      </c>
      <c r="G2085" s="4" t="s">
        <v>3178</v>
      </c>
      <c r="H2085" s="3">
        <v>0</v>
      </c>
      <c r="I2085" s="5">
        <v>31110.067894</v>
      </c>
      <c r="J2085" s="6">
        <v>14.30347949130575</v>
      </c>
      <c r="K2085" s="4">
        <v>0</v>
      </c>
      <c r="L2085" s="7">
        <v>1.817057282579945</v>
      </c>
      <c r="M2085" s="3">
        <v>111.35</v>
      </c>
      <c r="N2085" s="3">
        <v>59.34</v>
      </c>
    </row>
    <row r="2086" spans="1:14">
      <c r="A2086" s="8" t="s">
        <v>2098</v>
      </c>
      <c r="B2086" s="2">
        <f>HYPERLINK("https://www.suredividend.com/sure-analysis-research-database/","Old National Bancorp")</f>
        <v>0</v>
      </c>
      <c r="C2086" s="1" t="s">
        <v>3180</v>
      </c>
      <c r="D2086" s="3">
        <v>16.3</v>
      </c>
      <c r="E2086" s="4">
        <v>0.033768724337516</v>
      </c>
      <c r="F2086" s="4">
        <v>0</v>
      </c>
      <c r="G2086" s="4">
        <v>0.01493197894539389</v>
      </c>
      <c r="H2086" s="3">
        <v>0.5504302067015191</v>
      </c>
      <c r="I2086" s="5">
        <v>5199.2273</v>
      </c>
      <c r="J2086" s="6">
        <v>9.636389634893364</v>
      </c>
      <c r="K2086" s="4">
        <v>0.2975298414602806</v>
      </c>
      <c r="L2086" s="7">
        <v>1.071785746986846</v>
      </c>
      <c r="M2086" s="3">
        <v>17.67</v>
      </c>
      <c r="N2086" s="3">
        <v>11.93</v>
      </c>
    </row>
    <row r="2087" spans="1:14">
      <c r="A2087" s="8" t="s">
        <v>2099</v>
      </c>
      <c r="B2087" s="2">
        <f>HYPERLINK("https://www.suredividend.com/sure-analysis-research-database/","OncoSec Medical Inc")</f>
        <v>0</v>
      </c>
      <c r="C2087" s="1" t="s">
        <v>3176</v>
      </c>
      <c r="D2087" s="3">
        <v>0.2772</v>
      </c>
      <c r="E2087" s="4">
        <v>0</v>
      </c>
      <c r="F2087" s="4" t="s">
        <v>3178</v>
      </c>
      <c r="G2087" s="4" t="s">
        <v>3178</v>
      </c>
      <c r="H2087" s="3">
        <v>0</v>
      </c>
      <c r="I2087" s="5">
        <v>0</v>
      </c>
      <c r="J2087" s="6">
        <v>0</v>
      </c>
      <c r="K2087" s="4" t="s">
        <v>3178</v>
      </c>
    </row>
    <row r="2088" spans="1:14">
      <c r="A2088" s="8" t="s">
        <v>2100</v>
      </c>
      <c r="B2088" s="2">
        <f>HYPERLINK("https://www.suredividend.com/sure-analysis-research-database/","Oncternal Therapeutics Inc")</f>
        <v>0</v>
      </c>
      <c r="C2088" s="1" t="s">
        <v>3176</v>
      </c>
      <c r="D2088" s="3">
        <v>8.199999999999999</v>
      </c>
      <c r="E2088" s="4">
        <v>0</v>
      </c>
      <c r="F2088" s="4" t="s">
        <v>3178</v>
      </c>
      <c r="G2088" s="4" t="s">
        <v>3178</v>
      </c>
      <c r="H2088" s="3">
        <v>0</v>
      </c>
      <c r="I2088" s="5">
        <v>24.269089</v>
      </c>
      <c r="J2088" s="6" t="s">
        <v>3178</v>
      </c>
      <c r="K2088" s="4">
        <v>-0</v>
      </c>
      <c r="M2088" s="3">
        <v>13.14</v>
      </c>
      <c r="N2088" s="3">
        <v>5.57</v>
      </c>
    </row>
    <row r="2089" spans="1:14">
      <c r="A2089" s="8" t="s">
        <v>2101</v>
      </c>
      <c r="B2089" s="2">
        <f>HYPERLINK("https://www.suredividend.com/sure-analysis-research-database/","Onconova Therapeutics Inc")</f>
        <v>0</v>
      </c>
      <c r="C2089" s="1" t="s">
        <v>3176</v>
      </c>
      <c r="D2089" s="3">
        <v>0.9953000000000001</v>
      </c>
      <c r="E2089" s="4">
        <v>0</v>
      </c>
      <c r="F2089" s="4" t="s">
        <v>3178</v>
      </c>
      <c r="G2089" s="4" t="s">
        <v>3178</v>
      </c>
      <c r="H2089" s="3">
        <v>0</v>
      </c>
      <c r="I2089" s="5">
        <v>20.904693</v>
      </c>
      <c r="J2089" s="6">
        <v>0</v>
      </c>
      <c r="K2089" s="4" t="s">
        <v>3178</v>
      </c>
      <c r="L2089" s="7">
        <v>0.9000123384147771</v>
      </c>
      <c r="M2089" s="3">
        <v>1.45</v>
      </c>
      <c r="N2089" s="3">
        <v>0.5509000000000001</v>
      </c>
    </row>
    <row r="2090" spans="1:14">
      <c r="A2090" s="8" t="s">
        <v>2102</v>
      </c>
      <c r="B2090" s="2">
        <f>HYPERLINK("https://www.suredividend.com/sure-analysis-research-database/","Organovo Holdings Inc")</f>
        <v>0</v>
      </c>
      <c r="C2090" s="1" t="s">
        <v>3176</v>
      </c>
      <c r="D2090" s="3">
        <v>0.9602000000000001</v>
      </c>
      <c r="E2090" s="4">
        <v>0</v>
      </c>
      <c r="F2090" s="4" t="s">
        <v>3178</v>
      </c>
      <c r="G2090" s="4" t="s">
        <v>3178</v>
      </c>
      <c r="H2090" s="3">
        <v>0</v>
      </c>
      <c r="I2090" s="5">
        <v>13.799827</v>
      </c>
      <c r="J2090" s="6">
        <v>0</v>
      </c>
      <c r="K2090" s="4" t="s">
        <v>3178</v>
      </c>
      <c r="L2090" s="7">
        <v>0.5800155324241031</v>
      </c>
      <c r="M2090" s="3">
        <v>2.05</v>
      </c>
      <c r="N2090" s="3">
        <v>0.85</v>
      </c>
    </row>
    <row r="2091" spans="1:14">
      <c r="A2091" s="8" t="s">
        <v>2103</v>
      </c>
      <c r="B2091" s="2">
        <f>HYPERLINK("https://www.suredividend.com/sure-analysis-research-database/","Ooma Inc")</f>
        <v>0</v>
      </c>
      <c r="C2091" s="1" t="s">
        <v>3187</v>
      </c>
      <c r="D2091" s="3">
        <v>8.630000000000001</v>
      </c>
      <c r="E2091" s="4">
        <v>0</v>
      </c>
      <c r="F2091" s="4" t="s">
        <v>3178</v>
      </c>
      <c r="G2091" s="4" t="s">
        <v>3178</v>
      </c>
      <c r="H2091" s="3">
        <v>0</v>
      </c>
      <c r="I2091" s="5">
        <v>228.007983</v>
      </c>
      <c r="J2091" s="6" t="s">
        <v>3178</v>
      </c>
      <c r="K2091" s="4">
        <v>-0</v>
      </c>
      <c r="L2091" s="7">
        <v>0.7240340827188491</v>
      </c>
      <c r="M2091" s="3">
        <v>15.66</v>
      </c>
      <c r="N2091" s="3">
        <v>6.5</v>
      </c>
    </row>
    <row r="2092" spans="1:14">
      <c r="A2092" s="8" t="s">
        <v>2104</v>
      </c>
      <c r="B2092" s="2">
        <f>HYPERLINK("https://www.suredividend.com/sure-analysis-research-database/","Opgen Inc")</f>
        <v>0</v>
      </c>
      <c r="C2092" s="1" t="s">
        <v>3176</v>
      </c>
      <c r="D2092" s="3">
        <v>2.6399</v>
      </c>
      <c r="E2092" s="4">
        <v>0</v>
      </c>
      <c r="F2092" s="4" t="s">
        <v>3178</v>
      </c>
      <c r="G2092" s="4" t="s">
        <v>3178</v>
      </c>
      <c r="H2092" s="3">
        <v>0</v>
      </c>
      <c r="I2092" s="5">
        <v>3.547337</v>
      </c>
      <c r="J2092" s="6" t="s">
        <v>3178</v>
      </c>
      <c r="K2092" s="4">
        <v>-0</v>
      </c>
      <c r="L2092" s="7">
        <v>0.101842312681408</v>
      </c>
      <c r="M2092" s="3">
        <v>38.4</v>
      </c>
      <c r="N2092" s="3">
        <v>1.65</v>
      </c>
    </row>
    <row r="2093" spans="1:14">
      <c r="A2093" s="8" t="s">
        <v>2105</v>
      </c>
      <c r="B2093" s="2">
        <f>HYPERLINK("https://www.suredividend.com/sure-analysis-research-database/","Office Properties Income Trust")</f>
        <v>0</v>
      </c>
      <c r="C2093" s="1" t="s">
        <v>3183</v>
      </c>
      <c r="D2093" s="3">
        <v>2.17</v>
      </c>
      <c r="E2093" s="4">
        <v>0.224455037597926</v>
      </c>
      <c r="F2093" s="4">
        <v>-0.96</v>
      </c>
      <c r="G2093" s="4">
        <v>-0.5513295553650404</v>
      </c>
      <c r="H2093" s="3">
        <v>0.4870674315875</v>
      </c>
      <c r="I2093" s="5">
        <v>105.787374</v>
      </c>
      <c r="J2093" s="6" t="s">
        <v>3178</v>
      </c>
      <c r="K2093" s="4" t="s">
        <v>3178</v>
      </c>
      <c r="L2093" s="7">
        <v>2.476067923643472</v>
      </c>
      <c r="M2093" s="3">
        <v>7.42</v>
      </c>
      <c r="N2093" s="3">
        <v>1.79</v>
      </c>
    </row>
    <row r="2094" spans="1:14">
      <c r="A2094" s="8" t="s">
        <v>2106</v>
      </c>
      <c r="B2094" s="2">
        <f>HYPERLINK("https://www.suredividend.com/sure-analysis-research-database/","Opko Health Inc")</f>
        <v>0</v>
      </c>
      <c r="C2094" s="1" t="s">
        <v>3176</v>
      </c>
      <c r="D2094" s="3">
        <v>1.29</v>
      </c>
      <c r="E2094" s="4">
        <v>0</v>
      </c>
      <c r="F2094" s="4" t="s">
        <v>3178</v>
      </c>
      <c r="G2094" s="4" t="s">
        <v>3178</v>
      </c>
      <c r="H2094" s="3">
        <v>0</v>
      </c>
      <c r="I2094" s="5">
        <v>899.119263</v>
      </c>
      <c r="J2094" s="6" t="s">
        <v>3178</v>
      </c>
      <c r="K2094" s="4">
        <v>-0</v>
      </c>
      <c r="L2094" s="7">
        <v>1.299494841544713</v>
      </c>
      <c r="M2094" s="3">
        <v>2.24</v>
      </c>
      <c r="N2094" s="3">
        <v>0.8516</v>
      </c>
    </row>
    <row r="2095" spans="1:14">
      <c r="A2095" s="8" t="s">
        <v>2107</v>
      </c>
      <c r="B2095" s="2">
        <f>HYPERLINK("https://www.suredividend.com/sure-analysis-research-database/","Old Point Financial Corp.")</f>
        <v>0</v>
      </c>
      <c r="C2095" s="1" t="s">
        <v>3180</v>
      </c>
      <c r="D2095" s="3">
        <v>15.29</v>
      </c>
      <c r="E2095" s="4">
        <v>0.036002555532404</v>
      </c>
      <c r="F2095" s="4">
        <v>0</v>
      </c>
      <c r="G2095" s="4">
        <v>0.03131030647754507</v>
      </c>
      <c r="H2095" s="3">
        <v>0.550479074090467</v>
      </c>
      <c r="I2095" s="5">
        <v>77.605863</v>
      </c>
      <c r="J2095" s="6">
        <v>12.19451018856065</v>
      </c>
      <c r="K2095" s="4">
        <v>0.4368881540400532</v>
      </c>
      <c r="M2095" s="3">
        <v>21.27</v>
      </c>
      <c r="N2095" s="3">
        <v>13.36</v>
      </c>
    </row>
    <row r="2096" spans="1:14">
      <c r="A2096" s="8" t="s">
        <v>2108</v>
      </c>
      <c r="B2096" s="2">
        <f>HYPERLINK("https://www.suredividend.com/sure-analysis-research-database/","OptimizeRx Corp")</f>
        <v>0</v>
      </c>
      <c r="C2096" s="1" t="s">
        <v>3176</v>
      </c>
      <c r="D2096" s="3">
        <v>11.12</v>
      </c>
      <c r="E2096" s="4">
        <v>0</v>
      </c>
      <c r="F2096" s="4" t="s">
        <v>3178</v>
      </c>
      <c r="G2096" s="4" t="s">
        <v>3178</v>
      </c>
      <c r="H2096" s="3">
        <v>0</v>
      </c>
      <c r="I2096" s="5">
        <v>203.160432</v>
      </c>
      <c r="J2096" s="6" t="s">
        <v>3178</v>
      </c>
      <c r="K2096" s="4">
        <v>-0</v>
      </c>
      <c r="L2096" s="7">
        <v>1.732262073609737</v>
      </c>
      <c r="M2096" s="3">
        <v>16.65</v>
      </c>
      <c r="N2096" s="3">
        <v>6.92</v>
      </c>
    </row>
    <row r="2097" spans="1:14">
      <c r="A2097" s="8" t="s">
        <v>2109</v>
      </c>
      <c r="B2097" s="2">
        <f>HYPERLINK("https://www.suredividend.com/sure-analysis-research-database/","OptiNose Inc")</f>
        <v>0</v>
      </c>
      <c r="C2097" s="1" t="s">
        <v>3176</v>
      </c>
      <c r="D2097" s="3">
        <v>1.06</v>
      </c>
      <c r="E2097" s="4">
        <v>0</v>
      </c>
      <c r="F2097" s="4" t="s">
        <v>3178</v>
      </c>
      <c r="G2097" s="4" t="s">
        <v>3178</v>
      </c>
      <c r="H2097" s="3">
        <v>0</v>
      </c>
      <c r="I2097" s="5">
        <v>119.82105</v>
      </c>
      <c r="J2097" s="6" t="s">
        <v>3178</v>
      </c>
      <c r="K2097" s="4">
        <v>-0</v>
      </c>
      <c r="L2097" s="7">
        <v>1.285705164822274</v>
      </c>
      <c r="M2097" s="3">
        <v>2.1</v>
      </c>
      <c r="N2097" s="3">
        <v>0.8</v>
      </c>
    </row>
    <row r="2098" spans="1:14">
      <c r="A2098" s="8" t="s">
        <v>2110</v>
      </c>
      <c r="B2098" s="2">
        <f>HYPERLINK("https://www.suredividend.com/sure-analysis-research-database/","Ocean Power Technologies")</f>
        <v>0</v>
      </c>
      <c r="C2098" s="1" t="s">
        <v>3179</v>
      </c>
      <c r="D2098" s="3">
        <v>0.153</v>
      </c>
      <c r="E2098" s="4">
        <v>0</v>
      </c>
      <c r="F2098" s="4" t="s">
        <v>3178</v>
      </c>
      <c r="G2098" s="4" t="s">
        <v>3178</v>
      </c>
      <c r="H2098" s="3">
        <v>0</v>
      </c>
      <c r="I2098" s="5">
        <v>9.097927</v>
      </c>
      <c r="J2098" s="6">
        <v>0</v>
      </c>
      <c r="K2098" s="4" t="s">
        <v>3178</v>
      </c>
      <c r="L2098" s="7">
        <v>1.004026266198728</v>
      </c>
      <c r="M2098" s="3">
        <v>0.769</v>
      </c>
      <c r="N2098" s="3">
        <v>0.15</v>
      </c>
    </row>
    <row r="2099" spans="1:14">
      <c r="A2099" s="8" t="s">
        <v>2111</v>
      </c>
      <c r="B2099" s="2">
        <f>HYPERLINK("https://www.suredividend.com/sure-analysis-research-database/","Oppenheimer Holdings Inc")</f>
        <v>0</v>
      </c>
      <c r="C2099" s="1" t="s">
        <v>3180</v>
      </c>
      <c r="D2099" s="3">
        <v>46.5</v>
      </c>
      <c r="E2099" s="4">
        <v>0.012831087293324</v>
      </c>
      <c r="F2099" s="4">
        <v>0</v>
      </c>
      <c r="G2099" s="4">
        <v>0.04563955259127317</v>
      </c>
      <c r="H2099" s="3">
        <v>0.596645559139607</v>
      </c>
      <c r="I2099" s="5">
        <v>475.662218</v>
      </c>
      <c r="J2099" s="6">
        <v>11.42979184688581</v>
      </c>
      <c r="K2099" s="4">
        <v>0.1634645367505773</v>
      </c>
      <c r="L2099" s="7">
        <v>0.890906383977852</v>
      </c>
      <c r="M2099" s="3">
        <v>47.16</v>
      </c>
      <c r="N2099" s="3">
        <v>32.45</v>
      </c>
    </row>
    <row r="2100" spans="1:14">
      <c r="A2100" s="8" t="s">
        <v>2112</v>
      </c>
      <c r="B2100" s="2">
        <f>HYPERLINK("https://www.suredividend.com/sure-analysis-research-database/","Ormat Technologies Inc")</f>
        <v>0</v>
      </c>
      <c r="C2100" s="1" t="s">
        <v>3186</v>
      </c>
      <c r="D2100" s="3">
        <v>73.95</v>
      </c>
      <c r="E2100" s="4">
        <v>0.006473825806043</v>
      </c>
      <c r="F2100" s="4">
        <v>0</v>
      </c>
      <c r="G2100" s="4">
        <v>0.01755457717558762</v>
      </c>
      <c r="H2100" s="3">
        <v>0.478739418356888</v>
      </c>
      <c r="I2100" s="5">
        <v>4468.183384</v>
      </c>
      <c r="J2100" s="6">
        <v>35.91816159213499</v>
      </c>
      <c r="K2100" s="4">
        <v>0.23016318190235</v>
      </c>
      <c r="L2100" s="7">
        <v>1.015527437802543</v>
      </c>
      <c r="M2100" s="3">
        <v>86.62</v>
      </c>
      <c r="N2100" s="3">
        <v>58.42</v>
      </c>
    </row>
    <row r="2101" spans="1:14">
      <c r="A2101" s="8" t="s">
        <v>2113</v>
      </c>
      <c r="B2101" s="2">
        <f>HYPERLINK("https://www.suredividend.com/sure-analysis-research-database/","Orbcomm Inc")</f>
        <v>0</v>
      </c>
      <c r="C2101" s="1" t="s">
        <v>3187</v>
      </c>
      <c r="D2101" s="3">
        <v>11.49</v>
      </c>
      <c r="E2101" s="4">
        <v>0</v>
      </c>
      <c r="F2101" s="4" t="s">
        <v>3178</v>
      </c>
      <c r="G2101" s="4" t="s">
        <v>3178</v>
      </c>
      <c r="H2101" s="3">
        <v>0</v>
      </c>
      <c r="I2101" s="5">
        <v>0</v>
      </c>
      <c r="J2101" s="6">
        <v>0</v>
      </c>
      <c r="K2101" s="4">
        <v>-0</v>
      </c>
    </row>
    <row r="2102" spans="1:14">
      <c r="A2102" s="8" t="s">
        <v>2114</v>
      </c>
      <c r="B2102" s="2">
        <f>HYPERLINK("https://www.suredividend.com/sure-analysis-ORC/","Orchid Island Capital Inc")</f>
        <v>0</v>
      </c>
      <c r="C2102" s="1" t="s">
        <v>3183</v>
      </c>
      <c r="D2102" s="3">
        <v>8.4</v>
      </c>
      <c r="E2102" s="4">
        <v>0.1714285714285714</v>
      </c>
      <c r="F2102" s="4">
        <v>0</v>
      </c>
      <c r="G2102" s="4">
        <v>-0.05591248870509802</v>
      </c>
      <c r="H2102" s="3">
        <v>1.467727280885887</v>
      </c>
      <c r="I2102" s="5">
        <v>444.981508</v>
      </c>
      <c r="J2102" s="6" t="s">
        <v>3178</v>
      </c>
      <c r="K2102" s="4" t="s">
        <v>3178</v>
      </c>
      <c r="L2102" s="7">
        <v>1.643042556264221</v>
      </c>
      <c r="M2102" s="3">
        <v>9.51</v>
      </c>
      <c r="N2102" s="3">
        <v>5.31</v>
      </c>
    </row>
    <row r="2103" spans="1:14">
      <c r="A2103" s="8" t="s">
        <v>2115</v>
      </c>
      <c r="B2103" s="2">
        <f>HYPERLINK("https://www.suredividend.com/sure-analysis-ORCL/","Oracle Corp.")</f>
        <v>0</v>
      </c>
      <c r="C2103" s="1" t="s">
        <v>3181</v>
      </c>
      <c r="D2103" s="3">
        <v>125.92</v>
      </c>
      <c r="E2103" s="4">
        <v>0.01270648030495553</v>
      </c>
      <c r="F2103" s="4">
        <v>0</v>
      </c>
      <c r="G2103" s="4">
        <v>0.1075663432482901</v>
      </c>
      <c r="H2103" s="3">
        <v>1.591613976700411</v>
      </c>
      <c r="I2103" s="5">
        <v>346091.12</v>
      </c>
      <c r="J2103" s="6">
        <v>32.52124788573577</v>
      </c>
      <c r="K2103" s="4">
        <v>0.4210618985979923</v>
      </c>
      <c r="L2103" s="7">
        <v>1.379525918842743</v>
      </c>
      <c r="M2103" s="3">
        <v>132.35</v>
      </c>
      <c r="N2103" s="3">
        <v>98.56</v>
      </c>
    </row>
    <row r="2104" spans="1:14">
      <c r="A2104" s="8" t="s">
        <v>2116</v>
      </c>
      <c r="B2104" s="2">
        <f>HYPERLINK("https://www.suredividend.com/sure-analysis-research-database/","Organogenesis Holdings Inc")</f>
        <v>0</v>
      </c>
      <c r="C2104" s="1" t="s">
        <v>3176</v>
      </c>
      <c r="D2104" s="3">
        <v>2.75</v>
      </c>
      <c r="E2104" s="4">
        <v>0</v>
      </c>
      <c r="F2104" s="4" t="s">
        <v>3178</v>
      </c>
      <c r="G2104" s="4" t="s">
        <v>3178</v>
      </c>
      <c r="H2104" s="3">
        <v>0</v>
      </c>
      <c r="I2104" s="5">
        <v>364.574279</v>
      </c>
      <c r="J2104" s="6">
        <v>62.70627429480565</v>
      </c>
      <c r="K2104" s="4">
        <v>0</v>
      </c>
      <c r="L2104" s="7">
        <v>2.045190735112528</v>
      </c>
      <c r="M2104" s="3">
        <v>4.71</v>
      </c>
      <c r="N2104" s="3">
        <v>1.96</v>
      </c>
    </row>
    <row r="2105" spans="1:14">
      <c r="A2105" s="8" t="s">
        <v>2117</v>
      </c>
      <c r="B2105" s="2">
        <f>HYPERLINK("https://www.suredividend.com/sure-analysis-ORI/","Old Republic International Corp.")</f>
        <v>0</v>
      </c>
      <c r="C2105" s="1" t="s">
        <v>3180</v>
      </c>
      <c r="D2105" s="3">
        <v>30.72</v>
      </c>
      <c r="E2105" s="4">
        <v>0.03450520833333334</v>
      </c>
      <c r="F2105" s="4">
        <v>0.08163265306122458</v>
      </c>
      <c r="G2105" s="4">
        <v>0.04762370263962179</v>
      </c>
      <c r="H2105" s="3">
        <v>1.007223292126914</v>
      </c>
      <c r="I2105" s="5">
        <v>8350.712186999999</v>
      </c>
      <c r="J2105" s="6">
        <v>11.66626458072087</v>
      </c>
      <c r="K2105" s="4">
        <v>0.39498952632428</v>
      </c>
      <c r="L2105" s="7">
        <v>0.377044804866443</v>
      </c>
      <c r="M2105" s="3">
        <v>31.99</v>
      </c>
      <c r="N2105" s="3">
        <v>23.34</v>
      </c>
    </row>
    <row r="2106" spans="1:14">
      <c r="A2106" s="8" t="s">
        <v>2118</v>
      </c>
      <c r="B2106" s="2">
        <f>HYPERLINK("https://www.suredividend.com/sure-analysis-research-database/","O`Reilly Automotive, Inc.")</f>
        <v>0</v>
      </c>
      <c r="C2106" s="1" t="s">
        <v>3182</v>
      </c>
      <c r="D2106" s="3">
        <v>978.7</v>
      </c>
      <c r="E2106" s="4">
        <v>0</v>
      </c>
      <c r="F2106" s="4" t="s">
        <v>3178</v>
      </c>
      <c r="G2106" s="4" t="s">
        <v>3178</v>
      </c>
      <c r="H2106" s="3">
        <v>0</v>
      </c>
      <c r="I2106" s="5">
        <v>57639.651755</v>
      </c>
      <c r="J2106" s="6">
        <v>24.24958023874453</v>
      </c>
      <c r="K2106" s="4">
        <v>0</v>
      </c>
      <c r="L2106" s="7">
        <v>0.5202886291272351</v>
      </c>
      <c r="M2106" s="3">
        <v>1169.11</v>
      </c>
      <c r="N2106" s="3">
        <v>860.1</v>
      </c>
    </row>
    <row r="2107" spans="1:14">
      <c r="A2107" s="8" t="s">
        <v>2119</v>
      </c>
      <c r="B2107" s="2">
        <f>HYPERLINK("https://www.suredividend.com/sure-analysis-research-database/","Orion Group Holdings Inc")</f>
        <v>0</v>
      </c>
      <c r="C2107" s="1" t="s">
        <v>3179</v>
      </c>
      <c r="D2107" s="3">
        <v>10.25</v>
      </c>
      <c r="E2107" s="4">
        <v>0</v>
      </c>
      <c r="F2107" s="4" t="s">
        <v>3178</v>
      </c>
      <c r="G2107" s="4" t="s">
        <v>3178</v>
      </c>
      <c r="H2107" s="3">
        <v>0</v>
      </c>
      <c r="I2107" s="5">
        <v>336.771776</v>
      </c>
      <c r="J2107" s="6" t="s">
        <v>3178</v>
      </c>
      <c r="K2107" s="4">
        <v>-0</v>
      </c>
      <c r="L2107" s="7">
        <v>1.118435406051176</v>
      </c>
      <c r="M2107" s="3">
        <v>11</v>
      </c>
      <c r="N2107" s="3">
        <v>2.41</v>
      </c>
    </row>
    <row r="2108" spans="1:14">
      <c r="A2108" s="8" t="s">
        <v>2120</v>
      </c>
      <c r="B2108" s="2">
        <f>HYPERLINK("https://www.suredividend.com/sure-analysis-research-database/","Orrstown Financial Services, Inc.")</f>
        <v>0</v>
      </c>
      <c r="C2108" s="1" t="s">
        <v>3180</v>
      </c>
      <c r="D2108" s="3">
        <v>25.41</v>
      </c>
      <c r="E2108" s="4">
        <v>0.030763811433521</v>
      </c>
      <c r="F2108" s="4" t="s">
        <v>3178</v>
      </c>
      <c r="G2108" s="4" t="s">
        <v>3178</v>
      </c>
      <c r="H2108" s="3">
        <v>0.781708448525787</v>
      </c>
      <c r="I2108" s="5">
        <v>272.412962</v>
      </c>
      <c r="J2108" s="6">
        <v>7.774786277470175</v>
      </c>
      <c r="K2108" s="4">
        <v>0.232651323966008</v>
      </c>
      <c r="L2108" s="7">
        <v>0.9157588479667861</v>
      </c>
      <c r="M2108" s="3">
        <v>28.91</v>
      </c>
      <c r="N2108" s="3">
        <v>16.51</v>
      </c>
    </row>
    <row r="2109" spans="1:14">
      <c r="A2109" s="8" t="s">
        <v>2121</v>
      </c>
      <c r="B2109" s="2">
        <f>HYPERLINK("https://www.suredividend.com/sure-analysis-research-database/","Old Second Bancorporation Inc.")</f>
        <v>0</v>
      </c>
      <c r="C2109" s="1" t="s">
        <v>3180</v>
      </c>
      <c r="D2109" s="3">
        <v>13.89</v>
      </c>
      <c r="E2109" s="4">
        <v>0.014251630443246</v>
      </c>
      <c r="F2109" s="4">
        <v>0</v>
      </c>
      <c r="G2109" s="4">
        <v>0.3797296614612149</v>
      </c>
      <c r="H2109" s="3">
        <v>0.197955146856691</v>
      </c>
      <c r="I2109" s="5">
        <v>622.905787</v>
      </c>
      <c r="J2109" s="6">
        <v>6.964977377842879</v>
      </c>
      <c r="K2109" s="4">
        <v>0.1004848461201477</v>
      </c>
      <c r="L2109" s="7">
        <v>0.753019607861749</v>
      </c>
      <c r="M2109" s="3">
        <v>16.53</v>
      </c>
      <c r="N2109" s="3">
        <v>12.39</v>
      </c>
    </row>
    <row r="2110" spans="1:14">
      <c r="A2110" s="8" t="s">
        <v>2122</v>
      </c>
      <c r="B2110" s="2">
        <f>HYPERLINK("https://www.suredividend.com/sure-analysis-research-database/","Overseas Shipholding Group, Inc.")</f>
        <v>0</v>
      </c>
      <c r="C2110" s="1" t="s">
        <v>3185</v>
      </c>
      <c r="D2110" s="3">
        <v>8.43</v>
      </c>
      <c r="E2110" s="4">
        <v>0.014166045643252</v>
      </c>
      <c r="F2110" s="4" t="s">
        <v>3178</v>
      </c>
      <c r="G2110" s="4" t="s">
        <v>3178</v>
      </c>
      <c r="H2110" s="3">
        <v>0.11941976477262</v>
      </c>
      <c r="I2110" s="5">
        <v>607.221136</v>
      </c>
      <c r="J2110" s="6">
        <v>0</v>
      </c>
      <c r="K2110" s="4" t="s">
        <v>3178</v>
      </c>
      <c r="L2110" s="7">
        <v>0.401060225232952</v>
      </c>
      <c r="M2110" s="3">
        <v>8.460000000000001</v>
      </c>
      <c r="N2110" s="3">
        <v>3.72</v>
      </c>
    </row>
    <row r="2111" spans="1:14">
      <c r="A2111" s="8" t="s">
        <v>2123</v>
      </c>
      <c r="B2111" s="2">
        <f>HYPERLINK("https://www.suredividend.com/sure-analysis-research-database/","OSI Systems, Inc.")</f>
        <v>0</v>
      </c>
      <c r="C2111" s="1" t="s">
        <v>3181</v>
      </c>
      <c r="D2111" s="3">
        <v>138.58</v>
      </c>
      <c r="E2111" s="4">
        <v>0</v>
      </c>
      <c r="F2111" s="4" t="s">
        <v>3178</v>
      </c>
      <c r="G2111" s="4" t="s">
        <v>3178</v>
      </c>
      <c r="H2111" s="3">
        <v>0</v>
      </c>
      <c r="I2111" s="5">
        <v>2362.6094</v>
      </c>
      <c r="J2111" s="6">
        <v>18.77232233918129</v>
      </c>
      <c r="K2111" s="4">
        <v>0</v>
      </c>
      <c r="L2111" s="7">
        <v>0.90746868731865</v>
      </c>
      <c r="M2111" s="3">
        <v>145.25</v>
      </c>
      <c r="N2111" s="3">
        <v>103.04</v>
      </c>
    </row>
    <row r="2112" spans="1:14">
      <c r="A2112" s="8" t="s">
        <v>2124</v>
      </c>
      <c r="B2112" s="2">
        <f>HYPERLINK("https://www.suredividend.com/sure-analysis-OSK/","Oshkosh Corp")</f>
        <v>0</v>
      </c>
      <c r="C2112" s="1" t="s">
        <v>3179</v>
      </c>
      <c r="D2112" s="3">
        <v>109.97</v>
      </c>
      <c r="E2112" s="4">
        <v>0.01673183595526053</v>
      </c>
      <c r="F2112" s="4">
        <v>0.121951219512195</v>
      </c>
      <c r="G2112" s="4">
        <v>0.08924936491294377</v>
      </c>
      <c r="H2112" s="3">
        <v>1.731575805195606</v>
      </c>
      <c r="I2112" s="5">
        <v>7192.160946</v>
      </c>
      <c r="J2112" s="6">
        <v>10.44006524380897</v>
      </c>
      <c r="K2112" s="4">
        <v>0.1657010339900102</v>
      </c>
      <c r="L2112" s="7">
        <v>1.177575589975586</v>
      </c>
      <c r="M2112" s="3">
        <v>127.49</v>
      </c>
      <c r="N2112" s="3">
        <v>79.09999999999999</v>
      </c>
    </row>
    <row r="2113" spans="1:14">
      <c r="A2113" s="8" t="s">
        <v>2125</v>
      </c>
      <c r="B2113" s="2">
        <f>HYPERLINK("https://www.suredividend.com/sure-analysis-research-database/","OneSpan Inc")</f>
        <v>0</v>
      </c>
      <c r="C2113" s="1" t="s">
        <v>3181</v>
      </c>
      <c r="D2113" s="3">
        <v>13.28</v>
      </c>
      <c r="E2113" s="4">
        <v>0</v>
      </c>
      <c r="F2113" s="4" t="s">
        <v>3178</v>
      </c>
      <c r="G2113" s="4" t="s">
        <v>3178</v>
      </c>
      <c r="H2113" s="3">
        <v>0</v>
      </c>
      <c r="I2113" s="5">
        <v>502.58836</v>
      </c>
      <c r="J2113" s="6" t="s">
        <v>3178</v>
      </c>
      <c r="K2113" s="4">
        <v>-0</v>
      </c>
      <c r="L2113" s="7">
        <v>2.188244553076547</v>
      </c>
      <c r="M2113" s="3">
        <v>17.2</v>
      </c>
      <c r="N2113" s="3">
        <v>7.64</v>
      </c>
    </row>
    <row r="2114" spans="1:14">
      <c r="A2114" s="8" t="s">
        <v>2126</v>
      </c>
      <c r="B2114" s="2">
        <f>HYPERLINK("https://www.suredividend.com/sure-analysis-research-database/","Beyond Inc")</f>
        <v>0</v>
      </c>
      <c r="C2114" s="1" t="s">
        <v>3182</v>
      </c>
      <c r="D2114" s="3">
        <v>16.78</v>
      </c>
      <c r="E2114" s="4">
        <v>0</v>
      </c>
      <c r="F2114" s="4" t="s">
        <v>3178</v>
      </c>
      <c r="G2114" s="4" t="s">
        <v>3178</v>
      </c>
      <c r="H2114" s="3">
        <v>0</v>
      </c>
      <c r="I2114" s="5">
        <v>1027.969225</v>
      </c>
      <c r="J2114" s="6">
        <v>0</v>
      </c>
      <c r="K2114" s="4">
        <v>-0</v>
      </c>
    </row>
    <row r="2115" spans="1:14">
      <c r="A2115" s="8" t="s">
        <v>2127</v>
      </c>
      <c r="B2115" s="2">
        <f>HYPERLINK("https://www.suredividend.com/sure-analysis-research-database/","Orasure Technologies Inc.")</f>
        <v>0</v>
      </c>
      <c r="C2115" s="1" t="s">
        <v>3176</v>
      </c>
      <c r="D2115" s="3">
        <v>4.69</v>
      </c>
      <c r="E2115" s="4">
        <v>0</v>
      </c>
      <c r="F2115" s="4" t="s">
        <v>3178</v>
      </c>
      <c r="G2115" s="4" t="s">
        <v>3178</v>
      </c>
      <c r="H2115" s="3">
        <v>0</v>
      </c>
      <c r="I2115" s="5">
        <v>346.869065</v>
      </c>
      <c r="J2115" s="6">
        <v>15.17893687248381</v>
      </c>
      <c r="K2115" s="4">
        <v>0</v>
      </c>
      <c r="L2115" s="7">
        <v>0.8778809011431581</v>
      </c>
      <c r="M2115" s="3">
        <v>8.449999999999999</v>
      </c>
      <c r="N2115" s="3">
        <v>4.38</v>
      </c>
    </row>
    <row r="2116" spans="1:14">
      <c r="A2116" s="8" t="s">
        <v>2128</v>
      </c>
      <c r="B2116" s="2">
        <f>HYPERLINK("https://www.suredividend.com/sure-analysis-research-database/","OneSpaWorld Holdings Limited")</f>
        <v>0</v>
      </c>
      <c r="C2116" s="1" t="s">
        <v>3182</v>
      </c>
      <c r="D2116" s="3">
        <v>15.19</v>
      </c>
      <c r="E2116" s="4">
        <v>0</v>
      </c>
      <c r="F2116" s="4" t="s">
        <v>3178</v>
      </c>
      <c r="G2116" s="4" t="s">
        <v>3178</v>
      </c>
      <c r="H2116" s="3">
        <v>0</v>
      </c>
      <c r="I2116" s="5">
        <v>1590.599873</v>
      </c>
      <c r="J2116" s="6">
        <v>0</v>
      </c>
      <c r="K2116" s="4" t="s">
        <v>3178</v>
      </c>
      <c r="L2116" s="7">
        <v>0.8724453342838391</v>
      </c>
      <c r="M2116" s="3">
        <v>16.29</v>
      </c>
      <c r="N2116" s="3">
        <v>9.82</v>
      </c>
    </row>
    <row r="2117" spans="1:14">
      <c r="A2117" s="8" t="s">
        <v>2129</v>
      </c>
      <c r="B2117" s="2">
        <f>HYPERLINK("https://www.suredividend.com/sure-analysis-research-database/","Otelco Inc")</f>
        <v>0</v>
      </c>
      <c r="C2117" s="1" t="s">
        <v>3187</v>
      </c>
      <c r="D2117" s="3">
        <v>11.739</v>
      </c>
      <c r="E2117" s="4">
        <v>0</v>
      </c>
      <c r="F2117" s="4" t="s">
        <v>3178</v>
      </c>
      <c r="G2117" s="4" t="s">
        <v>3178</v>
      </c>
      <c r="H2117" s="3">
        <v>0</v>
      </c>
      <c r="I2117" s="5">
        <v>0</v>
      </c>
      <c r="J2117" s="6">
        <v>0</v>
      </c>
      <c r="K2117" s="4" t="s">
        <v>3178</v>
      </c>
    </row>
    <row r="2118" spans="1:14">
      <c r="A2118" s="8" t="s">
        <v>2130</v>
      </c>
      <c r="B2118" s="2">
        <f>HYPERLINK("https://www.suredividend.com/sure-analysis-research-database/","Otonomy Inc")</f>
        <v>0</v>
      </c>
      <c r="C2118" s="1" t="s">
        <v>3176</v>
      </c>
      <c r="D2118" s="3">
        <v>0.077</v>
      </c>
      <c r="E2118" s="4">
        <v>0</v>
      </c>
      <c r="F2118" s="4" t="s">
        <v>3178</v>
      </c>
      <c r="G2118" s="4" t="s">
        <v>3178</v>
      </c>
      <c r="H2118" s="3">
        <v>0</v>
      </c>
      <c r="I2118" s="5">
        <v>0</v>
      </c>
      <c r="J2118" s="6">
        <v>0</v>
      </c>
      <c r="K2118" s="4" t="s">
        <v>3178</v>
      </c>
    </row>
    <row r="2119" spans="1:14">
      <c r="A2119" s="8" t="s">
        <v>2131</v>
      </c>
      <c r="B2119" s="2">
        <f>HYPERLINK("https://www.suredividend.com/sure-analysis-OTTR/","Otter Tail Corporation")</f>
        <v>0</v>
      </c>
      <c r="C2119" s="1" t="s">
        <v>3186</v>
      </c>
      <c r="D2119" s="3">
        <v>88.22</v>
      </c>
      <c r="E2119" s="4">
        <v>0.02119700748129676</v>
      </c>
      <c r="F2119" s="4">
        <v>0.06857142857142873</v>
      </c>
      <c r="G2119" s="4">
        <v>0.05960186535674428</v>
      </c>
      <c r="H2119" s="3">
        <v>1.782537712542804</v>
      </c>
      <c r="I2119" s="5">
        <v>3688.868574</v>
      </c>
      <c r="J2119" s="6">
        <v>12.05323535360466</v>
      </c>
      <c r="K2119" s="4">
        <v>0.2448540813932423</v>
      </c>
      <c r="L2119" s="7">
        <v>0.849164839955148</v>
      </c>
      <c r="M2119" s="3">
        <v>97.45999999999999</v>
      </c>
      <c r="N2119" s="3">
        <v>66.79000000000001</v>
      </c>
    </row>
    <row r="2120" spans="1:14">
      <c r="A2120" s="8" t="s">
        <v>2132</v>
      </c>
      <c r="B2120" s="2">
        <f>HYPERLINK("https://www.suredividend.com/sure-analysis-research-database/","Outfront Media Inc")</f>
        <v>0</v>
      </c>
      <c r="C2120" s="1" t="s">
        <v>3183</v>
      </c>
      <c r="D2120" s="3">
        <v>13.8</v>
      </c>
      <c r="E2120" s="4">
        <v>0.08419255425800701</v>
      </c>
      <c r="F2120" s="4" t="s">
        <v>3178</v>
      </c>
      <c r="G2120" s="4" t="s">
        <v>3178</v>
      </c>
      <c r="H2120" s="3">
        <v>1.161857248760507</v>
      </c>
      <c r="I2120" s="5">
        <v>2289.223474</v>
      </c>
      <c r="J2120" s="6" t="s">
        <v>3178</v>
      </c>
      <c r="K2120" s="4" t="s">
        <v>3178</v>
      </c>
      <c r="L2120" s="7">
        <v>2.054925279894302</v>
      </c>
      <c r="M2120" s="3">
        <v>16.66</v>
      </c>
      <c r="N2120" s="3">
        <v>7.65</v>
      </c>
    </row>
    <row r="2121" spans="1:14">
      <c r="A2121" s="8" t="s">
        <v>2133</v>
      </c>
      <c r="B2121" s="2">
        <f>HYPERLINK("https://www.suredividend.com/sure-analysis-research-database/","Ohio Valley Banc Corp.")</f>
        <v>0</v>
      </c>
      <c r="C2121" s="1" t="s">
        <v>3180</v>
      </c>
      <c r="D2121" s="3">
        <v>22.3</v>
      </c>
      <c r="E2121" s="4">
        <v>0.02907373750907</v>
      </c>
      <c r="F2121" s="4">
        <v>0.4666666666666668</v>
      </c>
      <c r="G2121" s="4">
        <v>0.009347419909568888</v>
      </c>
      <c r="H2121" s="3">
        <v>0.64834434645227</v>
      </c>
      <c r="I2121" s="5">
        <v>106.89893</v>
      </c>
      <c r="J2121" s="6">
        <v>0</v>
      </c>
      <c r="K2121" s="4" t="s">
        <v>3178</v>
      </c>
      <c r="M2121" s="3">
        <v>25.5</v>
      </c>
      <c r="N2121" s="3">
        <v>20.94</v>
      </c>
    </row>
    <row r="2122" spans="1:14">
      <c r="A2122" s="8" t="s">
        <v>2134</v>
      </c>
      <c r="B2122" s="2">
        <f>HYPERLINK("https://www.suredividend.com/sure-analysis-research-database/","Oak Valley Bancorp")</f>
        <v>0</v>
      </c>
      <c r="C2122" s="1" t="s">
        <v>3180</v>
      </c>
      <c r="D2122" s="3">
        <v>23.24</v>
      </c>
      <c r="E2122" s="4">
        <v>0.016454870353205</v>
      </c>
      <c r="F2122" s="4" t="s">
        <v>3178</v>
      </c>
      <c r="G2122" s="4" t="s">
        <v>3178</v>
      </c>
      <c r="H2122" s="3">
        <v>0.382411187008497</v>
      </c>
      <c r="I2122" s="5">
        <v>194.276081</v>
      </c>
      <c r="J2122" s="6">
        <v>0</v>
      </c>
      <c r="K2122" s="4" t="s">
        <v>3178</v>
      </c>
      <c r="L2122" s="7">
        <v>0.7831078900903331</v>
      </c>
      <c r="M2122" s="3">
        <v>30.2</v>
      </c>
      <c r="N2122" s="3">
        <v>22.91</v>
      </c>
    </row>
    <row r="2123" spans="1:14">
      <c r="A2123" s="8" t="s">
        <v>2135</v>
      </c>
      <c r="B2123" s="2">
        <f>HYPERLINK("https://www.suredividend.com/sure-analysis-research-database/","Oxford Industries, Inc.")</f>
        <v>0</v>
      </c>
      <c r="C2123" s="1" t="s">
        <v>3182</v>
      </c>
      <c r="D2123" s="3">
        <v>102.8</v>
      </c>
      <c r="E2123" s="4">
        <v>0.025233759818066</v>
      </c>
      <c r="F2123" s="4">
        <v>0.03076923076923088</v>
      </c>
      <c r="G2123" s="4">
        <v>0.1260939254146443</v>
      </c>
      <c r="H2123" s="3">
        <v>2.594030509297248</v>
      </c>
      <c r="I2123" s="5">
        <v>1607.826746</v>
      </c>
      <c r="J2123" s="6">
        <v>26.48677571783931</v>
      </c>
      <c r="K2123" s="4">
        <v>0.6790655783500649</v>
      </c>
      <c r="L2123" s="7">
        <v>1.202022369100067</v>
      </c>
      <c r="M2123" s="3">
        <v>113.14</v>
      </c>
      <c r="N2123" s="3">
        <v>81.23999999999999</v>
      </c>
    </row>
    <row r="2124" spans="1:14">
      <c r="A2124" s="8" t="s">
        <v>2136</v>
      </c>
      <c r="B2124" s="2">
        <f>HYPERLINK("https://www.suredividend.com/sure-analysis-OXY/","Occidental Petroleum Corp.")</f>
        <v>0</v>
      </c>
      <c r="C2124" s="1" t="s">
        <v>3185</v>
      </c>
      <c r="D2124" s="3">
        <v>59.48</v>
      </c>
      <c r="E2124" s="4">
        <v>0.01479488903833221</v>
      </c>
      <c r="F2124" s="4">
        <v>0.2222222222222223</v>
      </c>
      <c r="G2124" s="4">
        <v>-0.2256111023398604</v>
      </c>
      <c r="H2124" s="3">
        <v>0.578131936153734</v>
      </c>
      <c r="I2124" s="5">
        <v>52737.15389</v>
      </c>
      <c r="J2124" s="6">
        <v>15.12393286205908</v>
      </c>
      <c r="K2124" s="4">
        <v>0.1583923112749956</v>
      </c>
      <c r="L2124" s="7">
        <v>0.5063033072271901</v>
      </c>
      <c r="M2124" s="3">
        <v>71.19</v>
      </c>
      <c r="N2124" s="3">
        <v>54.92</v>
      </c>
    </row>
    <row r="2125" spans="1:14">
      <c r="A2125" s="8" t="s">
        <v>2137</v>
      </c>
      <c r="B2125" s="2">
        <f>HYPERLINK("https://www.suredividend.com/sure-analysis-OZK/","Bank OZK")</f>
        <v>0</v>
      </c>
      <c r="C2125" s="1" t="s">
        <v>3180</v>
      </c>
      <c r="D2125" s="3">
        <v>38.31</v>
      </c>
      <c r="E2125" s="4">
        <v>0.04072043852779953</v>
      </c>
      <c r="F2125" s="4" t="s">
        <v>3178</v>
      </c>
      <c r="G2125" s="4" t="s">
        <v>3178</v>
      </c>
      <c r="H2125" s="3">
        <v>1.467422611587227</v>
      </c>
      <c r="I2125" s="5">
        <v>4345.687801</v>
      </c>
      <c r="J2125" s="6">
        <v>6.441911604812362</v>
      </c>
      <c r="K2125" s="4">
        <v>0.2499868162840251</v>
      </c>
      <c r="L2125" s="7">
        <v>1.423423050338577</v>
      </c>
      <c r="M2125" s="3">
        <v>51.01</v>
      </c>
      <c r="N2125" s="3">
        <v>33.32</v>
      </c>
    </row>
    <row r="2126" spans="1:14">
      <c r="A2126" s="8" t="s">
        <v>2138</v>
      </c>
      <c r="B2126" s="2">
        <f>HYPERLINK("https://www.suredividend.com/sure-analysis-research-database/","Pacific Biosciences of California Inc")</f>
        <v>0</v>
      </c>
      <c r="C2126" s="1" t="s">
        <v>3176</v>
      </c>
      <c r="D2126" s="3">
        <v>2.01</v>
      </c>
      <c r="E2126" s="4">
        <v>0</v>
      </c>
      <c r="F2126" s="4" t="s">
        <v>3178</v>
      </c>
      <c r="G2126" s="4" t="s">
        <v>3178</v>
      </c>
      <c r="H2126" s="3">
        <v>0</v>
      </c>
      <c r="I2126" s="5">
        <v>547.435343</v>
      </c>
      <c r="J2126" s="6" t="s">
        <v>3178</v>
      </c>
      <c r="K2126" s="4">
        <v>-0</v>
      </c>
      <c r="L2126" s="7">
        <v>2.436631691242679</v>
      </c>
      <c r="M2126" s="3">
        <v>14.55</v>
      </c>
      <c r="N2126" s="3">
        <v>1.25</v>
      </c>
    </row>
    <row r="2127" spans="1:14">
      <c r="A2127" s="8" t="s">
        <v>2139</v>
      </c>
      <c r="B2127" s="2">
        <f>HYPERLINK("https://www.suredividend.com/sure-analysis-research-database/","Pacwest Bancorp")</f>
        <v>0</v>
      </c>
      <c r="C2127" s="1" t="s">
        <v>3180</v>
      </c>
      <c r="D2127" s="3">
        <v>7.54</v>
      </c>
      <c r="E2127" s="4">
        <v>0</v>
      </c>
      <c r="F2127" s="4" t="s">
        <v>3178</v>
      </c>
      <c r="G2127" s="4" t="s">
        <v>3178</v>
      </c>
      <c r="H2127" s="3">
        <v>0.27850773095445</v>
      </c>
      <c r="I2127" s="5">
        <v>0</v>
      </c>
      <c r="J2127" s="6">
        <v>0</v>
      </c>
      <c r="K2127" s="4" t="s">
        <v>3178</v>
      </c>
    </row>
    <row r="2128" spans="1:14">
      <c r="A2128" s="8" t="s">
        <v>2140</v>
      </c>
      <c r="B2128" s="2">
        <f>HYPERLINK("https://www.suredividend.com/sure-analysis-research-database/","Penske Automotive Group Inc")</f>
        <v>0</v>
      </c>
      <c r="C2128" s="1" t="s">
        <v>3182</v>
      </c>
      <c r="D2128" s="3">
        <v>148.92</v>
      </c>
      <c r="E2128" s="4">
        <v>0.022248933764396</v>
      </c>
      <c r="F2128" s="4" t="s">
        <v>3178</v>
      </c>
      <c r="G2128" s="4" t="s">
        <v>3178</v>
      </c>
      <c r="H2128" s="3">
        <v>3.313311216193945</v>
      </c>
      <c r="I2128" s="5">
        <v>9959.661931000001</v>
      </c>
      <c r="J2128" s="6">
        <v>10.26663429629935</v>
      </c>
      <c r="K2128" s="4">
        <v>0.2304110720579934</v>
      </c>
      <c r="L2128" s="7">
        <v>1.077261280068469</v>
      </c>
      <c r="M2128" s="3">
        <v>177.01</v>
      </c>
      <c r="N2128" s="3">
        <v>135.62</v>
      </c>
    </row>
    <row r="2129" spans="1:14">
      <c r="A2129" s="8" t="s">
        <v>2141</v>
      </c>
      <c r="B2129" s="2">
        <f>HYPERLINK("https://www.suredividend.com/sure-analysis-research-database/","Phibro Animal Health Corp.")</f>
        <v>0</v>
      </c>
      <c r="C2129" s="1" t="s">
        <v>3176</v>
      </c>
      <c r="D2129" s="3">
        <v>17.16</v>
      </c>
      <c r="E2129" s="4">
        <v>0.0274253520081</v>
      </c>
      <c r="F2129" s="4">
        <v>0</v>
      </c>
      <c r="G2129" s="4">
        <v>0</v>
      </c>
      <c r="H2129" s="3">
        <v>0.4706190404589971</v>
      </c>
      <c r="I2129" s="5">
        <v>348.99277</v>
      </c>
      <c r="J2129" s="6">
        <v>26.51517777237502</v>
      </c>
      <c r="K2129" s="4">
        <v>1.448504279652191</v>
      </c>
      <c r="L2129" s="7">
        <v>0.7968713309950921</v>
      </c>
      <c r="M2129" s="3">
        <v>18.57</v>
      </c>
      <c r="N2129" s="3">
        <v>8.960000000000001</v>
      </c>
    </row>
    <row r="2130" spans="1:14">
      <c r="A2130" s="8" t="s">
        <v>2142</v>
      </c>
      <c r="B2130" s="2">
        <f>HYPERLINK("https://www.suredividend.com/sure-analysis-research-database/","Pangaea Logistics Solutions Ltd")</f>
        <v>0</v>
      </c>
      <c r="C2130" s="1" t="s">
        <v>3179</v>
      </c>
      <c r="D2130" s="3">
        <v>7.8</v>
      </c>
      <c r="E2130" s="4">
        <v>0.049856628824015</v>
      </c>
      <c r="F2130" s="4">
        <v>0</v>
      </c>
      <c r="G2130" s="4">
        <v>0.2336341725167208</v>
      </c>
      <c r="H2130" s="3">
        <v>0.388881704827319</v>
      </c>
      <c r="I2130" s="5">
        <v>365.34881</v>
      </c>
      <c r="J2130" s="6">
        <v>10.58270132999514</v>
      </c>
      <c r="K2130" s="4">
        <v>0.5145299084775324</v>
      </c>
      <c r="L2130" s="7">
        <v>0.651958186404589</v>
      </c>
      <c r="M2130" s="3">
        <v>9.18</v>
      </c>
      <c r="N2130" s="3">
        <v>4.95</v>
      </c>
    </row>
    <row r="2131" spans="1:14">
      <c r="A2131" s="8" t="s">
        <v>2143</v>
      </c>
      <c r="B2131" s="2">
        <f>HYPERLINK("https://www.suredividend.com/sure-analysis-research-database/","Palo Alto Networks Inc")</f>
        <v>0</v>
      </c>
      <c r="C2131" s="1" t="s">
        <v>3181</v>
      </c>
      <c r="D2131" s="3">
        <v>301.9</v>
      </c>
      <c r="E2131" s="4">
        <v>0</v>
      </c>
      <c r="F2131" s="4" t="s">
        <v>3178</v>
      </c>
      <c r="G2131" s="4" t="s">
        <v>3178</v>
      </c>
      <c r="H2131" s="3">
        <v>0</v>
      </c>
      <c r="I2131" s="5">
        <v>97755.22</v>
      </c>
      <c r="J2131" s="6">
        <v>39.93921392384377</v>
      </c>
      <c r="K2131" s="4">
        <v>0</v>
      </c>
      <c r="L2131" s="7">
        <v>1.440999988828111</v>
      </c>
      <c r="M2131" s="3">
        <v>380.84</v>
      </c>
      <c r="N2131" s="3">
        <v>201.17</v>
      </c>
    </row>
    <row r="2132" spans="1:14">
      <c r="A2132" s="8" t="s">
        <v>2144</v>
      </c>
      <c r="B2132" s="2">
        <f>HYPERLINK("https://www.suredividend.com/sure-analysis-research-database/","Par Technology Corp.")</f>
        <v>0</v>
      </c>
      <c r="C2132" s="1" t="s">
        <v>3181</v>
      </c>
      <c r="D2132" s="3">
        <v>42.94</v>
      </c>
      <c r="E2132" s="4">
        <v>0</v>
      </c>
      <c r="F2132" s="4" t="s">
        <v>3178</v>
      </c>
      <c r="G2132" s="4" t="s">
        <v>3178</v>
      </c>
      <c r="H2132" s="3">
        <v>0</v>
      </c>
      <c r="I2132" s="5">
        <v>1459.57719</v>
      </c>
      <c r="J2132" s="6" t="s">
        <v>3178</v>
      </c>
      <c r="K2132" s="4">
        <v>-0</v>
      </c>
      <c r="L2132" s="7">
        <v>2.217248212084322</v>
      </c>
      <c r="M2132" s="3">
        <v>50</v>
      </c>
      <c r="N2132" s="3">
        <v>28.21</v>
      </c>
    </row>
    <row r="2133" spans="1:14">
      <c r="A2133" s="8" t="s">
        <v>2145</v>
      </c>
      <c r="B2133" s="2">
        <f>HYPERLINK("https://www.suredividend.com/sure-analysis-research-database/","Par Pacific Holdings Inc")</f>
        <v>0</v>
      </c>
      <c r="C2133" s="1" t="s">
        <v>3185</v>
      </c>
      <c r="D2133" s="3">
        <v>25.21</v>
      </c>
      <c r="E2133" s="4">
        <v>0</v>
      </c>
      <c r="F2133" s="4" t="s">
        <v>3178</v>
      </c>
      <c r="G2133" s="4" t="s">
        <v>3178</v>
      </c>
      <c r="H2133" s="3">
        <v>0</v>
      </c>
      <c r="I2133" s="5">
        <v>1460.614988</v>
      </c>
      <c r="J2133" s="6">
        <v>2.999203263258186</v>
      </c>
      <c r="K2133" s="4">
        <v>0</v>
      </c>
      <c r="L2133" s="7">
        <v>0.699892121229846</v>
      </c>
      <c r="M2133" s="3">
        <v>40.7</v>
      </c>
      <c r="N2133" s="3">
        <v>23.19</v>
      </c>
    </row>
    <row r="2134" spans="1:14">
      <c r="A2134" s="8" t="s">
        <v>2146</v>
      </c>
      <c r="B2134" s="2">
        <f>HYPERLINK("https://www.suredividend.com/sure-analysis-research-database/","Patriot Transportation Holding Inc")</f>
        <v>0</v>
      </c>
      <c r="C2134" s="1" t="s">
        <v>3179</v>
      </c>
      <c r="D2134" s="3">
        <v>16.26</v>
      </c>
      <c r="E2134" s="4">
        <v>0</v>
      </c>
      <c r="F2134" s="4" t="s">
        <v>3178</v>
      </c>
      <c r="G2134" s="4" t="s">
        <v>3178</v>
      </c>
      <c r="H2134" s="3">
        <v>0</v>
      </c>
      <c r="I2134" s="5">
        <v>0</v>
      </c>
      <c r="J2134" s="6">
        <v>0</v>
      </c>
      <c r="K2134" s="4" t="s">
        <v>3178</v>
      </c>
    </row>
    <row r="2135" spans="1:14">
      <c r="A2135" s="8" t="s">
        <v>2147</v>
      </c>
      <c r="B2135" s="2">
        <f>HYPERLINK("https://www.suredividend.com/sure-analysis-research-database/","Patrick Industries, Inc.")</f>
        <v>0</v>
      </c>
      <c r="C2135" s="1" t="s">
        <v>3179</v>
      </c>
      <c r="D2135" s="3">
        <v>106.63</v>
      </c>
      <c r="E2135" s="4">
        <v>0.023447764704303</v>
      </c>
      <c r="F2135" s="4" t="s">
        <v>3178</v>
      </c>
      <c r="G2135" s="4" t="s">
        <v>3178</v>
      </c>
      <c r="H2135" s="3">
        <v>2.500235150419839</v>
      </c>
      <c r="I2135" s="5">
        <v>2388.672052</v>
      </c>
      <c r="J2135" s="6">
        <v>16.15965722230866</v>
      </c>
      <c r="K2135" s="4">
        <v>0.3709547700919643</v>
      </c>
      <c r="L2135" s="7">
        <v>1.44488958598136</v>
      </c>
      <c r="M2135" s="3">
        <v>122.39</v>
      </c>
      <c r="N2135" s="3">
        <v>67.89</v>
      </c>
    </row>
    <row r="2136" spans="1:14">
      <c r="A2136" s="8" t="s">
        <v>2148</v>
      </c>
      <c r="B2136" s="2">
        <f>HYPERLINK("https://www.suredividend.com/sure-analysis-research-database/","Paycom Software Inc")</f>
        <v>0</v>
      </c>
      <c r="C2136" s="1" t="s">
        <v>3181</v>
      </c>
      <c r="D2136" s="3">
        <v>145.33</v>
      </c>
      <c r="E2136" s="4">
        <v>0.010288680089942</v>
      </c>
      <c r="F2136" s="4" t="s">
        <v>3178</v>
      </c>
      <c r="G2136" s="4" t="s">
        <v>3178</v>
      </c>
      <c r="H2136" s="3">
        <v>1.495253877471373</v>
      </c>
      <c r="I2136" s="5">
        <v>8445.129061</v>
      </c>
      <c r="J2136" s="6">
        <v>18.01900460927415</v>
      </c>
      <c r="K2136" s="4">
        <v>0.18391806610964</v>
      </c>
      <c r="L2136" s="7">
        <v>1.268128632331618</v>
      </c>
      <c r="M2136" s="3">
        <v>371.19</v>
      </c>
      <c r="N2136" s="3">
        <v>142.73</v>
      </c>
    </row>
    <row r="2137" spans="1:14">
      <c r="A2137" s="8" t="s">
        <v>2149</v>
      </c>
      <c r="B2137" s="2">
        <f>HYPERLINK("https://www.suredividend.com/sure-analysis-research-database/","PaySign Inc")</f>
        <v>0</v>
      </c>
      <c r="C2137" s="1" t="s">
        <v>3179</v>
      </c>
      <c r="D2137" s="3">
        <v>4.07</v>
      </c>
      <c r="E2137" s="4">
        <v>0</v>
      </c>
      <c r="F2137" s="4" t="s">
        <v>3178</v>
      </c>
      <c r="G2137" s="4" t="s">
        <v>3178</v>
      </c>
      <c r="H2137" s="3">
        <v>0</v>
      </c>
      <c r="I2137" s="5">
        <v>215.621982</v>
      </c>
      <c r="J2137" s="6">
        <v>0</v>
      </c>
      <c r="K2137" s="4" t="s">
        <v>3178</v>
      </c>
      <c r="L2137" s="7">
        <v>1.236861947587955</v>
      </c>
      <c r="M2137" s="3">
        <v>5.09</v>
      </c>
      <c r="N2137" s="3">
        <v>1.67</v>
      </c>
    </row>
    <row r="2138" spans="1:14">
      <c r="A2138" s="8" t="s">
        <v>2150</v>
      </c>
      <c r="B2138" s="2">
        <f>HYPERLINK("https://www.suredividend.com/sure-analysis-PAYX/","Paychex Inc.")</f>
        <v>0</v>
      </c>
      <c r="C2138" s="1" t="s">
        <v>3179</v>
      </c>
      <c r="D2138" s="3">
        <v>122.58</v>
      </c>
      <c r="E2138" s="4">
        <v>0.02904225811714799</v>
      </c>
      <c r="F2138" s="4">
        <v>0.101123595505618</v>
      </c>
      <c r="G2138" s="4">
        <v>0.09588978104084478</v>
      </c>
      <c r="H2138" s="3">
        <v>3.58096103763481</v>
      </c>
      <c r="I2138" s="5">
        <v>44124.30634</v>
      </c>
      <c r="J2138" s="6">
        <v>26.56650390738756</v>
      </c>
      <c r="K2138" s="4">
        <v>0.7801658034062767</v>
      </c>
      <c r="L2138" s="7">
        <v>0.672692497776007</v>
      </c>
      <c r="M2138" s="3">
        <v>127.48</v>
      </c>
      <c r="N2138" s="3">
        <v>102.21</v>
      </c>
    </row>
    <row r="2139" spans="1:14">
      <c r="A2139" s="8" t="s">
        <v>2151</v>
      </c>
      <c r="B2139" s="2">
        <f>HYPERLINK("https://www.suredividend.com/sure-analysis-PB/","Prosperity Bancshares Inc.")</f>
        <v>0</v>
      </c>
      <c r="C2139" s="1" t="s">
        <v>3180</v>
      </c>
      <c r="D2139" s="3">
        <v>59.29</v>
      </c>
      <c r="E2139" s="4">
        <v>0.03778040141676506</v>
      </c>
      <c r="F2139" s="4">
        <v>0.0181818181818183</v>
      </c>
      <c r="G2139" s="4">
        <v>0.06434110272003535</v>
      </c>
      <c r="H2139" s="3">
        <v>2.190390921138842</v>
      </c>
      <c r="I2139" s="5">
        <v>5688.160107</v>
      </c>
      <c r="J2139" s="6">
        <v>14.04317539368174</v>
      </c>
      <c r="K2139" s="4">
        <v>0.5058639540736355</v>
      </c>
      <c r="L2139" s="7">
        <v>0.9558743132218011</v>
      </c>
      <c r="M2139" s="3">
        <v>68.26000000000001</v>
      </c>
      <c r="N2139" s="3">
        <v>48.73</v>
      </c>
    </row>
    <row r="2140" spans="1:14">
      <c r="A2140" s="8" t="s">
        <v>2152</v>
      </c>
      <c r="B2140" s="2">
        <f>HYPERLINK("https://www.suredividend.com/sure-analysis-research-database/","People`s United Financial Inc")</f>
        <v>0</v>
      </c>
      <c r="C2140" s="1" t="s">
        <v>3180</v>
      </c>
      <c r="D2140" s="3">
        <v>19.41</v>
      </c>
      <c r="E2140" s="4">
        <v>0</v>
      </c>
      <c r="F2140" s="4" t="s">
        <v>3178</v>
      </c>
      <c r="G2140" s="4" t="s">
        <v>3178</v>
      </c>
      <c r="H2140" s="3">
        <v>0.7300000190734861</v>
      </c>
      <c r="I2140" s="5">
        <v>0</v>
      </c>
      <c r="J2140" s="6">
        <v>0</v>
      </c>
      <c r="K2140" s="4">
        <v>0.5251798698370403</v>
      </c>
    </row>
    <row r="2141" spans="1:14">
      <c r="A2141" s="8" t="s">
        <v>2153</v>
      </c>
      <c r="B2141" s="2">
        <f>HYPERLINK("https://www.suredividend.com/sure-analysis-research-database/","PBF Energy Inc")</f>
        <v>0</v>
      </c>
      <c r="C2141" s="1" t="s">
        <v>3185</v>
      </c>
      <c r="D2141" s="3">
        <v>46.25</v>
      </c>
      <c r="E2141" s="4">
        <v>0.020387919111195</v>
      </c>
      <c r="F2141" s="4" t="s">
        <v>3178</v>
      </c>
      <c r="G2141" s="4" t="s">
        <v>3178</v>
      </c>
      <c r="H2141" s="3">
        <v>0.9429412588928101</v>
      </c>
      <c r="I2141" s="5">
        <v>5483.583659</v>
      </c>
      <c r="J2141" s="6">
        <v>2.940259334450402</v>
      </c>
      <c r="K2141" s="4">
        <v>0.06476244909978091</v>
      </c>
      <c r="L2141" s="7">
        <v>0.8799150489891161</v>
      </c>
      <c r="M2141" s="3">
        <v>62.56</v>
      </c>
      <c r="N2141" s="3">
        <v>37.85</v>
      </c>
    </row>
    <row r="2142" spans="1:14">
      <c r="A2142" s="8" t="s">
        <v>2154</v>
      </c>
      <c r="B2142" s="2">
        <f>HYPERLINK("https://www.suredividend.com/sure-analysis-research-database/","Prestige Consumer Healthcare Inc")</f>
        <v>0</v>
      </c>
      <c r="C2142" s="1" t="s">
        <v>3176</v>
      </c>
      <c r="D2142" s="3">
        <v>65.44</v>
      </c>
      <c r="E2142" s="4">
        <v>0</v>
      </c>
      <c r="F2142" s="4" t="s">
        <v>3178</v>
      </c>
      <c r="G2142" s="4" t="s">
        <v>3178</v>
      </c>
      <c r="H2142" s="3">
        <v>0</v>
      </c>
      <c r="I2142" s="5">
        <v>3266.461551</v>
      </c>
      <c r="J2142" s="6">
        <v>15.60369329671012</v>
      </c>
      <c r="K2142" s="4">
        <v>0</v>
      </c>
      <c r="L2142" s="7">
        <v>0.474498544353158</v>
      </c>
      <c r="M2142" s="3">
        <v>75.31</v>
      </c>
      <c r="N2142" s="3">
        <v>56.25</v>
      </c>
    </row>
    <row r="2143" spans="1:14">
      <c r="A2143" s="8" t="s">
        <v>2155</v>
      </c>
      <c r="B2143" s="2">
        <f>HYPERLINK("https://www.suredividend.com/sure-analysis-research-database/","Pathfinder Bancorp, Inc.")</f>
        <v>0</v>
      </c>
      <c r="C2143" s="1" t="s">
        <v>3180</v>
      </c>
      <c r="D2143" s="3">
        <v>12.85</v>
      </c>
      <c r="E2143" s="4">
        <v>0.021486629640293</v>
      </c>
      <c r="F2143" s="4">
        <v>0.1111111111111112</v>
      </c>
      <c r="G2143" s="4">
        <v>0.1075663432482901</v>
      </c>
      <c r="H2143" s="3">
        <v>0.276103190877764</v>
      </c>
      <c r="I2143" s="5">
        <v>60.649276</v>
      </c>
      <c r="J2143" s="6">
        <v>0</v>
      </c>
      <c r="K2143" s="4" t="s">
        <v>3178</v>
      </c>
      <c r="M2143" s="3">
        <v>15.25</v>
      </c>
      <c r="N2143" s="3">
        <v>11.24</v>
      </c>
    </row>
    <row r="2144" spans="1:14">
      <c r="A2144" s="8" t="s">
        <v>2156</v>
      </c>
      <c r="B2144" s="2">
        <f>HYPERLINK("https://www.suredividend.com/sure-analysis-research-database/","Pitney Bowes, Inc.")</f>
        <v>0</v>
      </c>
      <c r="C2144" s="1" t="s">
        <v>3179</v>
      </c>
      <c r="D2144" s="3">
        <v>5.24</v>
      </c>
      <c r="E2144" s="4">
        <v>0.037533574912181</v>
      </c>
      <c r="F2144" s="4">
        <v>0</v>
      </c>
      <c r="G2144" s="4">
        <v>0</v>
      </c>
      <c r="H2144" s="3">
        <v>0.196675932539831</v>
      </c>
      <c r="I2144" s="5">
        <v>937.306142</v>
      </c>
      <c r="J2144" s="6" t="s">
        <v>3178</v>
      </c>
      <c r="K2144" s="4" t="s">
        <v>3178</v>
      </c>
      <c r="L2144" s="7">
        <v>1.606977444671612</v>
      </c>
      <c r="M2144" s="3">
        <v>5.73</v>
      </c>
      <c r="N2144" s="3">
        <v>2.7</v>
      </c>
    </row>
    <row r="2145" spans="1:14">
      <c r="A2145" s="8" t="s">
        <v>2157</v>
      </c>
      <c r="B2145" s="2">
        <f>HYPERLINK("https://www.suredividend.com/sure-analysis-research-database/","Prudential Bancorp Inc")</f>
        <v>0</v>
      </c>
      <c r="C2145" s="1" t="s">
        <v>3180</v>
      </c>
      <c r="D2145" s="3">
        <v>15.13</v>
      </c>
      <c r="E2145" s="4">
        <v>0</v>
      </c>
      <c r="F2145" s="4" t="s">
        <v>3178</v>
      </c>
      <c r="G2145" s="4" t="s">
        <v>3178</v>
      </c>
      <c r="H2145" s="3">
        <v>0.280000001192092</v>
      </c>
      <c r="I2145" s="5">
        <v>0</v>
      </c>
      <c r="J2145" s="6">
        <v>0</v>
      </c>
      <c r="K2145" s="4" t="s">
        <v>3178</v>
      </c>
    </row>
    <row r="2146" spans="1:14">
      <c r="A2146" s="8" t="s">
        <v>2158</v>
      </c>
      <c r="B2146" s="2">
        <f>HYPERLINK("https://www.suredividend.com/sure-analysis-research-database/","Potbelly Corp")</f>
        <v>0</v>
      </c>
      <c r="C2146" s="1" t="s">
        <v>3182</v>
      </c>
      <c r="D2146" s="3">
        <v>7.955</v>
      </c>
      <c r="E2146" s="4">
        <v>0</v>
      </c>
      <c r="F2146" s="4" t="s">
        <v>3178</v>
      </c>
      <c r="G2146" s="4" t="s">
        <v>3178</v>
      </c>
      <c r="H2146" s="3">
        <v>0</v>
      </c>
      <c r="I2146" s="5">
        <v>237.38918</v>
      </c>
      <c r="J2146" s="6">
        <v>64.54300713159326</v>
      </c>
      <c r="K2146" s="4">
        <v>0</v>
      </c>
      <c r="L2146" s="7">
        <v>1.28619075933012</v>
      </c>
      <c r="M2146" s="3">
        <v>14.36</v>
      </c>
      <c r="N2146" s="3">
        <v>7.12</v>
      </c>
    </row>
    <row r="2147" spans="1:14">
      <c r="A2147" s="8" t="s">
        <v>2159</v>
      </c>
      <c r="B2147" s="2">
        <f>HYPERLINK("https://www.suredividend.com/sure-analysis-research-database/","Puma Biotechnology Inc")</f>
        <v>0</v>
      </c>
      <c r="C2147" s="1" t="s">
        <v>3176</v>
      </c>
      <c r="D2147" s="3">
        <v>3.525</v>
      </c>
      <c r="E2147" s="4">
        <v>0</v>
      </c>
      <c r="F2147" s="4" t="s">
        <v>3178</v>
      </c>
      <c r="G2147" s="4" t="s">
        <v>3178</v>
      </c>
      <c r="H2147" s="3">
        <v>0</v>
      </c>
      <c r="I2147" s="5">
        <v>170.041946</v>
      </c>
      <c r="J2147" s="6">
        <v>11.05963878048781</v>
      </c>
      <c r="K2147" s="4">
        <v>0</v>
      </c>
      <c r="L2147" s="7">
        <v>0.9244210307207451</v>
      </c>
      <c r="M2147" s="3">
        <v>7.73</v>
      </c>
      <c r="N2147" s="3">
        <v>2.13</v>
      </c>
    </row>
    <row r="2148" spans="1:14">
      <c r="A2148" s="8" t="s">
        <v>2160</v>
      </c>
      <c r="B2148" s="2">
        <f>HYPERLINK("https://www.suredividend.com/sure-analysis-PCAR/","Paccar Inc.")</f>
        <v>0</v>
      </c>
      <c r="C2148" s="1" t="s">
        <v>3179</v>
      </c>
      <c r="D2148" s="3">
        <v>107.67</v>
      </c>
      <c r="E2148" s="4">
        <v>0.03436426116838488</v>
      </c>
      <c r="F2148" s="4">
        <v>0.1111111111111112</v>
      </c>
      <c r="G2148" s="4">
        <v>-0.01282475708259001</v>
      </c>
      <c r="H2148" s="3">
        <v>1.066773603417204</v>
      </c>
      <c r="I2148" s="5">
        <v>56434.740171</v>
      </c>
      <c r="J2148" s="6">
        <v>11.1482636345502</v>
      </c>
      <c r="K2148" s="4">
        <v>0.110776075121205</v>
      </c>
      <c r="L2148" s="7">
        <v>0.9232041023772791</v>
      </c>
      <c r="M2148" s="3">
        <v>124.8</v>
      </c>
      <c r="N2148" s="3">
        <v>70.01000000000001</v>
      </c>
    </row>
    <row r="2149" spans="1:14">
      <c r="A2149" s="8" t="s">
        <v>2161</v>
      </c>
      <c r="B2149" s="2">
        <f>HYPERLINK("https://www.suredividend.com/sure-analysis-research-database/","PotlatchDeltic Corp")</f>
        <v>0</v>
      </c>
      <c r="C2149" s="1" t="s">
        <v>3183</v>
      </c>
      <c r="D2149" s="3">
        <v>41.7</v>
      </c>
      <c r="E2149" s="4">
        <v>0.04187552452307</v>
      </c>
      <c r="F2149" s="4">
        <v>0</v>
      </c>
      <c r="G2149" s="4">
        <v>0.02383625553960966</v>
      </c>
      <c r="H2149" s="3">
        <v>1.746209372612048</v>
      </c>
      <c r="I2149" s="5">
        <v>3315.4836</v>
      </c>
      <c r="J2149" s="6">
        <v>72.81016338721012</v>
      </c>
      <c r="K2149" s="4">
        <v>3.069448712624447</v>
      </c>
      <c r="L2149" s="7">
        <v>1.053194761794543</v>
      </c>
      <c r="M2149" s="3">
        <v>50.25</v>
      </c>
      <c r="N2149" s="3">
        <v>38.89</v>
      </c>
    </row>
    <row r="2150" spans="1:14">
      <c r="A2150" s="8" t="s">
        <v>2162</v>
      </c>
      <c r="B2150" s="2">
        <f>HYPERLINK("https://www.suredividend.com/sure-analysis-research-database/","Pacira BioSciences Inc")</f>
        <v>0</v>
      </c>
      <c r="C2150" s="1" t="s">
        <v>3176</v>
      </c>
      <c r="D2150" s="3">
        <v>28.57</v>
      </c>
      <c r="E2150" s="4">
        <v>0</v>
      </c>
      <c r="F2150" s="4" t="s">
        <v>3178</v>
      </c>
      <c r="G2150" s="4" t="s">
        <v>3178</v>
      </c>
      <c r="H2150" s="3">
        <v>0</v>
      </c>
      <c r="I2150" s="5">
        <v>1329.823448</v>
      </c>
      <c r="J2150" s="6">
        <v>18.8707740649922</v>
      </c>
      <c r="K2150" s="4">
        <v>0</v>
      </c>
      <c r="L2150" s="7">
        <v>0.432429682679163</v>
      </c>
      <c r="M2150" s="3">
        <v>41.65</v>
      </c>
      <c r="N2150" s="3">
        <v>25.33</v>
      </c>
    </row>
    <row r="2151" spans="1:14">
      <c r="A2151" s="8" t="s">
        <v>2163</v>
      </c>
      <c r="B2151" s="2">
        <f>HYPERLINK("https://www.suredividend.com/sure-analysis-research-database/","PCSB Financial Corp")</f>
        <v>0</v>
      </c>
      <c r="C2151" s="1" t="s">
        <v>3180</v>
      </c>
      <c r="D2151" s="3">
        <v>19.04</v>
      </c>
      <c r="E2151" s="4">
        <v>0</v>
      </c>
      <c r="F2151" s="4" t="s">
        <v>3178</v>
      </c>
      <c r="G2151" s="4" t="s">
        <v>3178</v>
      </c>
      <c r="H2151" s="3">
        <v>0.269999999552965</v>
      </c>
      <c r="I2151" s="5">
        <v>0</v>
      </c>
      <c r="J2151" s="6">
        <v>0</v>
      </c>
      <c r="K2151" s="4" t="s">
        <v>3178</v>
      </c>
    </row>
    <row r="2152" spans="1:14">
      <c r="A2152" s="8" t="s">
        <v>2164</v>
      </c>
      <c r="B2152" s="2">
        <f>HYPERLINK("https://www.suredividend.com/sure-analysis-research-database/","PCTEL Inc")</f>
        <v>0</v>
      </c>
      <c r="C2152" s="1" t="s">
        <v>3181</v>
      </c>
      <c r="D2152" s="3">
        <v>6.99</v>
      </c>
      <c r="E2152" s="4">
        <v>0</v>
      </c>
      <c r="F2152" s="4" t="s">
        <v>3178</v>
      </c>
      <c r="G2152" s="4" t="s">
        <v>3178</v>
      </c>
      <c r="H2152" s="3">
        <v>0</v>
      </c>
      <c r="I2152" s="5">
        <v>0</v>
      </c>
      <c r="J2152" s="6">
        <v>0</v>
      </c>
      <c r="K2152" s="4">
        <v>0</v>
      </c>
    </row>
    <row r="2153" spans="1:14">
      <c r="A2153" s="8" t="s">
        <v>2165</v>
      </c>
      <c r="B2153" s="2">
        <f>HYPERLINK("https://www.suredividend.com/sure-analysis-research-database/","Paylocity Holding Corp")</f>
        <v>0</v>
      </c>
      <c r="C2153" s="1" t="s">
        <v>3181</v>
      </c>
      <c r="D2153" s="3">
        <v>139.51</v>
      </c>
      <c r="E2153" s="4">
        <v>0</v>
      </c>
      <c r="F2153" s="4" t="s">
        <v>3178</v>
      </c>
      <c r="G2153" s="4" t="s">
        <v>3178</v>
      </c>
      <c r="H2153" s="3">
        <v>0</v>
      </c>
      <c r="I2153" s="5">
        <v>7872.724106</v>
      </c>
      <c r="J2153" s="6">
        <v>40.33137179640473</v>
      </c>
      <c r="K2153" s="4">
        <v>0</v>
      </c>
      <c r="L2153" s="7">
        <v>1.252510257546038</v>
      </c>
      <c r="M2153" s="3">
        <v>230.52</v>
      </c>
      <c r="N2153" s="3">
        <v>135.76</v>
      </c>
    </row>
    <row r="2154" spans="1:14">
      <c r="A2154" s="8" t="s">
        <v>2166</v>
      </c>
      <c r="B2154" s="2">
        <f>HYPERLINK("https://www.suredividend.com/sure-analysis-research-database/","ReposiTrak Inc.")</f>
        <v>0</v>
      </c>
      <c r="C2154" s="1" t="s">
        <v>3181</v>
      </c>
      <c r="D2154" s="3">
        <v>9.800000000000001</v>
      </c>
      <c r="E2154" s="4">
        <v>0</v>
      </c>
      <c r="F2154" s="4" t="s">
        <v>3178</v>
      </c>
      <c r="G2154" s="4" t="s">
        <v>3178</v>
      </c>
      <c r="H2154" s="3">
        <v>0.06293120489435601</v>
      </c>
      <c r="I2154" s="5">
        <v>295.773783</v>
      </c>
      <c r="J2154" s="6">
        <v>0</v>
      </c>
      <c r="K2154" s="4" t="s">
        <v>3178</v>
      </c>
    </row>
    <row r="2155" spans="1:14">
      <c r="A2155" s="8" t="s">
        <v>2167</v>
      </c>
      <c r="B2155" s="2">
        <f>HYPERLINK("https://www.suredividend.com/sure-analysis-research-database/","Pure Cycle Corp.")</f>
        <v>0</v>
      </c>
      <c r="C2155" s="1" t="s">
        <v>3186</v>
      </c>
      <c r="D2155" s="3">
        <v>9.029999999999999</v>
      </c>
      <c r="E2155" s="4">
        <v>0</v>
      </c>
      <c r="F2155" s="4" t="s">
        <v>3178</v>
      </c>
      <c r="G2155" s="4" t="s">
        <v>3178</v>
      </c>
      <c r="H2155" s="3">
        <v>0</v>
      </c>
      <c r="I2155" s="5">
        <v>217.521268</v>
      </c>
      <c r="J2155" s="6">
        <v>0</v>
      </c>
      <c r="K2155" s="4" t="s">
        <v>3178</v>
      </c>
      <c r="L2155" s="7">
        <v>0.9079212502114431</v>
      </c>
      <c r="M2155" s="3">
        <v>13.07</v>
      </c>
      <c r="N2155" s="3">
        <v>9</v>
      </c>
    </row>
    <row r="2156" spans="1:14">
      <c r="A2156" s="8" t="s">
        <v>2168</v>
      </c>
      <c r="B2156" s="2">
        <f>HYPERLINK("https://www.suredividend.com/sure-analysis-research-database/","Pagerduty Inc")</f>
        <v>0</v>
      </c>
      <c r="C2156" s="1" t="s">
        <v>3181</v>
      </c>
      <c r="D2156" s="3">
        <v>19.71</v>
      </c>
      <c r="E2156" s="4">
        <v>0</v>
      </c>
      <c r="F2156" s="4" t="s">
        <v>3178</v>
      </c>
      <c r="G2156" s="4" t="s">
        <v>3178</v>
      </c>
      <c r="H2156" s="3">
        <v>0</v>
      </c>
      <c r="I2156" s="5">
        <v>1884.276315</v>
      </c>
      <c r="J2156" s="6" t="s">
        <v>3178</v>
      </c>
      <c r="K2156" s="4">
        <v>-0</v>
      </c>
      <c r="L2156" s="7">
        <v>2.025629550269184</v>
      </c>
      <c r="M2156" s="3">
        <v>26.7</v>
      </c>
      <c r="N2156" s="3">
        <v>17.92</v>
      </c>
    </row>
    <row r="2157" spans="1:14">
      <c r="A2157" s="8" t="s">
        <v>2169</v>
      </c>
      <c r="B2157" s="2">
        <f>HYPERLINK("https://www.suredividend.com/sure-analysis-research-database/","PDC Energy Inc")</f>
        <v>0</v>
      </c>
      <c r="C2157" s="1" t="s">
        <v>3185</v>
      </c>
      <c r="D2157" s="3">
        <v>73.84999999999999</v>
      </c>
      <c r="E2157" s="4">
        <v>0</v>
      </c>
      <c r="F2157" s="4" t="s">
        <v>3178</v>
      </c>
      <c r="G2157" s="4" t="s">
        <v>3178</v>
      </c>
      <c r="H2157" s="3">
        <v>1.5</v>
      </c>
      <c r="I2157" s="5">
        <v>0</v>
      </c>
      <c r="J2157" s="6">
        <v>0</v>
      </c>
      <c r="K2157" s="4">
        <v>0.07447864945382324</v>
      </c>
    </row>
    <row r="2158" spans="1:14">
      <c r="A2158" s="8" t="s">
        <v>2170</v>
      </c>
      <c r="B2158" s="2">
        <f>HYPERLINK("https://www.suredividend.com/sure-analysis-PDCO/","Patterson Companies Inc.")</f>
        <v>0</v>
      </c>
      <c r="C2158" s="1" t="s">
        <v>3176</v>
      </c>
      <c r="D2158" s="3">
        <v>23.78</v>
      </c>
      <c r="E2158" s="4">
        <v>0.04373423044575273</v>
      </c>
      <c r="F2158" s="4">
        <v>0</v>
      </c>
      <c r="G2158" s="4">
        <v>0</v>
      </c>
      <c r="H2158" s="3">
        <v>1.015626507646235</v>
      </c>
      <c r="I2158" s="5">
        <v>2130.49776</v>
      </c>
      <c r="J2158" s="6">
        <v>10.98987805632931</v>
      </c>
      <c r="K2158" s="4">
        <v>0.5003086244562734</v>
      </c>
      <c r="L2158" s="7">
        <v>0.560149295273481</v>
      </c>
      <c r="M2158" s="3">
        <v>32.98</v>
      </c>
      <c r="N2158" s="3">
        <v>23.6</v>
      </c>
    </row>
    <row r="2159" spans="1:14">
      <c r="A2159" s="8" t="s">
        <v>2171</v>
      </c>
      <c r="B2159" s="2">
        <f>HYPERLINK("https://www.suredividend.com/sure-analysis-research-database/","Pro-Dex Inc. (co)")</f>
        <v>0</v>
      </c>
      <c r="C2159" s="1" t="s">
        <v>3176</v>
      </c>
      <c r="D2159" s="3">
        <v>19.48</v>
      </c>
      <c r="E2159" s="4">
        <v>0</v>
      </c>
      <c r="F2159" s="4" t="s">
        <v>3178</v>
      </c>
      <c r="G2159" s="4" t="s">
        <v>3178</v>
      </c>
      <c r="H2159" s="3">
        <v>0</v>
      </c>
      <c r="I2159" s="5">
        <v>66.603854</v>
      </c>
      <c r="J2159" s="6">
        <v>15.32532299125633</v>
      </c>
      <c r="K2159" s="4">
        <v>0</v>
      </c>
      <c r="M2159" s="3">
        <v>22.99</v>
      </c>
      <c r="N2159" s="3">
        <v>14.51</v>
      </c>
    </row>
    <row r="2160" spans="1:14">
      <c r="A2160" s="8" t="s">
        <v>2172</v>
      </c>
      <c r="B2160" s="2">
        <f>HYPERLINK("https://www.suredividend.com/sure-analysis-research-database/","PDF Solutions Inc.")</f>
        <v>0</v>
      </c>
      <c r="C2160" s="1" t="s">
        <v>3181</v>
      </c>
      <c r="D2160" s="3">
        <v>34.17</v>
      </c>
      <c r="E2160" s="4">
        <v>0</v>
      </c>
      <c r="F2160" s="4" t="s">
        <v>3178</v>
      </c>
      <c r="G2160" s="4" t="s">
        <v>3178</v>
      </c>
      <c r="H2160" s="3">
        <v>0</v>
      </c>
      <c r="I2160" s="5">
        <v>1312.128</v>
      </c>
      <c r="J2160" s="6">
        <v>556.6941026728894</v>
      </c>
      <c r="K2160" s="4">
        <v>0</v>
      </c>
      <c r="L2160" s="7">
        <v>1.783953098697718</v>
      </c>
      <c r="M2160" s="3">
        <v>48.02</v>
      </c>
      <c r="N2160" s="3">
        <v>26.12</v>
      </c>
    </row>
    <row r="2161" spans="1:14">
      <c r="A2161" s="8" t="s">
        <v>2173</v>
      </c>
      <c r="B2161" s="2">
        <f>HYPERLINK("https://www.suredividend.com/sure-analysis-research-database/","Ponce Financial Group Inc")</f>
        <v>0</v>
      </c>
      <c r="C2161" s="1" t="s">
        <v>3180</v>
      </c>
      <c r="D2161" s="3">
        <v>9.029999999999999</v>
      </c>
      <c r="E2161" s="4">
        <v>0</v>
      </c>
      <c r="F2161" s="4" t="s">
        <v>3178</v>
      </c>
      <c r="G2161" s="4" t="s">
        <v>3178</v>
      </c>
      <c r="H2161" s="3">
        <v>0</v>
      </c>
      <c r="I2161" s="5">
        <v>215.01994</v>
      </c>
      <c r="J2161" s="6">
        <v>39.56208646918123</v>
      </c>
      <c r="K2161" s="4">
        <v>0</v>
      </c>
      <c r="L2161" s="7">
        <v>1.016026950185554</v>
      </c>
      <c r="M2161" s="3">
        <v>10.19</v>
      </c>
      <c r="N2161" s="3">
        <v>7.31</v>
      </c>
    </row>
    <row r="2162" spans="1:14">
      <c r="A2162" s="8" t="s">
        <v>2174</v>
      </c>
      <c r="B2162" s="2">
        <f>HYPERLINK("https://www.suredividend.com/sure-analysis-research-database/","PDL Biopharma Inc")</f>
        <v>0</v>
      </c>
      <c r="C2162" s="1" t="s">
        <v>3176</v>
      </c>
      <c r="D2162" s="3">
        <v>2.47</v>
      </c>
      <c r="E2162" s="4">
        <v>0</v>
      </c>
      <c r="F2162" s="4" t="s">
        <v>3178</v>
      </c>
      <c r="G2162" s="4" t="s">
        <v>3178</v>
      </c>
      <c r="H2162" s="3">
        <v>0.07587900012731501</v>
      </c>
      <c r="I2162" s="5">
        <v>0</v>
      </c>
      <c r="J2162" s="6">
        <v>0</v>
      </c>
      <c r="K2162" s="4" t="s">
        <v>3178</v>
      </c>
    </row>
    <row r="2163" spans="1:14">
      <c r="A2163" s="8" t="s">
        <v>2175</v>
      </c>
      <c r="B2163" s="2">
        <f>HYPERLINK("https://www.suredividend.com/sure-analysis-PDM/","Piedmont Office Realty Trust Inc")</f>
        <v>0</v>
      </c>
      <c r="C2163" s="1" t="s">
        <v>3183</v>
      </c>
      <c r="D2163" s="3">
        <v>7.08</v>
      </c>
      <c r="E2163" s="4">
        <v>0.07062146892655367</v>
      </c>
      <c r="F2163" s="4">
        <v>-0.4047619047619048</v>
      </c>
      <c r="G2163" s="4">
        <v>-0.0985572635745805</v>
      </c>
      <c r="H2163" s="3">
        <v>0.486310236562188</v>
      </c>
      <c r="I2163" s="5">
        <v>877.1506869999999</v>
      </c>
      <c r="J2163" s="6" t="s">
        <v>3178</v>
      </c>
      <c r="K2163" s="4" t="s">
        <v>3178</v>
      </c>
      <c r="L2163" s="7">
        <v>1.880474170056111</v>
      </c>
      <c r="M2163" s="3">
        <v>7.54</v>
      </c>
      <c r="N2163" s="3">
        <v>4.64</v>
      </c>
    </row>
    <row r="2164" spans="1:14">
      <c r="A2164" s="8" t="s">
        <v>2176</v>
      </c>
      <c r="B2164" s="2">
        <f>HYPERLINK("https://www.suredividend.com/sure-analysis-research-database/","PDS Biotechnology Corporation")</f>
        <v>0</v>
      </c>
      <c r="C2164" s="1" t="s">
        <v>3176</v>
      </c>
      <c r="D2164" s="3">
        <v>2.915</v>
      </c>
      <c r="E2164" s="4">
        <v>0</v>
      </c>
      <c r="F2164" s="4" t="s">
        <v>3178</v>
      </c>
      <c r="G2164" s="4" t="s">
        <v>3178</v>
      </c>
      <c r="H2164" s="3">
        <v>0</v>
      </c>
      <c r="I2164" s="5">
        <v>106.920087</v>
      </c>
      <c r="J2164" s="6">
        <v>0</v>
      </c>
      <c r="K2164" s="4" t="s">
        <v>3178</v>
      </c>
      <c r="L2164" s="7">
        <v>2.743969511979182</v>
      </c>
      <c r="M2164" s="3">
        <v>6.92</v>
      </c>
      <c r="N2164" s="3">
        <v>2.59</v>
      </c>
    </row>
    <row r="2165" spans="1:14">
      <c r="A2165" s="8" t="s">
        <v>2177</v>
      </c>
      <c r="B2165" s="2">
        <f>HYPERLINK("https://www.suredividend.com/sure-analysis-research-database/","Parsley Energy Inc")</f>
        <v>0</v>
      </c>
      <c r="C2165" s="1" t="s">
        <v>3185</v>
      </c>
      <c r="D2165" s="3">
        <v>16.93</v>
      </c>
      <c r="E2165" s="4">
        <v>0.011742258798249</v>
      </c>
      <c r="F2165" s="4" t="s">
        <v>3178</v>
      </c>
      <c r="G2165" s="4" t="s">
        <v>3178</v>
      </c>
      <c r="H2165" s="3">
        <v>0.198796441454361</v>
      </c>
      <c r="I2165" s="5">
        <v>6410.768162</v>
      </c>
      <c r="J2165" s="6" t="s">
        <v>3178</v>
      </c>
      <c r="K2165" s="4" t="s">
        <v>3178</v>
      </c>
      <c r="L2165" s="7">
        <v>1.571006103993863</v>
      </c>
      <c r="M2165" s="3">
        <v>17.59</v>
      </c>
      <c r="N2165" s="3">
        <v>4.07</v>
      </c>
    </row>
    <row r="2166" spans="1:14">
      <c r="A2166" s="8" t="s">
        <v>2178</v>
      </c>
      <c r="B2166" s="2">
        <f>HYPERLINK("https://www.suredividend.com/sure-analysis-research-database/","Pebblebrook Hotel Trust")</f>
        <v>0</v>
      </c>
      <c r="C2166" s="1" t="s">
        <v>3183</v>
      </c>
      <c r="D2166" s="3">
        <v>13.84</v>
      </c>
      <c r="E2166" s="4">
        <v>0.002887343053608</v>
      </c>
      <c r="F2166" s="4">
        <v>0</v>
      </c>
      <c r="G2166" s="4">
        <v>-0.5168930551573858</v>
      </c>
      <c r="H2166" s="3">
        <v>0.03996082786194501</v>
      </c>
      <c r="I2166" s="5">
        <v>1667.768454</v>
      </c>
      <c r="J2166" s="6" t="s">
        <v>3178</v>
      </c>
      <c r="K2166" s="4" t="s">
        <v>3178</v>
      </c>
      <c r="L2166" s="7">
        <v>1.472855871965304</v>
      </c>
      <c r="M2166" s="3">
        <v>16.64</v>
      </c>
      <c r="N2166" s="3">
        <v>11.37</v>
      </c>
    </row>
    <row r="2167" spans="1:14">
      <c r="A2167" s="8" t="s">
        <v>2179</v>
      </c>
      <c r="B2167" s="2">
        <f>HYPERLINK("https://www.suredividend.com/sure-analysis-research-database/","Peoples Bancorp Of North Carolina Inc")</f>
        <v>0</v>
      </c>
      <c r="C2167" s="1" t="s">
        <v>3180</v>
      </c>
      <c r="D2167" s="3">
        <v>29.9</v>
      </c>
      <c r="E2167" s="4">
        <v>0.024768444840906</v>
      </c>
      <c r="F2167" s="4">
        <v>0</v>
      </c>
      <c r="G2167" s="4">
        <v>0.04841317128472156</v>
      </c>
      <c r="H2167" s="3">
        <v>0.7405765007431041</v>
      </c>
      <c r="I2167" s="5">
        <v>158.201767</v>
      </c>
      <c r="J2167" s="6">
        <v>0</v>
      </c>
      <c r="K2167" s="4" t="s">
        <v>3178</v>
      </c>
      <c r="M2167" s="3">
        <v>31.2</v>
      </c>
      <c r="N2167" s="3">
        <v>16.09</v>
      </c>
    </row>
    <row r="2168" spans="1:14">
      <c r="A2168" s="8" t="s">
        <v>2180</v>
      </c>
      <c r="B2168" s="2">
        <f>HYPERLINK("https://www.suredividend.com/sure-analysis-research-database/","Peoples Bancorp, Inc. (Marietta, OH)")</f>
        <v>0</v>
      </c>
      <c r="C2168" s="1" t="s">
        <v>3180</v>
      </c>
      <c r="D2168" s="3">
        <v>28.63</v>
      </c>
      <c r="E2168" s="4">
        <v>0.052692201445529</v>
      </c>
      <c r="F2168" s="4" t="s">
        <v>3178</v>
      </c>
      <c r="G2168" s="4" t="s">
        <v>3178</v>
      </c>
      <c r="H2168" s="3">
        <v>1.508577727385512</v>
      </c>
      <c r="I2168" s="5">
        <v>1016.188754</v>
      </c>
      <c r="J2168" s="6">
        <v>8.796952402437757</v>
      </c>
      <c r="K2168" s="4">
        <v>0.450321709667317</v>
      </c>
      <c r="L2168" s="7">
        <v>0.683011186276549</v>
      </c>
      <c r="M2168" s="3">
        <v>33.02</v>
      </c>
      <c r="N2168" s="3">
        <v>22.86</v>
      </c>
    </row>
    <row r="2169" spans="1:14">
      <c r="A2169" s="8" t="s">
        <v>2181</v>
      </c>
      <c r="B2169" s="2">
        <f>HYPERLINK("https://www.suredividend.com/sure-analysis-research-database/","PEDEVCO Corp")</f>
        <v>0</v>
      </c>
      <c r="C2169" s="1" t="s">
        <v>3185</v>
      </c>
      <c r="D2169" s="3">
        <v>0.88</v>
      </c>
      <c r="E2169" s="4">
        <v>0</v>
      </c>
      <c r="F2169" s="4" t="s">
        <v>3178</v>
      </c>
      <c r="G2169" s="4" t="s">
        <v>3178</v>
      </c>
      <c r="H2169" s="3">
        <v>0</v>
      </c>
      <c r="I2169" s="5">
        <v>78.63263499999999</v>
      </c>
      <c r="J2169" s="6">
        <v>0</v>
      </c>
      <c r="K2169" s="4" t="s">
        <v>3178</v>
      </c>
      <c r="L2169" s="7">
        <v>-0.029861097383888</v>
      </c>
      <c r="M2169" s="3">
        <v>1.13</v>
      </c>
      <c r="N2169" s="3">
        <v>0.61</v>
      </c>
    </row>
    <row r="2170" spans="1:14">
      <c r="A2170" s="8" t="s">
        <v>2182</v>
      </c>
      <c r="B2170" s="2">
        <f>HYPERLINK("https://www.suredividend.com/sure-analysis-PEG/","Public Service Enterprise Group Inc.")</f>
        <v>0</v>
      </c>
      <c r="C2170" s="1" t="s">
        <v>3186</v>
      </c>
      <c r="D2170" s="3">
        <v>72.88</v>
      </c>
      <c r="E2170" s="4">
        <v>0.03293084522502744</v>
      </c>
      <c r="F2170" s="4">
        <v>0.05263157894736836</v>
      </c>
      <c r="G2170" s="4">
        <v>0.05005169060192549</v>
      </c>
      <c r="H2170" s="3">
        <v>2.310466616379369</v>
      </c>
      <c r="I2170" s="5">
        <v>36300.104435</v>
      </c>
      <c r="J2170" s="6">
        <v>20.0774913910177</v>
      </c>
      <c r="K2170" s="4">
        <v>0.6382504465136377</v>
      </c>
      <c r="L2170" s="7">
        <v>0.487059727089556</v>
      </c>
      <c r="M2170" s="3">
        <v>75.20999999999999</v>
      </c>
      <c r="N2170" s="3">
        <v>52.31</v>
      </c>
    </row>
    <row r="2171" spans="1:14">
      <c r="A2171" s="8" t="s">
        <v>2183</v>
      </c>
      <c r="B2171" s="2">
        <f>HYPERLINK("https://www.suredividend.com/sure-analysis-research-database/","Pegasystems Inc.")</f>
        <v>0</v>
      </c>
      <c r="C2171" s="1" t="s">
        <v>3181</v>
      </c>
      <c r="D2171" s="3">
        <v>57.68</v>
      </c>
      <c r="E2171" s="4">
        <v>0.002077741243102</v>
      </c>
      <c r="F2171" s="4">
        <v>0</v>
      </c>
      <c r="G2171" s="4">
        <v>0</v>
      </c>
      <c r="H2171" s="3">
        <v>0.119844114902134</v>
      </c>
      <c r="I2171" s="5">
        <v>4904.5304</v>
      </c>
      <c r="J2171" s="6">
        <v>64.14672630725366</v>
      </c>
      <c r="K2171" s="4">
        <v>0.1502559113617528</v>
      </c>
      <c r="L2171" s="7">
        <v>1.777808672940271</v>
      </c>
      <c r="M2171" s="3">
        <v>69.23</v>
      </c>
      <c r="N2171" s="3">
        <v>37.6</v>
      </c>
    </row>
    <row r="2172" spans="1:14">
      <c r="A2172" s="8" t="s">
        <v>2184</v>
      </c>
      <c r="B2172" s="2">
        <f>HYPERLINK("https://www.suredividend.com/sure-analysis-research-database/","Pennsylvania Real Estate Investment Trust")</f>
        <v>0</v>
      </c>
      <c r="C2172" s="1" t="s">
        <v>3183</v>
      </c>
      <c r="E2172" s="4">
        <v>0</v>
      </c>
      <c r="F2172" s="4" t="s">
        <v>3178</v>
      </c>
      <c r="G2172" s="4" t="s">
        <v>3178</v>
      </c>
      <c r="H2172" s="3">
        <v>0</v>
      </c>
      <c r="I2172" s="5">
        <v>12.833009</v>
      </c>
      <c r="J2172" s="6">
        <v>0</v>
      </c>
      <c r="K2172" s="4">
        <v>-0</v>
      </c>
    </row>
    <row r="2173" spans="1:14">
      <c r="A2173" s="8" t="s">
        <v>2185</v>
      </c>
      <c r="B2173" s="2">
        <f>HYPERLINK("https://www.suredividend.com/sure-analysis-research-database/","Penumbra Inc")</f>
        <v>0</v>
      </c>
      <c r="C2173" s="1" t="s">
        <v>3176</v>
      </c>
      <c r="D2173" s="3">
        <v>188.95</v>
      </c>
      <c r="E2173" s="4">
        <v>0</v>
      </c>
      <c r="F2173" s="4" t="s">
        <v>3178</v>
      </c>
      <c r="G2173" s="4" t="s">
        <v>3178</v>
      </c>
      <c r="H2173" s="3">
        <v>0</v>
      </c>
      <c r="I2173" s="5">
        <v>7324.631067</v>
      </c>
      <c r="J2173" s="6">
        <v>78.4272123171724</v>
      </c>
      <c r="K2173" s="4">
        <v>0</v>
      </c>
      <c r="L2173" s="7">
        <v>1.275397249440167</v>
      </c>
      <c r="M2173" s="3">
        <v>348.67</v>
      </c>
      <c r="N2173" s="3">
        <v>180.93</v>
      </c>
    </row>
    <row r="2174" spans="1:14">
      <c r="A2174" s="8" t="s">
        <v>2186</v>
      </c>
      <c r="B2174" s="2">
        <f>HYPERLINK("https://www.suredividend.com/sure-analysis-research-database/","PENN Entertainment Inc")</f>
        <v>0</v>
      </c>
      <c r="C2174" s="1" t="s">
        <v>3182</v>
      </c>
      <c r="D2174" s="3">
        <v>17.16</v>
      </c>
      <c r="E2174" s="4">
        <v>0</v>
      </c>
      <c r="F2174" s="4" t="s">
        <v>3178</v>
      </c>
      <c r="G2174" s="4" t="s">
        <v>3178</v>
      </c>
      <c r="H2174" s="3">
        <v>0</v>
      </c>
      <c r="I2174" s="5">
        <v>2615.974372</v>
      </c>
      <c r="J2174" s="6" t="s">
        <v>3178</v>
      </c>
      <c r="K2174" s="4">
        <v>-0</v>
      </c>
      <c r="L2174" s="7">
        <v>1.754651686938323</v>
      </c>
      <c r="M2174" s="3">
        <v>29.38</v>
      </c>
      <c r="N2174" s="3">
        <v>13.5</v>
      </c>
    </row>
    <row r="2175" spans="1:14">
      <c r="A2175" s="8" t="s">
        <v>2187</v>
      </c>
      <c r="B2175" s="2">
        <f>HYPERLINK("https://www.suredividend.com/sure-analysis-PEP/","PepsiCo Inc")</f>
        <v>0</v>
      </c>
      <c r="C2175" s="1" t="s">
        <v>3184</v>
      </c>
      <c r="D2175" s="3">
        <v>171.04</v>
      </c>
      <c r="E2175" s="4">
        <v>0.03168849391955098</v>
      </c>
      <c r="F2175" s="4">
        <v>0.07114624505928835</v>
      </c>
      <c r="G2175" s="4">
        <v>0.07247501827666003</v>
      </c>
      <c r="H2175" s="3">
        <v>5.034771052133026</v>
      </c>
      <c r="I2175" s="5">
        <v>235143.394019</v>
      </c>
      <c r="J2175" s="6">
        <v>25.6035925543554</v>
      </c>
      <c r="K2175" s="4">
        <v>0.7571084288921843</v>
      </c>
      <c r="L2175" s="7">
        <v>0.375978206460049</v>
      </c>
      <c r="M2175" s="3">
        <v>181.15</v>
      </c>
      <c r="N2175" s="3">
        <v>148.81</v>
      </c>
    </row>
    <row r="2176" spans="1:14">
      <c r="A2176" s="8" t="s">
        <v>2188</v>
      </c>
      <c r="B2176" s="2">
        <f>HYPERLINK("https://www.suredividend.com/sure-analysis-research-database/","Perma-Fix Environmental Services, Inc.")</f>
        <v>0</v>
      </c>
      <c r="C2176" s="1" t="s">
        <v>3179</v>
      </c>
      <c r="D2176" s="3">
        <v>9.630000000000001</v>
      </c>
      <c r="E2176" s="4">
        <v>0</v>
      </c>
      <c r="F2176" s="4" t="s">
        <v>3178</v>
      </c>
      <c r="G2176" s="4" t="s">
        <v>3178</v>
      </c>
      <c r="H2176" s="3">
        <v>0</v>
      </c>
      <c r="I2176" s="5">
        <v>132.270968</v>
      </c>
      <c r="J2176" s="6" t="s">
        <v>3178</v>
      </c>
      <c r="K2176" s="4">
        <v>-0</v>
      </c>
      <c r="L2176" s="7">
        <v>1.611080141834351</v>
      </c>
      <c r="M2176" s="3">
        <v>14.17</v>
      </c>
      <c r="N2176" s="3">
        <v>6.51</v>
      </c>
    </row>
    <row r="2177" spans="1:14">
      <c r="A2177" s="8" t="s">
        <v>2189</v>
      </c>
      <c r="B2177" s="2">
        <f>HYPERLINK("https://www.suredividend.com/sure-analysis-research-database/","PetIQ Inc")</f>
        <v>0</v>
      </c>
      <c r="C2177" s="1" t="s">
        <v>3176</v>
      </c>
      <c r="D2177" s="3">
        <v>21.94</v>
      </c>
      <c r="E2177" s="4">
        <v>0</v>
      </c>
      <c r="F2177" s="4" t="s">
        <v>3178</v>
      </c>
      <c r="G2177" s="4" t="s">
        <v>3178</v>
      </c>
      <c r="H2177" s="3">
        <v>0</v>
      </c>
      <c r="I2177" s="5">
        <v>647.675536</v>
      </c>
      <c r="J2177" s="6">
        <v>88.25119710859791</v>
      </c>
      <c r="K2177" s="4">
        <v>0</v>
      </c>
      <c r="L2177" s="7">
        <v>0.8742020454712881</v>
      </c>
      <c r="M2177" s="3">
        <v>22.98</v>
      </c>
      <c r="N2177" s="3">
        <v>13.56</v>
      </c>
    </row>
    <row r="2178" spans="1:14">
      <c r="A2178" s="8" t="s">
        <v>2190</v>
      </c>
      <c r="B2178" s="2">
        <f>HYPERLINK("https://www.suredividend.com/sure-analysis-research-database/","Petmed Express, Inc.")</f>
        <v>0</v>
      </c>
      <c r="C2178" s="1" t="s">
        <v>3176</v>
      </c>
      <c r="D2178" s="3">
        <v>4.34</v>
      </c>
      <c r="E2178" s="4">
        <v>0.06912442670989101</v>
      </c>
      <c r="F2178" s="4" t="s">
        <v>3178</v>
      </c>
      <c r="G2178" s="4" t="s">
        <v>3178</v>
      </c>
      <c r="H2178" s="3">
        <v>0.300000011920928</v>
      </c>
      <c r="I2178" s="5">
        <v>91.78532300000001</v>
      </c>
      <c r="J2178" s="6">
        <v>17.85706678599222</v>
      </c>
      <c r="K2178" s="4">
        <v>1.187178519671262</v>
      </c>
      <c r="L2178" s="7">
        <v>0.8408948386730041</v>
      </c>
      <c r="M2178" s="3">
        <v>14.73</v>
      </c>
      <c r="N2178" s="3">
        <v>3.92</v>
      </c>
    </row>
    <row r="2179" spans="1:14">
      <c r="A2179" s="8" t="s">
        <v>2191</v>
      </c>
      <c r="B2179" s="2">
        <f>HYPERLINK("https://www.suredividend.com/sure-analysis-research-database/","Preferred Bank (Los Angeles, CA)")</f>
        <v>0</v>
      </c>
      <c r="C2179" s="1" t="s">
        <v>3180</v>
      </c>
      <c r="D2179" s="3">
        <v>73.76000000000001</v>
      </c>
      <c r="E2179" s="4">
        <v>0.033255345210494</v>
      </c>
      <c r="F2179" s="4">
        <v>0.2727272727272727</v>
      </c>
      <c r="G2179" s="4">
        <v>0.1846644525422441</v>
      </c>
      <c r="H2179" s="3">
        <v>2.452914262726072</v>
      </c>
      <c r="I2179" s="5">
        <v>972.82064</v>
      </c>
      <c r="J2179" s="6">
        <v>6.90482390517425</v>
      </c>
      <c r="K2179" s="4">
        <v>0.2563128801176668</v>
      </c>
      <c r="L2179" s="7">
        <v>0.9059860644854191</v>
      </c>
      <c r="M2179" s="3">
        <v>81.13</v>
      </c>
      <c r="N2179" s="3">
        <v>49.6</v>
      </c>
    </row>
    <row r="2180" spans="1:14">
      <c r="A2180" s="8" t="s">
        <v>2192</v>
      </c>
      <c r="B2180" s="2">
        <f>HYPERLINK("https://www.suredividend.com/sure-analysis-research-database/","Premier Financial Bancorp, Inc.")</f>
        <v>0</v>
      </c>
      <c r="C2180" s="1" t="s">
        <v>3180</v>
      </c>
      <c r="D2180" s="3">
        <v>17.79</v>
      </c>
      <c r="E2180" s="4">
        <v>0</v>
      </c>
      <c r="F2180" s="4" t="s">
        <v>3178</v>
      </c>
      <c r="G2180" s="4" t="s">
        <v>3178</v>
      </c>
      <c r="H2180" s="3">
        <v>0.583953670990024</v>
      </c>
      <c r="I2180" s="5">
        <v>0</v>
      </c>
      <c r="J2180" s="6">
        <v>0</v>
      </c>
      <c r="K2180" s="4" t="s">
        <v>3178</v>
      </c>
    </row>
    <row r="2181" spans="1:14">
      <c r="A2181" s="8" t="s">
        <v>2193</v>
      </c>
      <c r="B2181" s="2">
        <f>HYPERLINK("https://www.suredividend.com/sure-analysis-PFE/","Pfizer Inc.")</f>
        <v>0</v>
      </c>
      <c r="C2181" s="1" t="s">
        <v>3176</v>
      </c>
      <c r="D2181" s="3">
        <v>28.58</v>
      </c>
      <c r="E2181" s="4">
        <v>0.05878236529041288</v>
      </c>
      <c r="F2181" s="4">
        <v>0.02439024390243882</v>
      </c>
      <c r="G2181" s="4">
        <v>0.03131030647754507</v>
      </c>
      <c r="H2181" s="3">
        <v>1.62430848393555</v>
      </c>
      <c r="I2181" s="5">
        <v>161951.225025</v>
      </c>
      <c r="J2181" s="6" t="s">
        <v>3178</v>
      </c>
      <c r="K2181" s="4" t="s">
        <v>3178</v>
      </c>
      <c r="L2181" s="7">
        <v>0.449275741244932</v>
      </c>
      <c r="M2181" s="3">
        <v>38.23</v>
      </c>
      <c r="N2181" s="3">
        <v>24.83</v>
      </c>
    </row>
    <row r="2182" spans="1:14">
      <c r="A2182" s="8" t="s">
        <v>2194</v>
      </c>
      <c r="B2182" s="2">
        <f>HYPERLINK("https://www.suredividend.com/sure-analysis-PFG/","Principal Financial Group Inc")</f>
        <v>0</v>
      </c>
      <c r="C2182" s="1" t="s">
        <v>3180</v>
      </c>
      <c r="D2182" s="3">
        <v>79.27</v>
      </c>
      <c r="E2182" s="4">
        <v>0.03582692065093983</v>
      </c>
      <c r="F2182" s="4">
        <v>0.109375</v>
      </c>
      <c r="G2182" s="4">
        <v>0.05239586215841796</v>
      </c>
      <c r="H2182" s="3">
        <v>2.651768807452105</v>
      </c>
      <c r="I2182" s="5">
        <v>18579.583295</v>
      </c>
      <c r="J2182" s="6">
        <v>14.33831092380768</v>
      </c>
      <c r="K2182" s="4">
        <v>0.4984527833556588</v>
      </c>
      <c r="L2182" s="7">
        <v>0.7184238969598301</v>
      </c>
      <c r="M2182" s="3">
        <v>85.29000000000001</v>
      </c>
      <c r="N2182" s="3">
        <v>62.8</v>
      </c>
    </row>
    <row r="2183" spans="1:14">
      <c r="A2183" s="8" t="s">
        <v>2195</v>
      </c>
      <c r="B2183" s="2">
        <f>HYPERLINK("https://www.suredividend.com/sure-analysis-research-database/","Performance Food Group Company")</f>
        <v>0</v>
      </c>
      <c r="C2183" s="1" t="s">
        <v>3184</v>
      </c>
      <c r="D2183" s="3">
        <v>69.5</v>
      </c>
      <c r="E2183" s="4">
        <v>0</v>
      </c>
      <c r="F2183" s="4" t="s">
        <v>3178</v>
      </c>
      <c r="G2183" s="4" t="s">
        <v>3178</v>
      </c>
      <c r="H2183" s="3">
        <v>0</v>
      </c>
      <c r="I2183" s="5">
        <v>10814.909039</v>
      </c>
      <c r="J2183" s="6">
        <v>25.18609464136004</v>
      </c>
      <c r="K2183" s="4">
        <v>0</v>
      </c>
      <c r="L2183" s="7">
        <v>0.742004303822125</v>
      </c>
      <c r="M2183" s="3">
        <v>78.54000000000001</v>
      </c>
      <c r="N2183" s="3">
        <v>52.92</v>
      </c>
    </row>
    <row r="2184" spans="1:14">
      <c r="A2184" s="8" t="s">
        <v>2196</v>
      </c>
      <c r="B2184" s="2">
        <f>HYPERLINK("https://www.suredividend.com/sure-analysis-research-database/","Profire Energy Inc")</f>
        <v>0</v>
      </c>
      <c r="C2184" s="1" t="s">
        <v>3185</v>
      </c>
      <c r="D2184" s="3">
        <v>1.43</v>
      </c>
      <c r="E2184" s="4">
        <v>0</v>
      </c>
      <c r="F2184" s="4" t="s">
        <v>3178</v>
      </c>
      <c r="G2184" s="4" t="s">
        <v>3178</v>
      </c>
      <c r="H2184" s="3">
        <v>0</v>
      </c>
      <c r="I2184" s="5">
        <v>67.35476199999999</v>
      </c>
      <c r="J2184" s="6">
        <v>0</v>
      </c>
      <c r="K2184" s="4" t="s">
        <v>3178</v>
      </c>
      <c r="L2184" s="7">
        <v>1.010557400085594</v>
      </c>
      <c r="M2184" s="3">
        <v>3.29</v>
      </c>
      <c r="N2184" s="3">
        <v>1.18</v>
      </c>
    </row>
    <row r="2185" spans="1:14">
      <c r="A2185" s="8" t="s">
        <v>2197</v>
      </c>
      <c r="B2185" s="2">
        <f>HYPERLINK("https://www.suredividend.com/sure-analysis-research-database/","P &amp; F Industries, Inc.")</f>
        <v>0</v>
      </c>
      <c r="C2185" s="1" t="s">
        <v>3179</v>
      </c>
      <c r="D2185" s="3">
        <v>12.995</v>
      </c>
      <c r="E2185" s="4">
        <v>0</v>
      </c>
      <c r="F2185" s="4" t="s">
        <v>3178</v>
      </c>
      <c r="G2185" s="4" t="s">
        <v>3178</v>
      </c>
      <c r="H2185" s="3">
        <v>0.197201853148245</v>
      </c>
      <c r="I2185" s="5">
        <v>0</v>
      </c>
      <c r="J2185" s="6">
        <v>0</v>
      </c>
      <c r="K2185" s="4" t="s">
        <v>3178</v>
      </c>
    </row>
    <row r="2186" spans="1:14">
      <c r="A2186" s="8" t="s">
        <v>2198</v>
      </c>
      <c r="B2186" s="2">
        <f>HYPERLINK("https://www.suredividend.com/sure-analysis-research-database/","Peoples Financial Services Corp")</f>
        <v>0</v>
      </c>
      <c r="C2186" s="1" t="s">
        <v>3180</v>
      </c>
      <c r="D2186" s="3">
        <v>38.35</v>
      </c>
      <c r="E2186" s="4">
        <v>0.041486191166053</v>
      </c>
      <c r="F2186" s="4">
        <v>0</v>
      </c>
      <c r="G2186" s="4">
        <v>0.03815210271659408</v>
      </c>
      <c r="H2186" s="3">
        <v>1.590995431218134</v>
      </c>
      <c r="I2186" s="5">
        <v>270.645844</v>
      </c>
      <c r="J2186" s="6">
        <v>0</v>
      </c>
      <c r="K2186" s="4" t="s">
        <v>3178</v>
      </c>
      <c r="L2186" s="7">
        <v>0.9129476376519821</v>
      </c>
      <c r="M2186" s="3">
        <v>47.98</v>
      </c>
      <c r="N2186" s="3">
        <v>35.5</v>
      </c>
    </row>
    <row r="2187" spans="1:14">
      <c r="A2187" s="8" t="s">
        <v>2199</v>
      </c>
      <c r="B2187" s="2">
        <f>HYPERLINK("https://www.suredividend.com/sure-analysis-research-database/","Performant Financial Corp")</f>
        <v>0</v>
      </c>
      <c r="C2187" s="1" t="s">
        <v>3179</v>
      </c>
      <c r="D2187" s="3">
        <v>2.97</v>
      </c>
      <c r="E2187" s="4">
        <v>0</v>
      </c>
      <c r="F2187" s="4" t="s">
        <v>3178</v>
      </c>
      <c r="G2187" s="4" t="s">
        <v>3178</v>
      </c>
      <c r="H2187" s="3">
        <v>0</v>
      </c>
      <c r="I2187" s="5">
        <v>228.551527</v>
      </c>
      <c r="J2187" s="6">
        <v>0</v>
      </c>
      <c r="K2187" s="4" t="s">
        <v>3178</v>
      </c>
      <c r="L2187" s="7">
        <v>1.868609169368175</v>
      </c>
      <c r="M2187" s="3">
        <v>3.61</v>
      </c>
      <c r="N2187" s="3">
        <v>2</v>
      </c>
    </row>
    <row r="2188" spans="1:14">
      <c r="A2188" s="8" t="s">
        <v>2200</v>
      </c>
      <c r="B2188" s="2">
        <f>HYPERLINK("https://www.suredividend.com/sure-analysis-research-database/","Proofpoint Inc")</f>
        <v>0</v>
      </c>
      <c r="C2188" s="1" t="s">
        <v>3181</v>
      </c>
      <c r="D2188" s="3">
        <v>175.9</v>
      </c>
      <c r="E2188" s="4">
        <v>0</v>
      </c>
      <c r="F2188" s="4" t="s">
        <v>3178</v>
      </c>
      <c r="G2188" s="4" t="s">
        <v>3178</v>
      </c>
      <c r="H2188" s="3">
        <v>0</v>
      </c>
      <c r="I2188" s="5">
        <v>0</v>
      </c>
      <c r="J2188" s="6">
        <v>0</v>
      </c>
      <c r="K2188" s="4">
        <v>-0</v>
      </c>
    </row>
    <row r="2189" spans="1:14">
      <c r="A2189" s="8" t="s">
        <v>2201</v>
      </c>
      <c r="B2189" s="2">
        <f>HYPERLINK("https://www.suredividend.com/sure-analysis-research-database/","Provident Financial Services Inc")</f>
        <v>0</v>
      </c>
      <c r="C2189" s="1" t="s">
        <v>3180</v>
      </c>
      <c r="D2189" s="3">
        <v>13.67</v>
      </c>
      <c r="E2189" s="4">
        <v>0.068580824028173</v>
      </c>
      <c r="F2189" s="4">
        <v>0</v>
      </c>
      <c r="G2189" s="4">
        <v>0.008548252303932413</v>
      </c>
      <c r="H2189" s="3">
        <v>0.9374998644651261</v>
      </c>
      <c r="I2189" s="5">
        <v>1038.703672</v>
      </c>
      <c r="J2189" s="6">
        <v>8.659905224521443</v>
      </c>
      <c r="K2189" s="4">
        <v>0.5859374152907038</v>
      </c>
      <c r="L2189" s="7">
        <v>1.175443076433876</v>
      </c>
      <c r="M2189" s="3">
        <v>18.45</v>
      </c>
      <c r="N2189" s="3">
        <v>12.8</v>
      </c>
    </row>
    <row r="2190" spans="1:14">
      <c r="A2190" s="8" t="s">
        <v>2202</v>
      </c>
      <c r="B2190" s="2">
        <f>HYPERLINK("https://www.suredividend.com/sure-analysis-research-database/","PFSWEB Inc")</f>
        <v>0</v>
      </c>
      <c r="C2190" s="1" t="s">
        <v>3179</v>
      </c>
      <c r="D2190" s="3">
        <v>7.49</v>
      </c>
      <c r="E2190" s="4">
        <v>0</v>
      </c>
      <c r="F2190" s="4" t="s">
        <v>3178</v>
      </c>
      <c r="G2190" s="4" t="s">
        <v>3178</v>
      </c>
      <c r="H2190" s="3">
        <v>0</v>
      </c>
      <c r="I2190" s="5">
        <v>0</v>
      </c>
      <c r="J2190" s="6">
        <v>0</v>
      </c>
      <c r="K2190" s="4">
        <v>-0</v>
      </c>
    </row>
    <row r="2191" spans="1:14">
      <c r="A2191" s="8" t="s">
        <v>2203</v>
      </c>
      <c r="B2191" s="2">
        <f>HYPERLINK("https://www.suredividend.com/sure-analysis-PG/","Procter &amp; Gamble Co.")</f>
        <v>0</v>
      </c>
      <c r="C2191" s="1" t="s">
        <v>3184</v>
      </c>
      <c r="D2191" s="3">
        <v>167.06</v>
      </c>
      <c r="E2191" s="4">
        <v>0.0241230695558482</v>
      </c>
      <c r="F2191" s="4">
        <v>0.06994791113000942</v>
      </c>
      <c r="G2191" s="4">
        <v>0.06176067086674641</v>
      </c>
      <c r="H2191" s="3">
        <v>3.792951794455249</v>
      </c>
      <c r="I2191" s="5">
        <v>394284.200211</v>
      </c>
      <c r="J2191" s="6">
        <v>26.56006737695656</v>
      </c>
      <c r="K2191" s="4">
        <v>0.6321586324092082</v>
      </c>
      <c r="L2191" s="7">
        <v>0.282799983726431</v>
      </c>
      <c r="M2191" s="3">
        <v>168.97</v>
      </c>
      <c r="N2191" s="3">
        <v>138.79</v>
      </c>
    </row>
    <row r="2192" spans="1:14">
      <c r="A2192" s="8" t="s">
        <v>2204</v>
      </c>
      <c r="B2192" s="2">
        <f>HYPERLINK("https://www.suredividend.com/sure-analysis-research-database/","Peapack-Gladstone Financial Corp.")</f>
        <v>0</v>
      </c>
      <c r="C2192" s="1" t="s">
        <v>3180</v>
      </c>
      <c r="D2192" s="3">
        <v>21.09</v>
      </c>
      <c r="E2192" s="4">
        <v>0.009429392471144001</v>
      </c>
      <c r="F2192" s="4">
        <v>0</v>
      </c>
      <c r="G2192" s="4">
        <v>0</v>
      </c>
      <c r="H2192" s="3">
        <v>0.198865887216446</v>
      </c>
      <c r="I2192" s="5">
        <v>374.688146</v>
      </c>
      <c r="J2192" s="6">
        <v>7.669548976132968</v>
      </c>
      <c r="K2192" s="4">
        <v>0.07338224620533064</v>
      </c>
      <c r="L2192" s="7">
        <v>1.214044512589073</v>
      </c>
      <c r="M2192" s="3">
        <v>31.12</v>
      </c>
      <c r="N2192" s="3">
        <v>20.3</v>
      </c>
    </row>
    <row r="2193" spans="1:14">
      <c r="A2193" s="8" t="s">
        <v>2205</v>
      </c>
      <c r="B2193" s="2">
        <f>HYPERLINK("https://www.suredividend.com/sure-analysis-research-database/","Progressive Corp.")</f>
        <v>0</v>
      </c>
      <c r="C2193" s="1" t="s">
        <v>3180</v>
      </c>
      <c r="D2193" s="3">
        <v>212.53</v>
      </c>
      <c r="E2193" s="4">
        <v>0.005407757801546001</v>
      </c>
      <c r="F2193" s="4">
        <v>0</v>
      </c>
      <c r="G2193" s="4">
        <v>0</v>
      </c>
      <c r="H2193" s="3">
        <v>1.149310765562628</v>
      </c>
      <c r="I2193" s="5">
        <v>124478.478189</v>
      </c>
      <c r="J2193" s="6">
        <v>21.69143662027498</v>
      </c>
      <c r="K2193" s="4">
        <v>0.1176367211425413</v>
      </c>
      <c r="L2193" s="7">
        <v>-0.09854203144651301</v>
      </c>
      <c r="M2193" s="3">
        <v>217.77</v>
      </c>
      <c r="N2193" s="3">
        <v>111.21</v>
      </c>
    </row>
    <row r="2194" spans="1:14">
      <c r="A2194" s="8" t="s">
        <v>2206</v>
      </c>
      <c r="B2194" s="2">
        <f>HYPERLINK("https://www.suredividend.com/sure-analysis-PGRE/","Paramount Group Inc")</f>
        <v>0</v>
      </c>
      <c r="C2194" s="1" t="s">
        <v>3183</v>
      </c>
      <c r="D2194" s="3">
        <v>4.53</v>
      </c>
      <c r="E2194" s="4">
        <v>0.03090507726269316</v>
      </c>
      <c r="F2194" s="4">
        <v>-0.5483870967741935</v>
      </c>
      <c r="G2194" s="4">
        <v>-0.1893869169010509</v>
      </c>
      <c r="H2194" s="3">
        <v>0.138444654562035</v>
      </c>
      <c r="I2194" s="5">
        <v>984.501521</v>
      </c>
      <c r="J2194" s="6" t="s">
        <v>3178</v>
      </c>
      <c r="K2194" s="4" t="s">
        <v>3178</v>
      </c>
      <c r="L2194" s="7">
        <v>1.591062692113399</v>
      </c>
      <c r="M2194" s="3">
        <v>5.83</v>
      </c>
      <c r="N2194" s="3">
        <v>4</v>
      </c>
    </row>
    <row r="2195" spans="1:14">
      <c r="A2195" s="8" t="s">
        <v>2207</v>
      </c>
      <c r="B2195" s="2">
        <f>HYPERLINK("https://www.suredividend.com/sure-analysis-research-database/","PGT Innovations Inc")</f>
        <v>0</v>
      </c>
      <c r="C2195" s="1" t="s">
        <v>3179</v>
      </c>
      <c r="D2195" s="3">
        <v>41.99</v>
      </c>
      <c r="E2195" s="4">
        <v>0</v>
      </c>
      <c r="F2195" s="4" t="s">
        <v>3178</v>
      </c>
      <c r="G2195" s="4" t="s">
        <v>3178</v>
      </c>
      <c r="H2195" s="3">
        <v>0</v>
      </c>
      <c r="I2195" s="5">
        <v>2404.418657</v>
      </c>
      <c r="J2195" s="6">
        <v>22.38730232521113</v>
      </c>
      <c r="K2195" s="4">
        <v>0</v>
      </c>
      <c r="L2195" s="7">
        <v>0.948647869669729</v>
      </c>
      <c r="M2195" s="3">
        <v>42</v>
      </c>
      <c r="N2195" s="3">
        <v>22.82</v>
      </c>
    </row>
    <row r="2196" spans="1:14">
      <c r="A2196" s="8" t="s">
        <v>2208</v>
      </c>
      <c r="B2196" s="2">
        <f>HYPERLINK("https://www.suredividend.com/sure-analysis-PH/","Parker-Hannifin Corp.")</f>
        <v>0</v>
      </c>
      <c r="C2196" s="1" t="s">
        <v>3179</v>
      </c>
      <c r="D2196" s="3">
        <v>516.14</v>
      </c>
      <c r="E2196" s="4">
        <v>0.01263223156507924</v>
      </c>
      <c r="F2196" s="4">
        <v>0.1013513513513513</v>
      </c>
      <c r="G2196" s="4">
        <v>0.1312041414501679</v>
      </c>
      <c r="H2196" s="3">
        <v>6.043188515479296</v>
      </c>
      <c r="I2196" s="5">
        <v>66345.14657899999</v>
      </c>
      <c r="J2196" s="6">
        <v>23.9668213438441</v>
      </c>
      <c r="K2196" s="4">
        <v>0.2841179367879312</v>
      </c>
      <c r="L2196" s="7">
        <v>1.254162805012195</v>
      </c>
      <c r="M2196" s="3">
        <v>568.8099999999999</v>
      </c>
      <c r="N2196" s="3">
        <v>349.01</v>
      </c>
    </row>
    <row r="2197" spans="1:14">
      <c r="A2197" s="8" t="s">
        <v>2209</v>
      </c>
      <c r="B2197" s="2">
        <f>HYPERLINK("https://www.suredividend.com/sure-analysis-research-database/","PhaseBio Pharmaceuticals Inc")</f>
        <v>0</v>
      </c>
      <c r="C2197" s="1" t="s">
        <v>3176</v>
      </c>
      <c r="D2197" s="3">
        <v>0.07010000000000001</v>
      </c>
      <c r="E2197" s="4">
        <v>0</v>
      </c>
      <c r="F2197" s="4" t="s">
        <v>3178</v>
      </c>
      <c r="G2197" s="4" t="s">
        <v>3178</v>
      </c>
      <c r="H2197" s="3">
        <v>0</v>
      </c>
      <c r="I2197" s="5">
        <v>0</v>
      </c>
      <c r="J2197" s="6">
        <v>0</v>
      </c>
      <c r="K2197" s="4" t="s">
        <v>3178</v>
      </c>
    </row>
    <row r="2198" spans="1:14">
      <c r="A2198" s="8" t="s">
        <v>2210</v>
      </c>
      <c r="B2198" s="2">
        <f>HYPERLINK("https://www.suredividend.com/sure-analysis-research-database/","Phio Pharmaceuticals Corp")</f>
        <v>0</v>
      </c>
      <c r="C2198" s="1" t="s">
        <v>3176</v>
      </c>
      <c r="D2198" s="3">
        <v>0.745</v>
      </c>
      <c r="E2198" s="4">
        <v>0</v>
      </c>
      <c r="F2198" s="4" t="s">
        <v>3178</v>
      </c>
      <c r="G2198" s="4" t="s">
        <v>3178</v>
      </c>
      <c r="H2198" s="3">
        <v>0</v>
      </c>
      <c r="I2198" s="5">
        <v>3.420817</v>
      </c>
      <c r="J2198" s="6">
        <v>0</v>
      </c>
      <c r="K2198" s="4" t="s">
        <v>3178</v>
      </c>
      <c r="L2198" s="7">
        <v>0.8093070400359881</v>
      </c>
      <c r="M2198" s="3">
        <v>3.39</v>
      </c>
      <c r="N2198" s="3">
        <v>0.5</v>
      </c>
    </row>
    <row r="2199" spans="1:14">
      <c r="A2199" s="8" t="s">
        <v>2211</v>
      </c>
      <c r="B2199" s="2">
        <f>HYPERLINK("https://www.suredividend.com/sure-analysis-PHM/","PulteGroup Inc")</f>
        <v>0</v>
      </c>
      <c r="C2199" s="1" t="s">
        <v>3182</v>
      </c>
      <c r="D2199" s="3">
        <v>111.54</v>
      </c>
      <c r="E2199" s="4">
        <v>0.007172314864622557</v>
      </c>
      <c r="F2199" s="4">
        <v>0.25</v>
      </c>
      <c r="G2199" s="4">
        <v>0.1270092020979254</v>
      </c>
      <c r="H2199" s="3">
        <v>0.718141868606422</v>
      </c>
      <c r="I2199" s="5">
        <v>23461.559284</v>
      </c>
      <c r="J2199" s="6">
        <v>8.607023864018062</v>
      </c>
      <c r="K2199" s="4">
        <v>0.05745134948851376</v>
      </c>
      <c r="L2199" s="7">
        <v>1.534428958931039</v>
      </c>
      <c r="M2199" s="3">
        <v>122.72</v>
      </c>
      <c r="N2199" s="3">
        <v>68.55</v>
      </c>
    </row>
    <row r="2200" spans="1:14">
      <c r="A2200" s="8" t="s">
        <v>2212</v>
      </c>
      <c r="B2200" s="2">
        <f>HYPERLINK("https://www.suredividend.com/sure-analysis-research-database/","PHX Minerals Inc")</f>
        <v>0</v>
      </c>
      <c r="C2200" s="1" t="s">
        <v>3185</v>
      </c>
      <c r="D2200" s="3">
        <v>3.25</v>
      </c>
      <c r="E2200" s="4">
        <v>0.034166755428818</v>
      </c>
      <c r="F2200" s="4">
        <v>0.333333333333333</v>
      </c>
      <c r="G2200" s="4">
        <v>-0.05591248870509802</v>
      </c>
      <c r="H2200" s="3">
        <v>0.111041955143659</v>
      </c>
      <c r="I2200" s="5">
        <v>121.740083</v>
      </c>
      <c r="J2200" s="6">
        <v>4.465980333558687</v>
      </c>
      <c r="K2200" s="4">
        <v>0.1455906059311118</v>
      </c>
      <c r="L2200" s="7">
        <v>0.674711827823351</v>
      </c>
      <c r="M2200" s="3">
        <v>3.78</v>
      </c>
      <c r="N2200" s="3">
        <v>2.72</v>
      </c>
    </row>
    <row r="2201" spans="1:14">
      <c r="A2201" s="8" t="s">
        <v>2213</v>
      </c>
      <c r="B2201" s="2">
        <f>HYPERLINK("https://www.suredividend.com/sure-analysis-research-database/","Impinj Inc")</f>
        <v>0</v>
      </c>
      <c r="C2201" s="1" t="s">
        <v>3181</v>
      </c>
      <c r="D2201" s="3">
        <v>149.91</v>
      </c>
      <c r="E2201" s="4">
        <v>0</v>
      </c>
      <c r="F2201" s="4" t="s">
        <v>3178</v>
      </c>
      <c r="G2201" s="4" t="s">
        <v>3178</v>
      </c>
      <c r="H2201" s="3">
        <v>0</v>
      </c>
      <c r="I2201" s="5">
        <v>4154.448784</v>
      </c>
      <c r="J2201" s="6" t="s">
        <v>3178</v>
      </c>
      <c r="K2201" s="4">
        <v>-0</v>
      </c>
      <c r="L2201" s="7">
        <v>1.873524478432476</v>
      </c>
      <c r="M2201" s="3">
        <v>175.41</v>
      </c>
      <c r="N2201" s="3">
        <v>48.39</v>
      </c>
    </row>
    <row r="2202" spans="1:14">
      <c r="A2202" s="8" t="s">
        <v>2214</v>
      </c>
      <c r="B2202" s="2">
        <f>HYPERLINK("https://www.suredividend.com/sure-analysis-PII/","Polaris Inc")</f>
        <v>0</v>
      </c>
      <c r="C2202" s="1" t="s">
        <v>3182</v>
      </c>
      <c r="D2202" s="3">
        <v>77.79000000000001</v>
      </c>
      <c r="E2202" s="4">
        <v>0.03393752410335519</v>
      </c>
      <c r="F2202" s="4">
        <v>0.01538461538461533</v>
      </c>
      <c r="G2202" s="4">
        <v>0.01588095861135153</v>
      </c>
      <c r="H2202" s="3">
        <v>2.590513635369374</v>
      </c>
      <c r="I2202" s="5">
        <v>4396.186876</v>
      </c>
      <c r="J2202" s="6">
        <v>11.18053630818922</v>
      </c>
      <c r="K2202" s="4">
        <v>0.3787300636504933</v>
      </c>
      <c r="L2202" s="7">
        <v>1.166785419817692</v>
      </c>
      <c r="M2202" s="3">
        <v>134.61</v>
      </c>
      <c r="N2202" s="3">
        <v>77.18000000000001</v>
      </c>
    </row>
    <row r="2203" spans="1:14">
      <c r="A2203" s="8" t="s">
        <v>2215</v>
      </c>
      <c r="B2203" s="2">
        <f>HYPERLINK("https://www.suredividend.com/sure-analysis-PINC/","Premier Inc")</f>
        <v>0</v>
      </c>
      <c r="C2203" s="1" t="s">
        <v>3176</v>
      </c>
      <c r="D2203" s="3">
        <v>18.78</v>
      </c>
      <c r="E2203" s="4">
        <v>0.04472843450479233</v>
      </c>
      <c r="F2203" s="4" t="s">
        <v>3178</v>
      </c>
      <c r="G2203" s="4" t="s">
        <v>3178</v>
      </c>
      <c r="H2203" s="3">
        <v>0.8178527552108301</v>
      </c>
      <c r="I2203" s="5">
        <v>1968.524877</v>
      </c>
      <c r="J2203" s="6">
        <v>24.50517082048026</v>
      </c>
      <c r="K2203" s="4">
        <v>1.199901342738894</v>
      </c>
      <c r="L2203" s="7">
        <v>0.661974305679501</v>
      </c>
      <c r="M2203" s="3">
        <v>26.34</v>
      </c>
      <c r="N2203" s="3">
        <v>17.92</v>
      </c>
    </row>
    <row r="2204" spans="1:14">
      <c r="A2204" s="8" t="s">
        <v>2216</v>
      </c>
      <c r="B2204" s="2">
        <f>HYPERLINK("https://www.suredividend.com/sure-analysis-research-database/","Pinterest Inc")</f>
        <v>0</v>
      </c>
      <c r="C2204" s="1" t="s">
        <v>3187</v>
      </c>
      <c r="D2204" s="3">
        <v>44.11</v>
      </c>
      <c r="E2204" s="4">
        <v>0</v>
      </c>
      <c r="F2204" s="4" t="s">
        <v>3178</v>
      </c>
      <c r="G2204" s="4" t="s">
        <v>3178</v>
      </c>
      <c r="H2204" s="3">
        <v>0</v>
      </c>
      <c r="I2204" s="5">
        <v>26437.229253</v>
      </c>
      <c r="J2204" s="6">
        <v>178.4406356263963</v>
      </c>
      <c r="K2204" s="4">
        <v>0</v>
      </c>
      <c r="L2204" s="7">
        <v>1.344769202918605</v>
      </c>
      <c r="M2204" s="3">
        <v>44.2</v>
      </c>
      <c r="N2204" s="3">
        <v>23.59</v>
      </c>
    </row>
    <row r="2205" spans="1:14">
      <c r="A2205" s="8" t="s">
        <v>2217</v>
      </c>
      <c r="B2205" s="2">
        <f>HYPERLINK("https://www.suredividend.com/sure-analysis-research-database/","PJT Partners Inc")</f>
        <v>0</v>
      </c>
      <c r="C2205" s="1" t="s">
        <v>3180</v>
      </c>
      <c r="D2205" s="3">
        <v>104.84</v>
      </c>
      <c r="E2205" s="4">
        <v>0.009503991070063</v>
      </c>
      <c r="F2205" s="4">
        <v>0</v>
      </c>
      <c r="G2205" s="4">
        <v>0.3797296614612149</v>
      </c>
      <c r="H2205" s="3">
        <v>0.9963984237854111</v>
      </c>
      <c r="I2205" s="5">
        <v>2514.625457</v>
      </c>
      <c r="J2205" s="6">
        <v>25.90101000061801</v>
      </c>
      <c r="K2205" s="4">
        <v>0.433216705993657</v>
      </c>
      <c r="L2205" s="7">
        <v>0.8366315716465841</v>
      </c>
      <c r="M2205" s="3">
        <v>109.31</v>
      </c>
      <c r="N2205" s="3">
        <v>66.36</v>
      </c>
    </row>
    <row r="2206" spans="1:14">
      <c r="A2206" s="8" t="s">
        <v>2218</v>
      </c>
      <c r="B2206" s="2">
        <f>HYPERLINK("https://www.suredividend.com/sure-analysis-research-database/","Park Hotels &amp; Resorts Inc")</f>
        <v>0</v>
      </c>
      <c r="C2206" s="1" t="s">
        <v>3183</v>
      </c>
      <c r="D2206" s="3">
        <v>14.92</v>
      </c>
      <c r="E2206" s="4">
        <v>0.097018072800648</v>
      </c>
      <c r="F2206" s="4" t="s">
        <v>3178</v>
      </c>
      <c r="G2206" s="4" t="s">
        <v>3178</v>
      </c>
      <c r="H2206" s="3">
        <v>1.447509646185677</v>
      </c>
      <c r="I2206" s="5">
        <v>3142.11555</v>
      </c>
      <c r="J2206" s="6">
        <v>34.15342989608695</v>
      </c>
      <c r="K2206" s="4">
        <v>3.343750626439541</v>
      </c>
      <c r="L2206" s="7">
        <v>1.489248166579997</v>
      </c>
      <c r="M2206" s="3">
        <v>17.86</v>
      </c>
      <c r="N2206" s="3">
        <v>10.41</v>
      </c>
    </row>
    <row r="2207" spans="1:14">
      <c r="A2207" s="8" t="s">
        <v>2219</v>
      </c>
      <c r="B2207" s="2">
        <f>HYPERLINK("https://www.suredividend.com/sure-analysis-research-database/","Parke Bancorp Inc")</f>
        <v>0</v>
      </c>
      <c r="C2207" s="1" t="s">
        <v>3180</v>
      </c>
      <c r="D2207" s="3">
        <v>15.77</v>
      </c>
      <c r="E2207" s="4">
        <v>0.04464567603100501</v>
      </c>
      <c r="F2207" s="4">
        <v>0</v>
      </c>
      <c r="G2207" s="4">
        <v>0.02383625553960966</v>
      </c>
      <c r="H2207" s="3">
        <v>0.7040623110089591</v>
      </c>
      <c r="I2207" s="5">
        <v>188.653687</v>
      </c>
      <c r="J2207" s="6">
        <v>0</v>
      </c>
      <c r="K2207" s="4" t="s">
        <v>3178</v>
      </c>
      <c r="L2207" s="7">
        <v>1.143216124193809</v>
      </c>
      <c r="M2207" s="3">
        <v>20.32</v>
      </c>
      <c r="N2207" s="3">
        <v>14.73</v>
      </c>
    </row>
    <row r="2208" spans="1:14">
      <c r="A2208" s="8" t="s">
        <v>2220</v>
      </c>
      <c r="B2208" s="2">
        <f>HYPERLINK("https://www.suredividend.com/sure-analysis-research-database/","Park Aerospace Corp")</f>
        <v>0</v>
      </c>
      <c r="C2208" s="1" t="s">
        <v>3179</v>
      </c>
      <c r="D2208" s="3">
        <v>13.39</v>
      </c>
      <c r="E2208" s="4">
        <v>0.036900285820315</v>
      </c>
      <c r="F2208" s="4">
        <v>0</v>
      </c>
      <c r="G2208" s="4">
        <v>0.04563955259127317</v>
      </c>
      <c r="H2208" s="3">
        <v>0.494094827134023</v>
      </c>
      <c r="I2208" s="5">
        <v>271.192504</v>
      </c>
      <c r="J2208" s="6">
        <v>28.51956081501735</v>
      </c>
      <c r="K2208" s="4">
        <v>1.061884433986725</v>
      </c>
      <c r="L2208" s="7">
        <v>0.5218819443204571</v>
      </c>
      <c r="M2208" s="3">
        <v>16.79</v>
      </c>
      <c r="N2208" s="3">
        <v>12.83</v>
      </c>
    </row>
    <row r="2209" spans="1:14">
      <c r="A2209" s="8" t="s">
        <v>2221</v>
      </c>
      <c r="B2209" s="2">
        <f>HYPERLINK("https://www.suredividend.com/sure-analysis-PKG/","Packaging Corp Of America")</f>
        <v>0</v>
      </c>
      <c r="C2209" s="1" t="s">
        <v>3182</v>
      </c>
      <c r="D2209" s="3">
        <v>183.58</v>
      </c>
      <c r="E2209" s="4">
        <v>0.02723608236191306</v>
      </c>
      <c r="F2209" s="4">
        <v>0</v>
      </c>
      <c r="G2209" s="4">
        <v>0.09611616948779322</v>
      </c>
      <c r="H2209" s="3">
        <v>4.945753680286716</v>
      </c>
      <c r="I2209" s="5">
        <v>16485.112985</v>
      </c>
      <c r="J2209" s="6">
        <v>23.01104548411502</v>
      </c>
      <c r="K2209" s="4">
        <v>0.6151434925729746</v>
      </c>
      <c r="L2209" s="7">
        <v>0.530480651932503</v>
      </c>
      <c r="M2209" s="3">
        <v>191.27</v>
      </c>
      <c r="N2209" s="3">
        <v>124.49</v>
      </c>
    </row>
    <row r="2210" spans="1:14">
      <c r="A2210" s="8" t="s">
        <v>2222</v>
      </c>
      <c r="B2210" s="2">
        <f>HYPERLINK("https://www.suredividend.com/sure-analysis-research-database/","Revvity Inc.")</f>
        <v>0</v>
      </c>
      <c r="C2210" s="1" t="s">
        <v>3176</v>
      </c>
      <c r="D2210" s="3">
        <v>115.24</v>
      </c>
      <c r="E2210" s="4">
        <v>0.002427797072222</v>
      </c>
      <c r="F2210" s="4" t="s">
        <v>3178</v>
      </c>
      <c r="G2210" s="4" t="s">
        <v>3178</v>
      </c>
      <c r="H2210" s="3">
        <v>0.27977933460295</v>
      </c>
      <c r="I2210" s="5">
        <v>14455.82107</v>
      </c>
      <c r="J2210" s="6">
        <v>15.03165365884296</v>
      </c>
      <c r="K2210" s="4">
        <v>0.0367646957428318</v>
      </c>
      <c r="L2210" s="7">
        <v>1.127493834463031</v>
      </c>
      <c r="M2210" s="3">
        <v>169.73</v>
      </c>
      <c r="N2210" s="3">
        <v>113.28</v>
      </c>
    </row>
    <row r="2211" spans="1:14">
      <c r="A2211" s="8" t="s">
        <v>2223</v>
      </c>
      <c r="B2211" s="2">
        <f>HYPERLINK("https://www.suredividend.com/sure-analysis-research-database/","Park-Ohio Holdings Corp.")</f>
        <v>0</v>
      </c>
      <c r="C2211" s="1" t="s">
        <v>3179</v>
      </c>
      <c r="D2211" s="3">
        <v>23.97</v>
      </c>
      <c r="E2211" s="4">
        <v>0.020545547907341</v>
      </c>
      <c r="F2211" s="4" t="s">
        <v>3178</v>
      </c>
      <c r="G2211" s="4" t="s">
        <v>3178</v>
      </c>
      <c r="H2211" s="3">
        <v>0.492476783338974</v>
      </c>
      <c r="I2211" s="5">
        <v>313.306069</v>
      </c>
      <c r="J2211" s="6">
        <v>27.00914390172414</v>
      </c>
      <c r="K2211" s="4">
        <v>0.5364670842472484</v>
      </c>
      <c r="L2211" s="7">
        <v>0.9883062371162651</v>
      </c>
      <c r="M2211" s="3">
        <v>27.92</v>
      </c>
      <c r="N2211" s="3">
        <v>16.08</v>
      </c>
    </row>
    <row r="2212" spans="1:14">
      <c r="A2212" s="8" t="s">
        <v>2224</v>
      </c>
      <c r="B2212" s="2">
        <f>HYPERLINK("https://www.suredividend.com/sure-analysis-research-database/","Photronics, Inc.")</f>
        <v>0</v>
      </c>
      <c r="C2212" s="1" t="s">
        <v>3181</v>
      </c>
      <c r="D2212" s="3">
        <v>25.73</v>
      </c>
      <c r="E2212" s="4">
        <v>0</v>
      </c>
      <c r="F2212" s="4" t="s">
        <v>3178</v>
      </c>
      <c r="G2212" s="4" t="s">
        <v>3178</v>
      </c>
      <c r="H2212" s="3">
        <v>0</v>
      </c>
      <c r="I2212" s="5">
        <v>1630.091061</v>
      </c>
      <c r="J2212" s="6">
        <v>11.83979445826887</v>
      </c>
      <c r="K2212" s="4">
        <v>0</v>
      </c>
      <c r="L2212" s="7">
        <v>2.278667737398967</v>
      </c>
      <c r="M2212" s="3">
        <v>34.16</v>
      </c>
      <c r="N2212" s="3">
        <v>18.03</v>
      </c>
    </row>
    <row r="2213" spans="1:14">
      <c r="A2213" s="8" t="s">
        <v>2225</v>
      </c>
      <c r="B2213" s="2">
        <f>HYPERLINK("https://www.suredividend.com/sure-analysis-research-database/","Anaplan Inc")</f>
        <v>0</v>
      </c>
      <c r="C2213" s="1" t="s">
        <v>3181</v>
      </c>
      <c r="D2213" s="3">
        <v>63.73</v>
      </c>
      <c r="E2213" s="4">
        <v>0</v>
      </c>
      <c r="F2213" s="4" t="s">
        <v>3178</v>
      </c>
      <c r="G2213" s="4" t="s">
        <v>3178</v>
      </c>
      <c r="H2213" s="3">
        <v>0</v>
      </c>
      <c r="I2213" s="5">
        <v>9593.148866</v>
      </c>
      <c r="J2213" s="6" t="s">
        <v>3178</v>
      </c>
      <c r="K2213" s="4">
        <v>-0</v>
      </c>
      <c r="L2213" s="7">
        <v>0.8784718798649901</v>
      </c>
      <c r="M2213" s="3">
        <v>70.25</v>
      </c>
      <c r="N2213" s="3">
        <v>39.92</v>
      </c>
    </row>
    <row r="2214" spans="1:14">
      <c r="A2214" s="8" t="s">
        <v>2226</v>
      </c>
      <c r="B2214" s="2">
        <f>HYPERLINK("https://www.suredividend.com/sure-analysis-research-database/","Dave &amp; Buster`s Entertainment Inc")</f>
        <v>0</v>
      </c>
      <c r="C2214" s="1" t="s">
        <v>3182</v>
      </c>
      <c r="D2214" s="3">
        <v>48.89</v>
      </c>
      <c r="E2214" s="4">
        <v>0</v>
      </c>
      <c r="F2214" s="4" t="s">
        <v>3178</v>
      </c>
      <c r="G2214" s="4" t="s">
        <v>3178</v>
      </c>
      <c r="H2214" s="3">
        <v>0</v>
      </c>
      <c r="I2214" s="5">
        <v>1970.240159</v>
      </c>
      <c r="J2214" s="6">
        <v>15.5259271819543</v>
      </c>
      <c r="K2214" s="4">
        <v>0</v>
      </c>
      <c r="L2214" s="7">
        <v>1.571688558712497</v>
      </c>
      <c r="M2214" s="3">
        <v>69.81999999999999</v>
      </c>
      <c r="N2214" s="3">
        <v>33.07</v>
      </c>
    </row>
    <row r="2215" spans="1:14">
      <c r="A2215" s="8" t="s">
        <v>2227</v>
      </c>
      <c r="B2215" s="2">
        <f>HYPERLINK("https://www.suredividend.com/sure-analysis-research-database/","Plumas Bancorp.")</f>
        <v>0</v>
      </c>
      <c r="C2215" s="1" t="s">
        <v>3180</v>
      </c>
      <c r="D2215" s="3">
        <v>34.66</v>
      </c>
      <c r="E2215" s="4">
        <v>0.029518829818964</v>
      </c>
      <c r="F2215" s="4" t="s">
        <v>3178</v>
      </c>
      <c r="G2215" s="4" t="s">
        <v>3178</v>
      </c>
      <c r="H2215" s="3">
        <v>1.023122641525326</v>
      </c>
      <c r="I2215" s="5">
        <v>204.341323</v>
      </c>
      <c r="J2215" s="6">
        <v>0</v>
      </c>
      <c r="K2215" s="4" t="s">
        <v>3178</v>
      </c>
      <c r="L2215" s="7">
        <v>0.547413889310255</v>
      </c>
      <c r="M2215" s="3">
        <v>43.99</v>
      </c>
      <c r="N2215" s="3">
        <v>30.94</v>
      </c>
    </row>
    <row r="2216" spans="1:14">
      <c r="A2216" s="8" t="s">
        <v>2228</v>
      </c>
      <c r="B2216" s="2">
        <f>HYPERLINK("https://www.suredividend.com/sure-analysis-research-database/","Childrens Place Inc")</f>
        <v>0</v>
      </c>
      <c r="C2216" s="1" t="s">
        <v>3182</v>
      </c>
      <c r="D2216" s="3">
        <v>10.14</v>
      </c>
      <c r="E2216" s="4">
        <v>0</v>
      </c>
      <c r="F2216" s="4" t="s">
        <v>3178</v>
      </c>
      <c r="G2216" s="4" t="s">
        <v>3178</v>
      </c>
      <c r="H2216" s="3">
        <v>0</v>
      </c>
      <c r="I2216" s="5">
        <v>128.628841</v>
      </c>
      <c r="J2216" s="6" t="s">
        <v>3178</v>
      </c>
      <c r="K2216" s="4">
        <v>-0</v>
      </c>
      <c r="L2216" s="7">
        <v>2.179705589742846</v>
      </c>
      <c r="M2216" s="3">
        <v>38.03</v>
      </c>
      <c r="N2216" s="3">
        <v>6.58</v>
      </c>
    </row>
    <row r="2217" spans="1:14">
      <c r="A2217" s="8" t="s">
        <v>2229</v>
      </c>
      <c r="B2217" s="2">
        <f>HYPERLINK("https://www.suredividend.com/sure-analysis-PLD/","Prologis Inc")</f>
        <v>0</v>
      </c>
      <c r="C2217" s="1" t="s">
        <v>3183</v>
      </c>
      <c r="D2217" s="3">
        <v>110.2</v>
      </c>
      <c r="E2217" s="4">
        <v>0.03484573502722323</v>
      </c>
      <c r="F2217" s="4">
        <v>0.103448275862069</v>
      </c>
      <c r="G2217" s="4">
        <v>0.1261573423168552</v>
      </c>
      <c r="H2217" s="3">
        <v>3.53387333031895</v>
      </c>
      <c r="I2217" s="5">
        <v>102028.0088</v>
      </c>
      <c r="J2217" s="6">
        <v>32.1402115505411</v>
      </c>
      <c r="K2217" s="4">
        <v>1.061223222318003</v>
      </c>
      <c r="L2217" s="7">
        <v>1.215280989497447</v>
      </c>
      <c r="M2217" s="3">
        <v>135.76</v>
      </c>
      <c r="N2217" s="3">
        <v>95.31999999999999</v>
      </c>
    </row>
    <row r="2218" spans="1:14">
      <c r="A2218" s="8" t="s">
        <v>2230</v>
      </c>
      <c r="B2218" s="2">
        <f>HYPERLINK("https://www.suredividend.com/sure-analysis-research-database/","Planet Fitness Inc")</f>
        <v>0</v>
      </c>
      <c r="C2218" s="1" t="s">
        <v>3182</v>
      </c>
      <c r="D2218" s="3">
        <v>68.06999999999999</v>
      </c>
      <c r="E2218" s="4">
        <v>0</v>
      </c>
      <c r="F2218" s="4" t="s">
        <v>3178</v>
      </c>
      <c r="G2218" s="4" t="s">
        <v>3178</v>
      </c>
      <c r="H2218" s="3">
        <v>0</v>
      </c>
      <c r="I2218" s="5">
        <v>5958.085688</v>
      </c>
      <c r="J2218" s="6">
        <v>39.7425621395839</v>
      </c>
      <c r="K2218" s="4">
        <v>0</v>
      </c>
      <c r="L2218" s="7">
        <v>1.08811266973914</v>
      </c>
      <c r="M2218" s="3">
        <v>75.86</v>
      </c>
      <c r="N2218" s="3">
        <v>44.13</v>
      </c>
    </row>
    <row r="2219" spans="1:14">
      <c r="A2219" s="8" t="s">
        <v>2231</v>
      </c>
      <c r="B2219" s="2">
        <f>HYPERLINK("https://www.suredividend.com/sure-analysis-PLOW/","Douglas Dynamics Inc")</f>
        <v>0</v>
      </c>
      <c r="C2219" s="1" t="s">
        <v>3182</v>
      </c>
      <c r="D2219" s="3">
        <v>24.92</v>
      </c>
      <c r="E2219" s="4">
        <v>0.04735152487961476</v>
      </c>
      <c r="F2219" s="4">
        <v>0</v>
      </c>
      <c r="G2219" s="4">
        <v>0.01599390329796258</v>
      </c>
      <c r="H2219" s="3">
        <v>1.160358680907174</v>
      </c>
      <c r="I2219" s="5">
        <v>575.503651</v>
      </c>
      <c r="J2219" s="6">
        <v>20.58826069616857</v>
      </c>
      <c r="K2219" s="4">
        <v>0.9511136728747328</v>
      </c>
      <c r="L2219" s="7">
        <v>1.085336776389108</v>
      </c>
      <c r="M2219" s="3">
        <v>34.27</v>
      </c>
      <c r="N2219" s="3">
        <v>21.35</v>
      </c>
    </row>
    <row r="2220" spans="1:14">
      <c r="A2220" s="8" t="s">
        <v>2232</v>
      </c>
      <c r="B2220" s="2">
        <f>HYPERLINK("https://www.suredividend.com/sure-analysis-research-database/","Preformed Line Products Co.")</f>
        <v>0</v>
      </c>
      <c r="C2220" s="1" t="s">
        <v>3179</v>
      </c>
      <c r="D2220" s="3">
        <v>128.08</v>
      </c>
      <c r="E2220" s="4">
        <v>0.006218028705201</v>
      </c>
      <c r="F2220" s="4">
        <v>0</v>
      </c>
      <c r="G2220" s="4">
        <v>0</v>
      </c>
      <c r="H2220" s="3">
        <v>0.7964051165621701</v>
      </c>
      <c r="I2220" s="5">
        <v>629.902051</v>
      </c>
      <c r="J2220" s="6">
        <v>12.22398701494275</v>
      </c>
      <c r="K2220" s="4">
        <v>0.07702177142767602</v>
      </c>
      <c r="L2220" s="7">
        <v>1.107216299429588</v>
      </c>
      <c r="M2220" s="3">
        <v>183.22</v>
      </c>
      <c r="N2220" s="3">
        <v>104.31</v>
      </c>
    </row>
    <row r="2221" spans="1:14">
      <c r="A2221" s="8" t="s">
        <v>2233</v>
      </c>
      <c r="B2221" s="2">
        <f>HYPERLINK("https://www.suredividend.com/sure-analysis-research-database/","Pulse Biosciences Inc")</f>
        <v>0</v>
      </c>
      <c r="C2221" s="1" t="s">
        <v>3176</v>
      </c>
      <c r="D2221" s="3">
        <v>12.38</v>
      </c>
      <c r="E2221" s="4">
        <v>0</v>
      </c>
      <c r="F2221" s="4" t="s">
        <v>3178</v>
      </c>
      <c r="G2221" s="4" t="s">
        <v>3178</v>
      </c>
      <c r="H2221" s="3">
        <v>0</v>
      </c>
      <c r="I2221" s="5">
        <v>683.689623</v>
      </c>
      <c r="J2221" s="6" t="s">
        <v>3178</v>
      </c>
      <c r="K2221" s="4">
        <v>-0</v>
      </c>
      <c r="L2221" s="7">
        <v>1.739264099663154</v>
      </c>
      <c r="M2221" s="3">
        <v>14.96</v>
      </c>
      <c r="N2221" s="3">
        <v>3.78</v>
      </c>
    </row>
    <row r="2222" spans="1:14">
      <c r="A2222" s="8" t="s">
        <v>2234</v>
      </c>
      <c r="B2222" s="2">
        <f>HYPERLINK("https://www.suredividend.com/sure-analysis-research-database/","Plug Power Inc")</f>
        <v>0</v>
      </c>
      <c r="C2222" s="1" t="s">
        <v>3179</v>
      </c>
      <c r="D2222" s="3">
        <v>2.9</v>
      </c>
      <c r="E2222" s="4">
        <v>0</v>
      </c>
      <c r="F2222" s="4" t="s">
        <v>3178</v>
      </c>
      <c r="G2222" s="4" t="s">
        <v>3178</v>
      </c>
      <c r="H2222" s="3">
        <v>0</v>
      </c>
      <c r="I2222" s="5">
        <v>2153.421335</v>
      </c>
      <c r="J2222" s="6" t="s">
        <v>3178</v>
      </c>
      <c r="K2222" s="4">
        <v>-0</v>
      </c>
      <c r="L2222" s="7">
        <v>2.414018422609393</v>
      </c>
      <c r="M2222" s="3">
        <v>13.44</v>
      </c>
      <c r="N2222" s="3">
        <v>2.25</v>
      </c>
    </row>
    <row r="2223" spans="1:14">
      <c r="A2223" s="8" t="s">
        <v>2235</v>
      </c>
      <c r="B2223" s="2">
        <f>HYPERLINK("https://www.suredividend.com/sure-analysis-research-database/","ePlus Inc")</f>
        <v>0</v>
      </c>
      <c r="C2223" s="1" t="s">
        <v>3181</v>
      </c>
      <c r="D2223" s="3">
        <v>73.59</v>
      </c>
      <c r="E2223" s="4">
        <v>0</v>
      </c>
      <c r="F2223" s="4" t="s">
        <v>3178</v>
      </c>
      <c r="G2223" s="4" t="s">
        <v>3178</v>
      </c>
      <c r="H2223" s="3">
        <v>0</v>
      </c>
      <c r="I2223" s="5">
        <v>1983.392897</v>
      </c>
      <c r="J2223" s="6">
        <v>17.13129574911899</v>
      </c>
      <c r="K2223" s="4">
        <v>0</v>
      </c>
      <c r="L2223" s="7">
        <v>0.931616702832282</v>
      </c>
      <c r="M2223" s="3">
        <v>83.56999999999999</v>
      </c>
      <c r="N2223" s="3">
        <v>53.19</v>
      </c>
    </row>
    <row r="2224" spans="1:14">
      <c r="A2224" s="8" t="s">
        <v>2236</v>
      </c>
      <c r="B2224" s="2">
        <f>HYPERLINK("https://www.suredividend.com/sure-analysis-research-database/","PLx Pharma Inc.")</f>
        <v>0</v>
      </c>
      <c r="C2224" s="1" t="s">
        <v>3176</v>
      </c>
      <c r="D2224" s="3">
        <v>0.08700000000000001</v>
      </c>
      <c r="E2224" s="4">
        <v>0</v>
      </c>
      <c r="F2224" s="4" t="s">
        <v>3178</v>
      </c>
      <c r="G2224" s="4" t="s">
        <v>3178</v>
      </c>
      <c r="H2224" s="3">
        <v>0</v>
      </c>
      <c r="I2224" s="5">
        <v>0</v>
      </c>
      <c r="J2224" s="6">
        <v>0</v>
      </c>
      <c r="K2224" s="4" t="s">
        <v>3178</v>
      </c>
    </row>
    <row r="2225" spans="1:14">
      <c r="A2225" s="8" t="s">
        <v>2237</v>
      </c>
      <c r="B2225" s="2">
        <f>HYPERLINK("https://www.suredividend.com/sure-analysis-research-database/","Plexus Corp.")</f>
        <v>0</v>
      </c>
      <c r="C2225" s="1" t="s">
        <v>3181</v>
      </c>
      <c r="D2225" s="3">
        <v>104.06</v>
      </c>
      <c r="E2225" s="4">
        <v>0</v>
      </c>
      <c r="F2225" s="4" t="s">
        <v>3178</v>
      </c>
      <c r="G2225" s="4" t="s">
        <v>3178</v>
      </c>
      <c r="H2225" s="3">
        <v>0</v>
      </c>
      <c r="I2225" s="5">
        <v>2851.244</v>
      </c>
      <c r="J2225" s="6">
        <v>28.08719979510215</v>
      </c>
      <c r="K2225" s="4">
        <v>0</v>
      </c>
      <c r="L2225" s="7">
        <v>0.979037763556836</v>
      </c>
      <c r="M2225" s="3">
        <v>114.27</v>
      </c>
      <c r="N2225" s="3">
        <v>87.20999999999999</v>
      </c>
    </row>
    <row r="2226" spans="1:14">
      <c r="A2226" s="8" t="s">
        <v>2238</v>
      </c>
      <c r="B2226" s="2">
        <f>HYPERLINK("https://www.suredividend.com/sure-analysis-research-database/","Playa Hotels &amp; Resorts N.V.")</f>
        <v>0</v>
      </c>
      <c r="C2226" s="1" t="s">
        <v>3182</v>
      </c>
      <c r="D2226" s="3">
        <v>8.52</v>
      </c>
      <c r="E2226" s="4">
        <v>0</v>
      </c>
      <c r="F2226" s="4" t="s">
        <v>3178</v>
      </c>
      <c r="G2226" s="4" t="s">
        <v>3178</v>
      </c>
      <c r="H2226" s="3">
        <v>0</v>
      </c>
      <c r="I2226" s="5">
        <v>1134.699734</v>
      </c>
      <c r="J2226" s="6">
        <v>17.33053936524422</v>
      </c>
      <c r="K2226" s="4">
        <v>0</v>
      </c>
      <c r="L2226" s="7">
        <v>1.090719071802331</v>
      </c>
      <c r="M2226" s="3">
        <v>9.85</v>
      </c>
      <c r="N2226" s="3">
        <v>6.88</v>
      </c>
    </row>
    <row r="2227" spans="1:14">
      <c r="A2227" s="8" t="s">
        <v>2239</v>
      </c>
      <c r="B2227" s="2">
        <f>HYPERLINK("https://www.suredividend.com/sure-analysis-PLYM/","Plymouth Industrial Reit Inc")</f>
        <v>0</v>
      </c>
      <c r="C2227" s="1" t="s">
        <v>3183</v>
      </c>
      <c r="D2227" s="3">
        <v>20.97</v>
      </c>
      <c r="E2227" s="4">
        <v>0.04577968526466381</v>
      </c>
      <c r="F2227" s="4">
        <v>0.06666666666666665</v>
      </c>
      <c r="G2227" s="4">
        <v>-0.08538989614534731</v>
      </c>
      <c r="H2227" s="3">
        <v>0.9011139673671611</v>
      </c>
      <c r="I2227" s="5">
        <v>951.662134</v>
      </c>
      <c r="J2227" s="6">
        <v>0</v>
      </c>
      <c r="K2227" s="4" t="s">
        <v>3178</v>
      </c>
      <c r="L2227" s="7">
        <v>1.104490826213372</v>
      </c>
      <c r="M2227" s="3">
        <v>25.03</v>
      </c>
      <c r="N2227" s="3">
        <v>18.82</v>
      </c>
    </row>
    <row r="2228" spans="1:14">
      <c r="A2228" s="8" t="s">
        <v>2240</v>
      </c>
      <c r="B2228" s="2">
        <f>HYPERLINK("https://www.suredividend.com/sure-analysis-PM/","Philip Morris International Inc")</f>
        <v>0</v>
      </c>
      <c r="C2228" s="1" t="s">
        <v>3184</v>
      </c>
      <c r="D2228" s="3">
        <v>103.61</v>
      </c>
      <c r="E2228" s="4">
        <v>0.05018820577164367</v>
      </c>
      <c r="F2228" s="4">
        <v>0.02362204724409445</v>
      </c>
      <c r="G2228" s="4">
        <v>0.02661522383956338</v>
      </c>
      <c r="H2228" s="3">
        <v>5.065302704287689</v>
      </c>
      <c r="I2228" s="5">
        <v>161067.647247</v>
      </c>
      <c r="J2228" s="6">
        <v>20.27538359104481</v>
      </c>
      <c r="K2228" s="4">
        <v>0.9912529753987648</v>
      </c>
      <c r="L2228" s="7">
        <v>0.543707083915561</v>
      </c>
      <c r="M2228" s="3">
        <v>104.9</v>
      </c>
      <c r="N2228" s="3">
        <v>84.86</v>
      </c>
    </row>
    <row r="2229" spans="1:14">
      <c r="A2229" s="8" t="s">
        <v>2241</v>
      </c>
      <c r="B2229" s="2">
        <f>HYPERLINK("https://www.suredividend.com/sure-analysis-research-database/","Pacific Mercantile Bancorp")</f>
        <v>0</v>
      </c>
      <c r="C2229" s="1" t="s">
        <v>3180</v>
      </c>
      <c r="D2229" s="3">
        <v>9.4</v>
      </c>
      <c r="E2229" s="4">
        <v>0</v>
      </c>
      <c r="F2229" s="4" t="s">
        <v>3178</v>
      </c>
      <c r="G2229" s="4" t="s">
        <v>3178</v>
      </c>
      <c r="H2229" s="3">
        <v>0</v>
      </c>
      <c r="I2229" s="5">
        <v>0</v>
      </c>
      <c r="J2229" s="6">
        <v>0</v>
      </c>
      <c r="K2229" s="4" t="s">
        <v>3178</v>
      </c>
    </row>
    <row r="2230" spans="1:14">
      <c r="A2230" s="8" t="s">
        <v>2242</v>
      </c>
      <c r="B2230" s="2">
        <f>HYPERLINK("https://www.suredividend.com/sure-analysis-research-database/","Psychemedics Corp.")</f>
        <v>0</v>
      </c>
      <c r="C2230" s="1" t="s">
        <v>3176</v>
      </c>
      <c r="D2230" s="3">
        <v>2.25</v>
      </c>
      <c r="E2230" s="4">
        <v>0</v>
      </c>
      <c r="F2230" s="4" t="s">
        <v>3178</v>
      </c>
      <c r="G2230" s="4" t="s">
        <v>3178</v>
      </c>
      <c r="H2230" s="3">
        <v>0</v>
      </c>
      <c r="I2230" s="5">
        <v>13.062625</v>
      </c>
      <c r="J2230" s="6">
        <v>0</v>
      </c>
      <c r="K2230" s="4" t="s">
        <v>3178</v>
      </c>
      <c r="M2230" s="3">
        <v>5.15</v>
      </c>
      <c r="N2230" s="3">
        <v>2.06</v>
      </c>
    </row>
    <row r="2231" spans="1:14">
      <c r="A2231" s="8" t="s">
        <v>2243</v>
      </c>
      <c r="B2231" s="2">
        <f>HYPERLINK("https://www.suredividend.com/sure-analysis-PMT/","Pennymac Mortgage Investment Trust")</f>
        <v>0</v>
      </c>
      <c r="C2231" s="1" t="s">
        <v>3183</v>
      </c>
      <c r="D2231" s="3">
        <v>13.64</v>
      </c>
      <c r="E2231" s="4">
        <v>0.1173020527859238</v>
      </c>
      <c r="F2231" s="4">
        <v>0</v>
      </c>
      <c r="G2231" s="4">
        <v>-0.03173902863120104</v>
      </c>
      <c r="H2231" s="3">
        <v>1.533700393769391</v>
      </c>
      <c r="I2231" s="5">
        <v>1184.571897</v>
      </c>
      <c r="J2231" s="6">
        <v>8.208238208640822</v>
      </c>
      <c r="K2231" s="4">
        <v>1.246910889243407</v>
      </c>
      <c r="L2231" s="7">
        <v>1.025468154668964</v>
      </c>
      <c r="M2231" s="3">
        <v>15.22</v>
      </c>
      <c r="N2231" s="3">
        <v>9.960000000000001</v>
      </c>
    </row>
    <row r="2232" spans="1:14">
      <c r="A2232" s="8" t="s">
        <v>2244</v>
      </c>
      <c r="B2232" s="2">
        <f>HYPERLINK("https://www.suredividend.com/sure-analysis-research-database/","CPI Card Group Inc")</f>
        <v>0</v>
      </c>
      <c r="C2232" s="1" t="s">
        <v>3179</v>
      </c>
      <c r="D2232" s="3">
        <v>27.65</v>
      </c>
      <c r="E2232" s="4">
        <v>0</v>
      </c>
      <c r="F2232" s="4" t="s">
        <v>3178</v>
      </c>
      <c r="G2232" s="4" t="s">
        <v>3178</v>
      </c>
      <c r="H2232" s="3">
        <v>0</v>
      </c>
      <c r="I2232" s="5">
        <v>307.536185</v>
      </c>
      <c r="J2232" s="6">
        <v>16.5635905046588</v>
      </c>
      <c r="K2232" s="4">
        <v>0</v>
      </c>
      <c r="L2232" s="7">
        <v>1.288828153484464</v>
      </c>
      <c r="M2232" s="3">
        <v>29.94</v>
      </c>
      <c r="N2232" s="3">
        <v>12.65</v>
      </c>
    </row>
    <row r="2233" spans="1:14">
      <c r="A2233" s="8" t="s">
        <v>2245</v>
      </c>
      <c r="B2233" s="2">
        <f>HYPERLINK("https://www.suredividend.com/sure-analysis-research-database/","Patriot National Bancorp Inc")</f>
        <v>0</v>
      </c>
      <c r="C2233" s="1" t="s">
        <v>3180</v>
      </c>
      <c r="D2233" s="3">
        <v>1.993</v>
      </c>
      <c r="E2233" s="4">
        <v>0</v>
      </c>
      <c r="F2233" s="4" t="s">
        <v>3178</v>
      </c>
      <c r="G2233" s="4" t="s">
        <v>3178</v>
      </c>
      <c r="H2233" s="3">
        <v>0</v>
      </c>
      <c r="I2233" s="5">
        <v>7.924313</v>
      </c>
      <c r="J2233" s="6">
        <v>0</v>
      </c>
      <c r="K2233" s="4" t="s">
        <v>3178</v>
      </c>
      <c r="M2233" s="3">
        <v>10.06</v>
      </c>
      <c r="N2233" s="3">
        <v>1.7</v>
      </c>
    </row>
    <row r="2234" spans="1:14">
      <c r="A2234" s="8" t="s">
        <v>2246</v>
      </c>
      <c r="B2234" s="2">
        <f>HYPERLINK("https://www.suredividend.com/sure-analysis-PNC/","PNC Financial Services Group Inc")</f>
        <v>0</v>
      </c>
      <c r="C2234" s="1" t="s">
        <v>3180</v>
      </c>
      <c r="D2234" s="3">
        <v>155.88</v>
      </c>
      <c r="E2234" s="4">
        <v>0.03977418527072107</v>
      </c>
      <c r="F2234" s="4">
        <v>0.03333333333333344</v>
      </c>
      <c r="G2234" s="4">
        <v>0.0615165548054426</v>
      </c>
      <c r="H2234" s="3">
        <v>6.102112543853137</v>
      </c>
      <c r="I2234" s="5">
        <v>62025.771218</v>
      </c>
      <c r="J2234" s="6">
        <v>13.01148966192574</v>
      </c>
      <c r="K2234" s="4">
        <v>0.5127825667103476</v>
      </c>
      <c r="L2234" s="7">
        <v>0.994763545778187</v>
      </c>
      <c r="M2234" s="3">
        <v>162.07</v>
      </c>
      <c r="N2234" s="3">
        <v>107.2</v>
      </c>
    </row>
    <row r="2235" spans="1:14">
      <c r="A2235" s="8" t="s">
        <v>2247</v>
      </c>
      <c r="B2235" s="2">
        <f>HYPERLINK("https://www.suredividend.com/sure-analysis-research-database/","Pinnacle Financial Partners Inc.")</f>
        <v>0</v>
      </c>
      <c r="C2235" s="1" t="s">
        <v>3180</v>
      </c>
      <c r="D2235" s="3">
        <v>76.48999999999999</v>
      </c>
      <c r="E2235" s="4">
        <v>0.011408028090228</v>
      </c>
      <c r="F2235" s="4" t="s">
        <v>3178</v>
      </c>
      <c r="G2235" s="4" t="s">
        <v>3178</v>
      </c>
      <c r="H2235" s="3">
        <v>0.8726000686216081</v>
      </c>
      <c r="I2235" s="5">
        <v>5906.702443</v>
      </c>
      <c r="J2235" s="6">
        <v>10.79914882731827</v>
      </c>
      <c r="K2235" s="4">
        <v>0.1222128947649311</v>
      </c>
      <c r="L2235" s="7">
        <v>1.394541531565661</v>
      </c>
      <c r="M2235" s="3">
        <v>91.36</v>
      </c>
      <c r="N2235" s="3">
        <v>51.68</v>
      </c>
    </row>
    <row r="2236" spans="1:14">
      <c r="A2236" s="8" t="s">
        <v>2248</v>
      </c>
      <c r="B2236" s="2">
        <f>HYPERLINK("https://www.suredividend.com/sure-analysis-PNM/","PNM Resources Inc")</f>
        <v>0</v>
      </c>
      <c r="C2236" s="1" t="s">
        <v>3186</v>
      </c>
      <c r="D2236" s="3">
        <v>37.2</v>
      </c>
      <c r="E2236" s="4">
        <v>0.04166666666666666</v>
      </c>
      <c r="F2236" s="4">
        <v>0.05442176870748305</v>
      </c>
      <c r="G2236" s="4">
        <v>0.05968000996951628</v>
      </c>
      <c r="H2236" s="3">
        <v>1.487363169485838</v>
      </c>
      <c r="I2236" s="5">
        <v>3355.454285</v>
      </c>
      <c r="J2236" s="6">
        <v>41.94632453434008</v>
      </c>
      <c r="K2236" s="4">
        <v>1.626244445097133</v>
      </c>
      <c r="L2236" s="7">
        <v>0.390731543552637</v>
      </c>
      <c r="M2236" s="3">
        <v>45.01</v>
      </c>
      <c r="N2236" s="3">
        <v>34.26</v>
      </c>
    </row>
    <row r="2237" spans="1:14">
      <c r="A2237" s="8" t="s">
        <v>2249</v>
      </c>
      <c r="B2237" s="2">
        <f>HYPERLINK("https://www.suredividend.com/sure-analysis-PNR/","Pentair plc")</f>
        <v>0</v>
      </c>
      <c r="C2237" s="1" t="s">
        <v>3179</v>
      </c>
      <c r="D2237" s="3">
        <v>77.55</v>
      </c>
      <c r="E2237" s="4">
        <v>0.01186331399097357</v>
      </c>
      <c r="F2237" s="4">
        <v>0.04545454545454541</v>
      </c>
      <c r="G2237" s="4">
        <v>0.05024607263868264</v>
      </c>
      <c r="H2237" s="3">
        <v>0.895840291311469</v>
      </c>
      <c r="I2237" s="5">
        <v>12875.209514</v>
      </c>
      <c r="J2237" s="6">
        <v>20.55757546487306</v>
      </c>
      <c r="K2237" s="4">
        <v>0.2382553966253907</v>
      </c>
      <c r="L2237" s="7">
        <v>1.123935015164253</v>
      </c>
      <c r="M2237" s="3">
        <v>85.84</v>
      </c>
      <c r="N2237" s="3">
        <v>56.83</v>
      </c>
    </row>
    <row r="2238" spans="1:14">
      <c r="A2238" s="8" t="s">
        <v>2250</v>
      </c>
      <c r="B2238" s="2">
        <f>HYPERLINK("https://www.suredividend.com/sure-analysis-research-database/","PrimeEnergy Resources Corp")</f>
        <v>0</v>
      </c>
      <c r="C2238" s="1" t="s">
        <v>3185</v>
      </c>
      <c r="D2238" s="3">
        <v>106.26</v>
      </c>
      <c r="E2238" s="4">
        <v>0</v>
      </c>
      <c r="F2238" s="4" t="s">
        <v>3178</v>
      </c>
      <c r="G2238" s="4" t="s">
        <v>3178</v>
      </c>
      <c r="H2238" s="3">
        <v>0</v>
      </c>
      <c r="I2238" s="5">
        <v>189.658267</v>
      </c>
      <c r="J2238" s="6">
        <v>0</v>
      </c>
      <c r="K2238" s="4" t="s">
        <v>3178</v>
      </c>
      <c r="M2238" s="3">
        <v>120.93</v>
      </c>
      <c r="N2238" s="3">
        <v>85.5</v>
      </c>
    </row>
    <row r="2239" spans="1:14">
      <c r="A2239" s="8" t="s">
        <v>2251</v>
      </c>
      <c r="B2239" s="2">
        <f>HYPERLINK("https://www.suredividend.com/sure-analysis-PNW/","Pinnacle West Capital Corp.")</f>
        <v>0</v>
      </c>
      <c r="C2239" s="1" t="s">
        <v>3186</v>
      </c>
      <c r="D2239" s="3">
        <v>75.69</v>
      </c>
      <c r="E2239" s="4">
        <v>0.04676971858898137</v>
      </c>
      <c r="F2239" s="4">
        <v>0.01734104046242768</v>
      </c>
      <c r="G2239" s="4">
        <v>0.03596272540545487</v>
      </c>
      <c r="H2239" s="3">
        <v>3.442622237119038</v>
      </c>
      <c r="I2239" s="5">
        <v>8595.272005999999</v>
      </c>
      <c r="J2239" s="6">
        <v>16.47500173590612</v>
      </c>
      <c r="K2239" s="4">
        <v>0.7516642439124538</v>
      </c>
      <c r="L2239" s="7">
        <v>0.383845358298507</v>
      </c>
      <c r="M2239" s="3">
        <v>82.11</v>
      </c>
      <c r="N2239" s="3">
        <v>64.43000000000001</v>
      </c>
    </row>
    <row r="2240" spans="1:14">
      <c r="A2240" s="8" t="s">
        <v>2252</v>
      </c>
      <c r="B2240" s="2">
        <f>HYPERLINK("https://www.suredividend.com/sure-analysis-research-database/","Predictive Oncology Inc")</f>
        <v>0</v>
      </c>
      <c r="C2240" s="1" t="s">
        <v>3176</v>
      </c>
      <c r="D2240" s="3">
        <v>1.21</v>
      </c>
      <c r="E2240" s="4">
        <v>0</v>
      </c>
      <c r="F2240" s="4" t="s">
        <v>3178</v>
      </c>
      <c r="G2240" s="4" t="s">
        <v>3178</v>
      </c>
      <c r="H2240" s="3">
        <v>0</v>
      </c>
      <c r="I2240" s="5">
        <v>4.963425</v>
      </c>
      <c r="J2240" s="6">
        <v>0</v>
      </c>
      <c r="K2240" s="4" t="s">
        <v>3178</v>
      </c>
      <c r="L2240" s="7">
        <v>0.9455789108208871</v>
      </c>
      <c r="M2240" s="3">
        <v>7.12</v>
      </c>
      <c r="N2240" s="3">
        <v>1.12</v>
      </c>
    </row>
    <row r="2241" spans="1:14">
      <c r="A2241" s="8" t="s">
        <v>2253</v>
      </c>
      <c r="B2241" s="2">
        <f>HYPERLINK("https://www.suredividend.com/sure-analysis-research-database/","Insulet Corporation")</f>
        <v>0</v>
      </c>
      <c r="C2241" s="1" t="s">
        <v>3176</v>
      </c>
      <c r="D2241" s="3">
        <v>191.42</v>
      </c>
      <c r="E2241" s="4">
        <v>0</v>
      </c>
      <c r="F2241" s="4" t="s">
        <v>3178</v>
      </c>
      <c r="G2241" s="4" t="s">
        <v>3178</v>
      </c>
      <c r="H2241" s="3">
        <v>0</v>
      </c>
      <c r="I2241" s="5">
        <v>13406.963196</v>
      </c>
      <c r="J2241" s="6">
        <v>64.9877033234125</v>
      </c>
      <c r="K2241" s="4">
        <v>0</v>
      </c>
      <c r="L2241" s="7">
        <v>1.337360196555804</v>
      </c>
      <c r="M2241" s="3">
        <v>298.95</v>
      </c>
      <c r="N2241" s="3">
        <v>125.82</v>
      </c>
    </row>
    <row r="2242" spans="1:14">
      <c r="A2242" s="8" t="s">
        <v>2254</v>
      </c>
      <c r="B2242" s="2">
        <f>HYPERLINK("https://www.suredividend.com/sure-analysis-research-database/","Polished.com Inc")</f>
        <v>0</v>
      </c>
      <c r="C2242" s="1" t="s">
        <v>3177</v>
      </c>
      <c r="D2242" s="3">
        <v>1.84</v>
      </c>
      <c r="E2242" s="4">
        <v>0</v>
      </c>
      <c r="F2242" s="4" t="s">
        <v>3178</v>
      </c>
      <c r="G2242" s="4" t="s">
        <v>3178</v>
      </c>
      <c r="H2242" s="3">
        <v>0</v>
      </c>
      <c r="I2242" s="5">
        <v>3.843652</v>
      </c>
      <c r="J2242" s="6" t="s">
        <v>3178</v>
      </c>
      <c r="K2242" s="4">
        <v>-0</v>
      </c>
      <c r="L2242" s="7">
        <v>-3.783827380876873</v>
      </c>
      <c r="M2242" s="3">
        <v>35.84</v>
      </c>
      <c r="N2242" s="3">
        <v>1.06</v>
      </c>
    </row>
    <row r="2243" spans="1:14">
      <c r="A2243" s="8" t="s">
        <v>2255</v>
      </c>
      <c r="B2243" s="2">
        <f>HYPERLINK("https://www.suredividend.com/sure-analysis-POOL/","Pool Corporation")</f>
        <v>0</v>
      </c>
      <c r="C2243" s="1" t="s">
        <v>3182</v>
      </c>
      <c r="D2243" s="3">
        <v>340.86</v>
      </c>
      <c r="E2243" s="4">
        <v>0.01408202781200493</v>
      </c>
      <c r="F2243" s="4">
        <v>0.09090909090909083</v>
      </c>
      <c r="G2243" s="4">
        <v>0.168863268921301</v>
      </c>
      <c r="H2243" s="3">
        <v>4.459964838071588</v>
      </c>
      <c r="I2243" s="5">
        <v>13064.747951</v>
      </c>
      <c r="J2243" s="6">
        <v>26.24608099337256</v>
      </c>
      <c r="K2243" s="4">
        <v>0.3478911730165046</v>
      </c>
      <c r="L2243" s="7">
        <v>1.322366780015901</v>
      </c>
      <c r="M2243" s="3">
        <v>418.31</v>
      </c>
      <c r="N2243" s="3">
        <v>302.81</v>
      </c>
    </row>
    <row r="2244" spans="1:14">
      <c r="A2244" s="8" t="s">
        <v>2256</v>
      </c>
      <c r="B2244" s="2">
        <f>HYPERLINK("https://www.suredividend.com/sure-analysis-POR/","Portland General Electric Co")</f>
        <v>0</v>
      </c>
      <c r="C2244" s="1" t="s">
        <v>3186</v>
      </c>
      <c r="D2244" s="3">
        <v>42.8</v>
      </c>
      <c r="E2244" s="4">
        <v>0.04672897196261683</v>
      </c>
      <c r="F2244" s="4">
        <v>0.04972375690607733</v>
      </c>
      <c r="G2244" s="4">
        <v>0.04290938593818328</v>
      </c>
      <c r="H2244" s="3">
        <v>1.868182217471309</v>
      </c>
      <c r="I2244" s="5">
        <v>4409.738698</v>
      </c>
      <c r="J2244" s="6">
        <v>16.76706729429658</v>
      </c>
      <c r="K2244" s="4">
        <v>0.7103354439054407</v>
      </c>
      <c r="L2244" s="7">
        <v>0.557628144043633</v>
      </c>
      <c r="M2244" s="3">
        <v>48.07</v>
      </c>
      <c r="N2244" s="3">
        <v>37.16</v>
      </c>
    </row>
    <row r="2245" spans="1:14">
      <c r="A2245" s="8" t="s">
        <v>2257</v>
      </c>
      <c r="B2245" s="2">
        <f>HYPERLINK("https://www.suredividend.com/sure-analysis-research-database/","Post Holdings Inc")</f>
        <v>0</v>
      </c>
      <c r="C2245" s="1" t="s">
        <v>3184</v>
      </c>
      <c r="D2245" s="3">
        <v>103.96</v>
      </c>
      <c r="E2245" s="4">
        <v>0</v>
      </c>
      <c r="F2245" s="4" t="s">
        <v>3178</v>
      </c>
      <c r="G2245" s="4" t="s">
        <v>3178</v>
      </c>
      <c r="H2245" s="3">
        <v>0</v>
      </c>
      <c r="I2245" s="5">
        <v>6298.507773</v>
      </c>
      <c r="J2245" s="6">
        <v>18.49238923347034</v>
      </c>
      <c r="K2245" s="4">
        <v>0</v>
      </c>
      <c r="L2245" s="7">
        <v>0.4295199104870001</v>
      </c>
      <c r="M2245" s="3">
        <v>108.17</v>
      </c>
      <c r="N2245" s="3">
        <v>78.84999999999999</v>
      </c>
    </row>
    <row r="2246" spans="1:14">
      <c r="A2246" s="8" t="s">
        <v>2258</v>
      </c>
      <c r="B2246" s="2">
        <f>HYPERLINK("https://www.suredividend.com/sure-analysis-research-database/","Power Integrations Inc.")</f>
        <v>0</v>
      </c>
      <c r="C2246" s="1" t="s">
        <v>3181</v>
      </c>
      <c r="D2246" s="3">
        <v>74.56999999999999</v>
      </c>
      <c r="E2246" s="4">
        <v>0.010509403836558</v>
      </c>
      <c r="F2246" s="4">
        <v>0.05263157894736836</v>
      </c>
      <c r="G2246" s="4">
        <v>0.03303780411393231</v>
      </c>
      <c r="H2246" s="3">
        <v>0.783686244092153</v>
      </c>
      <c r="I2246" s="5">
        <v>4232.883799</v>
      </c>
      <c r="J2246" s="6">
        <v>80.14700267523762</v>
      </c>
      <c r="K2246" s="4">
        <v>0.8534098269543211</v>
      </c>
      <c r="L2246" s="7">
        <v>1.803900135244948</v>
      </c>
      <c r="M2246" s="3">
        <v>97.55</v>
      </c>
      <c r="N2246" s="3">
        <v>61.8</v>
      </c>
    </row>
    <row r="2247" spans="1:14">
      <c r="A2247" s="8" t="s">
        <v>2259</v>
      </c>
      <c r="B2247" s="2">
        <f>HYPERLINK("https://www.suredividend.com/sure-analysis-research-database/","Powell Industries, Inc.")</f>
        <v>0</v>
      </c>
      <c r="C2247" s="1" t="s">
        <v>3179</v>
      </c>
      <c r="D2247" s="3">
        <v>159.03</v>
      </c>
      <c r="E2247" s="4">
        <v>0.006595782736335</v>
      </c>
      <c r="F2247" s="4">
        <v>0.00952380952380949</v>
      </c>
      <c r="G2247" s="4">
        <v>0.003816904892658401</v>
      </c>
      <c r="H2247" s="3">
        <v>1.048927328559365</v>
      </c>
      <c r="I2247" s="5">
        <v>1906.425877</v>
      </c>
      <c r="J2247" s="6">
        <v>18.60599315987234</v>
      </c>
      <c r="K2247" s="4">
        <v>0.1244279156060931</v>
      </c>
      <c r="L2247" s="7">
        <v>0.101129254088169</v>
      </c>
      <c r="M2247" s="3">
        <v>209.14</v>
      </c>
      <c r="N2247" s="3">
        <v>54.96</v>
      </c>
    </row>
    <row r="2248" spans="1:14">
      <c r="A2248" s="8" t="s">
        <v>2260</v>
      </c>
      <c r="B2248" s="2">
        <f>HYPERLINK("https://www.suredividend.com/sure-analysis-research-database/","Pacific Premier Bancorp, Inc.")</f>
        <v>0</v>
      </c>
      <c r="C2248" s="1" t="s">
        <v>3180</v>
      </c>
      <c r="D2248" s="3">
        <v>21.13</v>
      </c>
      <c r="E2248" s="4">
        <v>0.059809206000337</v>
      </c>
      <c r="F2248" s="4">
        <v>0</v>
      </c>
      <c r="G2248" s="4">
        <v>0.08447177119769855</v>
      </c>
      <c r="H2248" s="3">
        <v>1.263768522787134</v>
      </c>
      <c r="I2248" s="5">
        <v>2037.59768</v>
      </c>
      <c r="J2248" s="6">
        <v>153.2258745315085</v>
      </c>
      <c r="K2248" s="4">
        <v>8.962897324731447</v>
      </c>
      <c r="L2248" s="7">
        <v>1.433959791348651</v>
      </c>
      <c r="M2248" s="3">
        <v>28.47</v>
      </c>
      <c r="N2248" s="3">
        <v>16.31</v>
      </c>
    </row>
    <row r="2249" spans="1:14">
      <c r="A2249" s="8" t="s">
        <v>2261</v>
      </c>
      <c r="B2249" s="2">
        <f>HYPERLINK("https://www.suredividend.com/sure-analysis-research-database/","Pilgrim`s Pride Corp.")</f>
        <v>0</v>
      </c>
      <c r="C2249" s="1" t="s">
        <v>3184</v>
      </c>
      <c r="D2249" s="3">
        <v>34.1</v>
      </c>
      <c r="E2249" s="4">
        <v>0</v>
      </c>
      <c r="F2249" s="4" t="s">
        <v>3178</v>
      </c>
      <c r="G2249" s="4" t="s">
        <v>3178</v>
      </c>
      <c r="H2249" s="3">
        <v>0</v>
      </c>
      <c r="I2249" s="5">
        <v>8079.772907</v>
      </c>
      <c r="J2249" s="6">
        <v>16.46218665282555</v>
      </c>
      <c r="K2249" s="4">
        <v>0</v>
      </c>
      <c r="L2249" s="7">
        <v>0.346256561834047</v>
      </c>
      <c r="M2249" s="3">
        <v>39</v>
      </c>
      <c r="N2249" s="3">
        <v>19.96</v>
      </c>
    </row>
    <row r="2250" spans="1:14">
      <c r="A2250" s="8" t="s">
        <v>2262</v>
      </c>
      <c r="B2250" s="2">
        <f>HYPERLINK("https://www.suredividend.com/sure-analysis-PPG/","PPG Industries, Inc.")</f>
        <v>0</v>
      </c>
      <c r="C2250" s="1" t="s">
        <v>3177</v>
      </c>
      <c r="D2250" s="3">
        <v>128.41</v>
      </c>
      <c r="E2250" s="4">
        <v>0.02024764426446539</v>
      </c>
      <c r="F2250" s="4">
        <v>0.04838709677419351</v>
      </c>
      <c r="G2250" s="4">
        <v>0.04970831195077574</v>
      </c>
      <c r="H2250" s="3">
        <v>2.581268566943557</v>
      </c>
      <c r="I2250" s="5">
        <v>30112.145</v>
      </c>
      <c r="J2250" s="6">
        <v>21.41688833570413</v>
      </c>
      <c r="K2250" s="4">
        <v>0.4352898089280872</v>
      </c>
      <c r="L2250" s="7">
        <v>0.9060944687117741</v>
      </c>
      <c r="M2250" s="3">
        <v>150</v>
      </c>
      <c r="N2250" s="3">
        <v>118.59</v>
      </c>
    </row>
    <row r="2251" spans="1:14">
      <c r="A2251" s="8" t="s">
        <v>2263</v>
      </c>
      <c r="B2251" s="2">
        <f>HYPERLINK("https://www.suredividend.com/sure-analysis-research-database/","Perma-Pipe International Holdings Inc")</f>
        <v>0</v>
      </c>
      <c r="C2251" s="1" t="s">
        <v>3179</v>
      </c>
      <c r="D2251" s="3">
        <v>9.26</v>
      </c>
      <c r="E2251" s="4">
        <v>0</v>
      </c>
      <c r="F2251" s="4" t="s">
        <v>3178</v>
      </c>
      <c r="G2251" s="4" t="s">
        <v>3178</v>
      </c>
      <c r="H2251" s="3">
        <v>0</v>
      </c>
      <c r="I2251" s="5">
        <v>74.235392</v>
      </c>
      <c r="J2251" s="6">
        <v>0</v>
      </c>
      <c r="K2251" s="4" t="s">
        <v>3178</v>
      </c>
      <c r="M2251" s="3">
        <v>10.73</v>
      </c>
      <c r="N2251" s="3">
        <v>6.17</v>
      </c>
    </row>
    <row r="2252" spans="1:14">
      <c r="A2252" s="8" t="s">
        <v>2264</v>
      </c>
      <c r="B2252" s="2">
        <f>HYPERLINK("https://www.suredividend.com/sure-analysis-PPL/","PPL Corp")</f>
        <v>0</v>
      </c>
      <c r="C2252" s="1" t="s">
        <v>3186</v>
      </c>
      <c r="D2252" s="3">
        <v>28.41</v>
      </c>
      <c r="E2252" s="4">
        <v>0.03625483984512496</v>
      </c>
      <c r="F2252" s="4" t="s">
        <v>3178</v>
      </c>
      <c r="G2252" s="4" t="s">
        <v>3178</v>
      </c>
      <c r="H2252" s="3">
        <v>0.730730221553316</v>
      </c>
      <c r="I2252" s="5">
        <v>20959.217804</v>
      </c>
      <c r="J2252" s="6">
        <v>27.54167911194481</v>
      </c>
      <c r="K2252" s="4">
        <v>0.7094468170420544</v>
      </c>
      <c r="L2252" s="7">
        <v>0.484030033977334</v>
      </c>
      <c r="M2252" s="3">
        <v>29.89</v>
      </c>
      <c r="N2252" s="3">
        <v>21.79</v>
      </c>
    </row>
    <row r="2253" spans="1:14">
      <c r="A2253" s="8" t="s">
        <v>2265</v>
      </c>
      <c r="B2253" s="2">
        <f>HYPERLINK("https://www.suredividend.com/sure-analysis-research-database/","Pioneer Power Solutions Inc")</f>
        <v>0</v>
      </c>
      <c r="C2253" s="1" t="s">
        <v>3179</v>
      </c>
      <c r="D2253" s="3">
        <v>3.82</v>
      </c>
      <c r="E2253" s="4">
        <v>0</v>
      </c>
      <c r="F2253" s="4" t="s">
        <v>3178</v>
      </c>
      <c r="G2253" s="4" t="s">
        <v>3178</v>
      </c>
      <c r="H2253" s="3">
        <v>0</v>
      </c>
      <c r="I2253" s="5">
        <v>37.932684</v>
      </c>
      <c r="J2253" s="6">
        <v>0</v>
      </c>
      <c r="K2253" s="4" t="s">
        <v>3178</v>
      </c>
      <c r="L2253" s="7">
        <v>1.426860419166322</v>
      </c>
      <c r="M2253" s="3">
        <v>9.84</v>
      </c>
      <c r="N2253" s="3">
        <v>3.35</v>
      </c>
    </row>
    <row r="2254" spans="1:14">
      <c r="A2254" s="8" t="s">
        <v>2266</v>
      </c>
      <c r="B2254" s="2">
        <f>HYPERLINK("https://www.suredividend.com/sure-analysis-research-database/","Proassurance Corporation")</f>
        <v>0</v>
      </c>
      <c r="C2254" s="1" t="s">
        <v>3180</v>
      </c>
      <c r="D2254" s="3">
        <v>13.63</v>
      </c>
      <c r="E2254" s="4">
        <v>0</v>
      </c>
      <c r="F2254" s="4" t="s">
        <v>3178</v>
      </c>
      <c r="G2254" s="4" t="s">
        <v>3178</v>
      </c>
      <c r="H2254" s="3">
        <v>0</v>
      </c>
      <c r="I2254" s="5">
        <v>695.29446</v>
      </c>
      <c r="J2254" s="6" t="s">
        <v>3178</v>
      </c>
      <c r="K2254" s="4">
        <v>-0</v>
      </c>
      <c r="L2254" s="7">
        <v>0.910426917917576</v>
      </c>
      <c r="M2254" s="3">
        <v>19.38</v>
      </c>
      <c r="N2254" s="3">
        <v>11.76</v>
      </c>
    </row>
    <row r="2255" spans="1:14">
      <c r="A2255" s="8" t="s">
        <v>2267</v>
      </c>
      <c r="B2255" s="2">
        <f>HYPERLINK("https://www.suredividend.com/sure-analysis-research-database/","PRA Group Inc")</f>
        <v>0</v>
      </c>
      <c r="C2255" s="1" t="s">
        <v>3180</v>
      </c>
      <c r="D2255" s="3">
        <v>20.29</v>
      </c>
      <c r="E2255" s="4">
        <v>0</v>
      </c>
      <c r="F2255" s="4" t="s">
        <v>3178</v>
      </c>
      <c r="G2255" s="4" t="s">
        <v>3178</v>
      </c>
      <c r="H2255" s="3">
        <v>0</v>
      </c>
      <c r="I2255" s="5">
        <v>798.4522020000001</v>
      </c>
      <c r="J2255" s="6" t="s">
        <v>3178</v>
      </c>
      <c r="K2255" s="4">
        <v>-0</v>
      </c>
      <c r="L2255" s="7">
        <v>1.817233781612598</v>
      </c>
      <c r="M2255" s="3">
        <v>31.43</v>
      </c>
      <c r="N2255" s="3">
        <v>11.85</v>
      </c>
    </row>
    <row r="2256" spans="1:14">
      <c r="A2256" s="8" t="s">
        <v>2268</v>
      </c>
      <c r="B2256" s="2">
        <f>HYPERLINK("https://www.suredividend.com/sure-analysis-research-database/","PRA Health Sciences Inc")</f>
        <v>0</v>
      </c>
      <c r="C2256" s="1" t="s">
        <v>3176</v>
      </c>
      <c r="D2256" s="3">
        <v>165.21</v>
      </c>
      <c r="E2256" s="4">
        <v>0</v>
      </c>
      <c r="F2256" s="4" t="s">
        <v>3178</v>
      </c>
      <c r="G2256" s="4" t="s">
        <v>3178</v>
      </c>
      <c r="H2256" s="3">
        <v>0</v>
      </c>
      <c r="I2256" s="5">
        <v>0</v>
      </c>
      <c r="J2256" s="6">
        <v>0</v>
      </c>
      <c r="K2256" s="4">
        <v>0</v>
      </c>
    </row>
    <row r="2257" spans="1:14">
      <c r="A2257" s="8" t="s">
        <v>2269</v>
      </c>
      <c r="B2257" s="2">
        <f>HYPERLINK("https://www.suredividend.com/sure-analysis-research-database/","Perceptron, Inc.")</f>
        <v>0</v>
      </c>
      <c r="C2257" s="1" t="s">
        <v>3181</v>
      </c>
      <c r="D2257" s="3">
        <v>6.975</v>
      </c>
      <c r="E2257" s="4">
        <v>0</v>
      </c>
      <c r="F2257" s="4" t="s">
        <v>3178</v>
      </c>
      <c r="G2257" s="4" t="s">
        <v>3178</v>
      </c>
      <c r="H2257" s="3">
        <v>0</v>
      </c>
      <c r="I2257" s="5">
        <v>0</v>
      </c>
      <c r="J2257" s="6">
        <v>0</v>
      </c>
      <c r="K2257" s="4" t="s">
        <v>3178</v>
      </c>
    </row>
    <row r="2258" spans="1:14">
      <c r="A2258" s="8" t="s">
        <v>2270</v>
      </c>
      <c r="B2258" s="2">
        <f>HYPERLINK("https://www.suredividend.com/sure-analysis-research-database/","Perficient Inc.")</f>
        <v>0</v>
      </c>
      <c r="C2258" s="1" t="s">
        <v>3181</v>
      </c>
      <c r="D2258" s="3">
        <v>74.28</v>
      </c>
      <c r="E2258" s="4">
        <v>0</v>
      </c>
      <c r="F2258" s="4" t="s">
        <v>3178</v>
      </c>
      <c r="G2258" s="4" t="s">
        <v>3178</v>
      </c>
      <c r="H2258" s="3">
        <v>0</v>
      </c>
      <c r="I2258" s="5">
        <v>2611.411375</v>
      </c>
      <c r="J2258" s="6">
        <v>31.18624457007739</v>
      </c>
      <c r="K2258" s="4">
        <v>0</v>
      </c>
      <c r="L2258" s="7">
        <v>2.073184889555333</v>
      </c>
      <c r="M2258" s="3">
        <v>96.93000000000001</v>
      </c>
      <c r="N2258" s="3">
        <v>42.51</v>
      </c>
    </row>
    <row r="2259" spans="1:14">
      <c r="A2259" s="8" t="s">
        <v>2271</v>
      </c>
      <c r="B2259" s="2">
        <f>HYPERLINK("https://www.suredividend.com/sure-analysis-PRGO/","Perrigo Company plc")</f>
        <v>0</v>
      </c>
      <c r="C2259" s="1" t="s">
        <v>3176</v>
      </c>
      <c r="D2259" s="3">
        <v>26.94</v>
      </c>
      <c r="E2259" s="4">
        <v>0.04083147735708983</v>
      </c>
      <c r="F2259" s="4">
        <v>0.01098901098901095</v>
      </c>
      <c r="G2259" s="4">
        <v>0.05618004403862731</v>
      </c>
      <c r="H2259" s="3">
        <v>1.082052801736671</v>
      </c>
      <c r="I2259" s="5">
        <v>3672.472465</v>
      </c>
      <c r="J2259" s="6" t="s">
        <v>3178</v>
      </c>
      <c r="K2259" s="4" t="s">
        <v>3178</v>
      </c>
      <c r="L2259" s="7">
        <v>0.651393762731174</v>
      </c>
      <c r="M2259" s="3">
        <v>38.83</v>
      </c>
      <c r="N2259" s="3">
        <v>25.26</v>
      </c>
    </row>
    <row r="2260" spans="1:14">
      <c r="A2260" s="8" t="s">
        <v>2272</v>
      </c>
      <c r="B2260" s="2">
        <f>HYPERLINK("https://www.suredividend.com/sure-analysis-research-database/","Progress Software Corp.")</f>
        <v>0</v>
      </c>
      <c r="C2260" s="1" t="s">
        <v>3181</v>
      </c>
      <c r="D2260" s="3">
        <v>50.16</v>
      </c>
      <c r="E2260" s="4">
        <v>0.013815012957913</v>
      </c>
      <c r="F2260" s="4">
        <v>0</v>
      </c>
      <c r="G2260" s="4">
        <v>0.02456913836308061</v>
      </c>
      <c r="H2260" s="3">
        <v>0.692961049968925</v>
      </c>
      <c r="I2260" s="5">
        <v>2167.819194</v>
      </c>
      <c r="J2260" s="6">
        <v>31.34407902836817</v>
      </c>
      <c r="K2260" s="4">
        <v>0.4499747077720292</v>
      </c>
      <c r="L2260" s="7">
        <v>0.7497488883922111</v>
      </c>
      <c r="M2260" s="3">
        <v>60.75</v>
      </c>
      <c r="N2260" s="3">
        <v>48.05</v>
      </c>
    </row>
    <row r="2261" spans="1:14">
      <c r="A2261" s="8" t="s">
        <v>2273</v>
      </c>
      <c r="B2261" s="2">
        <f>HYPERLINK("https://www.suredividend.com/sure-analysis-research-database/","PRGX Global Inc")</f>
        <v>0</v>
      </c>
      <c r="C2261" s="1" t="s">
        <v>3179</v>
      </c>
      <c r="D2261" s="3">
        <v>7.71</v>
      </c>
      <c r="E2261" s="4">
        <v>0</v>
      </c>
      <c r="F2261" s="4" t="s">
        <v>3178</v>
      </c>
      <c r="G2261" s="4" t="s">
        <v>3178</v>
      </c>
      <c r="H2261" s="3">
        <v>0</v>
      </c>
      <c r="I2261" s="5">
        <v>0</v>
      </c>
      <c r="J2261" s="6">
        <v>0</v>
      </c>
      <c r="K2261" s="4">
        <v>-0</v>
      </c>
    </row>
    <row r="2262" spans="1:14">
      <c r="A2262" s="8" t="s">
        <v>2274</v>
      </c>
      <c r="B2262" s="2">
        <f>HYPERLINK("https://www.suredividend.com/sure-analysis-PRI/","Primerica Inc")</f>
        <v>0</v>
      </c>
      <c r="C2262" s="1" t="s">
        <v>3180</v>
      </c>
      <c r="D2262" s="3">
        <v>226.39</v>
      </c>
      <c r="E2262" s="4">
        <v>0.01325146870444808</v>
      </c>
      <c r="F2262" s="4">
        <v>0.1538461538461537</v>
      </c>
      <c r="G2262" s="4">
        <v>0.1714303432966133</v>
      </c>
      <c r="H2262" s="3">
        <v>2.787312650579204</v>
      </c>
      <c r="I2262" s="5">
        <v>7790.345229</v>
      </c>
      <c r="J2262" s="6">
        <v>13.27351468299174</v>
      </c>
      <c r="K2262" s="4">
        <v>0.1689280394290427</v>
      </c>
      <c r="L2262" s="7">
        <v>0.694363161539285</v>
      </c>
      <c r="M2262" s="3">
        <v>255.72</v>
      </c>
      <c r="N2262" s="3">
        <v>184.15</v>
      </c>
    </row>
    <row r="2263" spans="1:14">
      <c r="A2263" s="8" t="s">
        <v>2275</v>
      </c>
      <c r="B2263" s="2">
        <f>HYPERLINK("https://www.suredividend.com/sure-analysis-research-database/","Primoris Services Corp")</f>
        <v>0</v>
      </c>
      <c r="C2263" s="1" t="s">
        <v>3179</v>
      </c>
      <c r="D2263" s="3">
        <v>52.38</v>
      </c>
      <c r="E2263" s="4">
        <v>0.004570694149961</v>
      </c>
      <c r="F2263" s="4">
        <v>0</v>
      </c>
      <c r="G2263" s="4">
        <v>0</v>
      </c>
      <c r="H2263" s="3">
        <v>0.239412959574979</v>
      </c>
      <c r="I2263" s="5">
        <v>2809.669852</v>
      </c>
      <c r="J2263" s="6">
        <v>19.541723019238</v>
      </c>
      <c r="K2263" s="4">
        <v>0.0903445130471619</v>
      </c>
      <c r="L2263" s="7">
        <v>1.175246909339282</v>
      </c>
      <c r="M2263" s="3">
        <v>56.62</v>
      </c>
      <c r="N2263" s="3">
        <v>28.04</v>
      </c>
    </row>
    <row r="2264" spans="1:14">
      <c r="A2264" s="8" t="s">
        <v>2276</v>
      </c>
      <c r="B2264" s="2">
        <f>HYPERLINK("https://www.suredividend.com/sure-analysis-research-database/","Park National Corp.")</f>
        <v>0</v>
      </c>
      <c r="C2264" s="1" t="s">
        <v>3180</v>
      </c>
      <c r="D2264" s="3">
        <v>135.99</v>
      </c>
      <c r="E2264" s="4">
        <v>0.030289438578659</v>
      </c>
      <c r="F2264" s="4">
        <v>0.00952380952380949</v>
      </c>
      <c r="G2264" s="4">
        <v>0.007722925296044458</v>
      </c>
      <c r="H2264" s="3">
        <v>4.119060752311969</v>
      </c>
      <c r="I2264" s="5">
        <v>2196.173633</v>
      </c>
      <c r="J2264" s="6">
        <v>17.13017146577747</v>
      </c>
      <c r="K2264" s="4">
        <v>0.5207409294958242</v>
      </c>
      <c r="L2264" s="7">
        <v>1.057936276959114</v>
      </c>
      <c r="M2264" s="3">
        <v>144.01</v>
      </c>
      <c r="N2264" s="3">
        <v>84.97</v>
      </c>
    </row>
    <row r="2265" spans="1:14">
      <c r="A2265" s="8" t="s">
        <v>2277</v>
      </c>
      <c r="B2265" s="2">
        <f>HYPERLINK("https://www.suredividend.com/sure-analysis-research-database/","Proto Labs Inc")</f>
        <v>0</v>
      </c>
      <c r="C2265" s="1" t="s">
        <v>3179</v>
      </c>
      <c r="D2265" s="3">
        <v>32.23</v>
      </c>
      <c r="E2265" s="4">
        <v>0</v>
      </c>
      <c r="F2265" s="4" t="s">
        <v>3178</v>
      </c>
      <c r="G2265" s="4" t="s">
        <v>3178</v>
      </c>
      <c r="H2265" s="3">
        <v>0</v>
      </c>
      <c r="I2265" s="5">
        <v>815.9369359999999</v>
      </c>
      <c r="J2265" s="6">
        <v>41.14866791567905</v>
      </c>
      <c r="K2265" s="4">
        <v>0</v>
      </c>
      <c r="L2265" s="7">
        <v>1.43444882608281</v>
      </c>
      <c r="M2265" s="3">
        <v>41.87</v>
      </c>
      <c r="N2265" s="3">
        <v>23.01</v>
      </c>
    </row>
    <row r="2266" spans="1:14">
      <c r="A2266" s="8" t="s">
        <v>2278</v>
      </c>
      <c r="B2266" s="2">
        <f>HYPERLINK("https://www.suredividend.com/sure-analysis-research-database/","Primo Water Corporation")</f>
        <v>0</v>
      </c>
      <c r="C2266" s="1" t="s">
        <v>3184</v>
      </c>
      <c r="D2266" s="3">
        <v>22.91</v>
      </c>
      <c r="E2266" s="4">
        <v>0.016018684288395</v>
      </c>
      <c r="F2266" s="4">
        <v>-1</v>
      </c>
      <c r="G2266" s="4">
        <v>-1</v>
      </c>
      <c r="H2266" s="3">
        <v>0.3669880570471311</v>
      </c>
      <c r="I2266" s="5">
        <v>3664.839525</v>
      </c>
      <c r="J2266" s="6">
        <v>14.24344937994559</v>
      </c>
      <c r="K2266" s="4">
        <v>0.2293675356544569</v>
      </c>
      <c r="L2266" s="7">
        <v>0.8079188167379211</v>
      </c>
      <c r="M2266" s="3">
        <v>23.02</v>
      </c>
      <c r="N2266" s="3">
        <v>12.02</v>
      </c>
    </row>
    <row r="2267" spans="1:14">
      <c r="A2267" s="8" t="s">
        <v>2279</v>
      </c>
      <c r="B2267" s="2">
        <f>HYPERLINK("https://www.suredividend.com/sure-analysis-research-database/","Pros Holdings Inc")</f>
        <v>0</v>
      </c>
      <c r="C2267" s="1" t="s">
        <v>3181</v>
      </c>
      <c r="D2267" s="3">
        <v>28.04</v>
      </c>
      <c r="E2267" s="4">
        <v>0</v>
      </c>
      <c r="F2267" s="4" t="s">
        <v>3178</v>
      </c>
      <c r="G2267" s="4" t="s">
        <v>3178</v>
      </c>
      <c r="H2267" s="3">
        <v>0</v>
      </c>
      <c r="I2267" s="5">
        <v>1318.002282</v>
      </c>
      <c r="J2267" s="6" t="s">
        <v>3178</v>
      </c>
      <c r="K2267" s="4">
        <v>-0</v>
      </c>
      <c r="L2267" s="7">
        <v>1.535451064768174</v>
      </c>
      <c r="M2267" s="3">
        <v>40.99</v>
      </c>
      <c r="N2267" s="3">
        <v>27.59</v>
      </c>
    </row>
    <row r="2268" spans="1:14">
      <c r="A2268" s="8" t="s">
        <v>2280</v>
      </c>
      <c r="B2268" s="2">
        <f>HYPERLINK("https://www.suredividend.com/sure-analysis-research-database/","Provident Financial Holdings, Inc.")</f>
        <v>0</v>
      </c>
      <c r="C2268" s="1" t="s">
        <v>3180</v>
      </c>
      <c r="D2268" s="3">
        <v>12.76</v>
      </c>
      <c r="E2268" s="4">
        <v>0.042383807089133</v>
      </c>
      <c r="F2268" s="4">
        <v>0</v>
      </c>
      <c r="G2268" s="4">
        <v>0</v>
      </c>
      <c r="H2268" s="3">
        <v>0.542512730740913</v>
      </c>
      <c r="I2268" s="5">
        <v>88.03770900000001</v>
      </c>
      <c r="J2268" s="6">
        <v>12.2172784901471</v>
      </c>
      <c r="K2268" s="4">
        <v>0.5267113890688475</v>
      </c>
      <c r="M2268" s="3">
        <v>14.77</v>
      </c>
      <c r="N2268" s="3">
        <v>9.52</v>
      </c>
    </row>
    <row r="2269" spans="1:14">
      <c r="A2269" s="8" t="s">
        <v>2281</v>
      </c>
      <c r="B2269" s="2">
        <f>HYPERLINK("https://www.suredividend.com/sure-analysis-research-database/","ProPhase Labs Inc")</f>
        <v>0</v>
      </c>
      <c r="C2269" s="1" t="s">
        <v>3176</v>
      </c>
      <c r="D2269" s="3">
        <v>4.64</v>
      </c>
      <c r="E2269" s="4">
        <v>0</v>
      </c>
      <c r="F2269" s="4" t="s">
        <v>3178</v>
      </c>
      <c r="G2269" s="4" t="s">
        <v>3178</v>
      </c>
      <c r="H2269" s="3">
        <v>0</v>
      </c>
      <c r="I2269" s="5">
        <v>88.52437500000001</v>
      </c>
      <c r="J2269" s="6">
        <v>0</v>
      </c>
      <c r="K2269" s="4" t="s">
        <v>3178</v>
      </c>
      <c r="L2269" s="7">
        <v>-0.019662706600501</v>
      </c>
      <c r="M2269" s="3">
        <v>7.85</v>
      </c>
      <c r="N2269" s="3">
        <v>4.05</v>
      </c>
    </row>
    <row r="2270" spans="1:14">
      <c r="A2270" s="8" t="s">
        <v>2282</v>
      </c>
      <c r="B2270" s="2">
        <f>HYPERLINK("https://www.suredividend.com/sure-analysis-research-database/","Providence Service Corp")</f>
        <v>0</v>
      </c>
      <c r="C2270" s="1" t="s">
        <v>3176</v>
      </c>
      <c r="D2270" s="3">
        <v>155.58</v>
      </c>
      <c r="E2270" s="4">
        <v>0</v>
      </c>
      <c r="F2270" s="4" t="s">
        <v>3178</v>
      </c>
      <c r="G2270" s="4" t="s">
        <v>3178</v>
      </c>
      <c r="H2270" s="3">
        <v>0</v>
      </c>
      <c r="I2270" s="5">
        <v>2206.689778</v>
      </c>
      <c r="J2270" s="6">
        <v>75.23917548228717</v>
      </c>
      <c r="K2270" s="4">
        <v>0</v>
      </c>
      <c r="L2270" s="7">
        <v>0.7972693090378321</v>
      </c>
      <c r="M2270" s="3">
        <v>155.58</v>
      </c>
      <c r="N2270" s="3">
        <v>46.57</v>
      </c>
    </row>
    <row r="2271" spans="1:14">
      <c r="A2271" s="8" t="s">
        <v>2283</v>
      </c>
      <c r="B2271" s="2">
        <f>HYPERLINK("https://www.suredividend.com/sure-analysis-research-database/","Perspecta Inc")</f>
        <v>0</v>
      </c>
      <c r="C2271" s="1" t="s">
        <v>3181</v>
      </c>
      <c r="D2271" s="3">
        <v>29.34</v>
      </c>
      <c r="E2271" s="4">
        <v>0.009503252611051</v>
      </c>
      <c r="F2271" s="4" t="s">
        <v>3178</v>
      </c>
      <c r="G2271" s="4" t="s">
        <v>3178</v>
      </c>
      <c r="H2271" s="3">
        <v>0.278825431608245</v>
      </c>
      <c r="I2271" s="5">
        <v>4725.820411</v>
      </c>
      <c r="J2271" s="6" t="s">
        <v>3178</v>
      </c>
      <c r="K2271" s="4" t="s">
        <v>3178</v>
      </c>
      <c r="L2271" s="7">
        <v>0.943665960950074</v>
      </c>
      <c r="M2271" s="3">
        <v>29.55</v>
      </c>
      <c r="N2271" s="3">
        <v>17.26</v>
      </c>
    </row>
    <row r="2272" spans="1:14">
      <c r="A2272" s="8" t="s">
        <v>2284</v>
      </c>
      <c r="B2272" s="2">
        <f>HYPERLINK("https://www.suredividend.com/sure-analysis-research-database/","Prothena Corporation plc")</f>
        <v>0</v>
      </c>
      <c r="C2272" s="1" t="s">
        <v>3176</v>
      </c>
      <c r="D2272" s="3">
        <v>21.13</v>
      </c>
      <c r="E2272" s="4">
        <v>0</v>
      </c>
      <c r="F2272" s="4" t="s">
        <v>3178</v>
      </c>
      <c r="G2272" s="4" t="s">
        <v>3178</v>
      </c>
      <c r="H2272" s="3">
        <v>0</v>
      </c>
      <c r="I2272" s="5">
        <v>1136.199085</v>
      </c>
      <c r="J2272" s="6" t="s">
        <v>3178</v>
      </c>
      <c r="K2272" s="4">
        <v>-0</v>
      </c>
      <c r="L2272" s="7">
        <v>1.61582575269991</v>
      </c>
      <c r="M2272" s="3">
        <v>77.13</v>
      </c>
      <c r="N2272" s="3">
        <v>19.52</v>
      </c>
    </row>
    <row r="2273" spans="1:14">
      <c r="A2273" s="8" t="s">
        <v>2285</v>
      </c>
      <c r="B2273" s="2">
        <f>HYPERLINK("https://www.suredividend.com/sure-analysis-research-database/","Paratek Pharmaceuticals Inc.")</f>
        <v>0</v>
      </c>
      <c r="C2273" s="1" t="s">
        <v>3176</v>
      </c>
      <c r="D2273" s="3">
        <v>2.23</v>
      </c>
      <c r="E2273" s="4">
        <v>0</v>
      </c>
      <c r="F2273" s="4" t="s">
        <v>3178</v>
      </c>
      <c r="G2273" s="4" t="s">
        <v>3178</v>
      </c>
      <c r="H2273" s="3">
        <v>0</v>
      </c>
      <c r="I2273" s="5">
        <v>0</v>
      </c>
      <c r="J2273" s="6">
        <v>0</v>
      </c>
      <c r="K2273" s="4">
        <v>-0</v>
      </c>
    </row>
    <row r="2274" spans="1:14">
      <c r="A2274" s="8" t="s">
        <v>2286</v>
      </c>
      <c r="B2274" s="2">
        <f>HYPERLINK("https://www.suredividend.com/sure-analysis-research-database/","CarParts.com Inc")</f>
        <v>0</v>
      </c>
      <c r="C2274" s="1" t="s">
        <v>3182</v>
      </c>
      <c r="D2274" s="3">
        <v>1.06</v>
      </c>
      <c r="E2274" s="4">
        <v>0</v>
      </c>
      <c r="F2274" s="4" t="s">
        <v>3178</v>
      </c>
      <c r="G2274" s="4" t="s">
        <v>3178</v>
      </c>
      <c r="H2274" s="3">
        <v>0</v>
      </c>
      <c r="I2274" s="5">
        <v>60.099786</v>
      </c>
      <c r="J2274" s="6" t="s">
        <v>3178</v>
      </c>
      <c r="K2274" s="4">
        <v>-0</v>
      </c>
      <c r="L2274" s="7">
        <v>1.713407483588395</v>
      </c>
      <c r="M2274" s="3">
        <v>5.16</v>
      </c>
      <c r="N2274" s="3">
        <v>0.99</v>
      </c>
    </row>
    <row r="2275" spans="1:14">
      <c r="A2275" s="8" t="s">
        <v>2287</v>
      </c>
      <c r="B2275" s="2">
        <f>HYPERLINK("https://www.suredividend.com/sure-analysis-research-database/","Party City Holdco Inc")</f>
        <v>0</v>
      </c>
      <c r="C2275" s="1" t="s">
        <v>3182</v>
      </c>
      <c r="D2275" s="3">
        <v>0.3742</v>
      </c>
      <c r="E2275" s="4">
        <v>0</v>
      </c>
      <c r="F2275" s="4" t="s">
        <v>3178</v>
      </c>
      <c r="G2275" s="4" t="s">
        <v>3178</v>
      </c>
      <c r="H2275" s="3">
        <v>0</v>
      </c>
      <c r="I2275" s="5">
        <v>42.402954</v>
      </c>
      <c r="J2275" s="6" t="s">
        <v>3178</v>
      </c>
      <c r="K2275" s="4">
        <v>-0</v>
      </c>
      <c r="M2275" s="3">
        <v>5.51</v>
      </c>
      <c r="N2275" s="3">
        <v>0.15</v>
      </c>
    </row>
    <row r="2276" spans="1:14">
      <c r="A2276" s="8" t="s">
        <v>2288</v>
      </c>
      <c r="B2276" s="2">
        <f>HYPERLINK("https://www.suredividend.com/sure-analysis-PRU/","Prudential Financial Inc.")</f>
        <v>0</v>
      </c>
      <c r="C2276" s="1" t="s">
        <v>3180</v>
      </c>
      <c r="D2276" s="3">
        <v>117.84</v>
      </c>
      <c r="E2276" s="4">
        <v>0.04412763068567549</v>
      </c>
      <c r="F2276" s="4">
        <v>0.04000000000000004</v>
      </c>
      <c r="G2276" s="4">
        <v>0.05387395206178347</v>
      </c>
      <c r="H2276" s="3">
        <v>5.013907845291447</v>
      </c>
      <c r="I2276" s="5">
        <v>42304.56</v>
      </c>
      <c r="J2276" s="6">
        <v>19.78697848456501</v>
      </c>
      <c r="K2276" s="4">
        <v>0.8483769619782482</v>
      </c>
      <c r="L2276" s="7">
        <v>0.746850120199942</v>
      </c>
      <c r="M2276" s="3">
        <v>120.6</v>
      </c>
      <c r="N2276" s="3">
        <v>79.31999999999999</v>
      </c>
    </row>
    <row r="2277" spans="1:14">
      <c r="A2277" s="8" t="s">
        <v>2289</v>
      </c>
      <c r="B2277" s="2">
        <f>HYPERLINK("https://www.suredividend.com/sure-analysis-research-database/","Provention Bio Inc")</f>
        <v>0</v>
      </c>
      <c r="C2277" s="1" t="s">
        <v>3176</v>
      </c>
      <c r="D2277" s="3">
        <v>24.98</v>
      </c>
      <c r="E2277" s="4">
        <v>0</v>
      </c>
      <c r="F2277" s="4" t="s">
        <v>3178</v>
      </c>
      <c r="G2277" s="4" t="s">
        <v>3178</v>
      </c>
      <c r="H2277" s="3">
        <v>0</v>
      </c>
      <c r="I2277" s="5">
        <v>0</v>
      </c>
      <c r="J2277" s="6">
        <v>0</v>
      </c>
      <c r="K2277" s="4" t="s">
        <v>3178</v>
      </c>
    </row>
    <row r="2278" spans="1:14">
      <c r="A2278" s="8" t="s">
        <v>2290</v>
      </c>
      <c r="B2278" s="2">
        <f>HYPERLINK("https://www.suredividend.com/sure-analysis-research-database/","Pluralsight Inc")</f>
        <v>0</v>
      </c>
      <c r="C2278" s="1" t="s">
        <v>3181</v>
      </c>
      <c r="D2278" s="3">
        <v>22.45</v>
      </c>
      <c r="E2278" s="4">
        <v>0</v>
      </c>
      <c r="F2278" s="4" t="s">
        <v>3178</v>
      </c>
      <c r="G2278" s="4" t="s">
        <v>3178</v>
      </c>
      <c r="H2278" s="3">
        <v>0</v>
      </c>
      <c r="I2278" s="5">
        <v>0</v>
      </c>
      <c r="J2278" s="6">
        <v>0</v>
      </c>
      <c r="K2278" s="4">
        <v>-0</v>
      </c>
    </row>
    <row r="2279" spans="1:14">
      <c r="A2279" s="8" t="s">
        <v>2291</v>
      </c>
      <c r="B2279" s="2">
        <f>HYPERLINK("https://www.suredividend.com/sure-analysis-PSA/","Public Storage.")</f>
        <v>0</v>
      </c>
      <c r="C2279" s="1" t="s">
        <v>3183</v>
      </c>
      <c r="D2279" s="3">
        <v>273.82</v>
      </c>
      <c r="E2279" s="4">
        <v>0.04382441019647944</v>
      </c>
      <c r="F2279" s="4">
        <v>0</v>
      </c>
      <c r="G2279" s="4">
        <v>0.08447177119769855</v>
      </c>
      <c r="H2279" s="3">
        <v>8.906111918171007</v>
      </c>
      <c r="I2279" s="5">
        <v>48145.62438</v>
      </c>
      <c r="J2279" s="6">
        <v>0</v>
      </c>
      <c r="K2279" s="4" t="s">
        <v>3178</v>
      </c>
      <c r="L2279" s="7">
        <v>1.118790387586442</v>
      </c>
      <c r="M2279" s="3">
        <v>309.04</v>
      </c>
      <c r="N2279" s="3">
        <v>228.28</v>
      </c>
    </row>
    <row r="2280" spans="1:14">
      <c r="A2280" s="8" t="s">
        <v>2292</v>
      </c>
      <c r="B2280" s="2">
        <f>HYPERLINK("https://www.suredividend.com/sure-analysis-research-database/","PS Business Parks, Inc.")</f>
        <v>0</v>
      </c>
      <c r="C2280" s="1" t="s">
        <v>3183</v>
      </c>
      <c r="D2280" s="3">
        <v>187.44</v>
      </c>
      <c r="E2280" s="4">
        <v>0.022069755700724</v>
      </c>
      <c r="F2280" s="4" t="s">
        <v>3178</v>
      </c>
      <c r="G2280" s="4" t="s">
        <v>3178</v>
      </c>
      <c r="H2280" s="3">
        <v>4.136755008543845</v>
      </c>
      <c r="I2280" s="5">
        <v>5178.487916</v>
      </c>
      <c r="J2280" s="6">
        <v>11.84480132645616</v>
      </c>
      <c r="K2280" s="4">
        <v>0.2616543332412299</v>
      </c>
      <c r="L2280" s="7">
        <v>0.363286488982407</v>
      </c>
      <c r="M2280" s="3">
        <v>188.54</v>
      </c>
      <c r="N2280" s="3">
        <v>142.8</v>
      </c>
    </row>
    <row r="2281" spans="1:14">
      <c r="A2281" s="8" t="s">
        <v>2293</v>
      </c>
      <c r="B2281" s="2">
        <f>HYPERLINK("https://www.suredividend.com/sure-analysis-research-database/","Pricesmart Inc.")</f>
        <v>0</v>
      </c>
      <c r="C2281" s="1" t="s">
        <v>3184</v>
      </c>
      <c r="D2281" s="3">
        <v>82.20999999999999</v>
      </c>
      <c r="E2281" s="4">
        <v>0.012255527831002</v>
      </c>
      <c r="F2281" s="4" t="s">
        <v>3178</v>
      </c>
      <c r="G2281" s="4" t="s">
        <v>3178</v>
      </c>
      <c r="H2281" s="3">
        <v>1.007526942986733</v>
      </c>
      <c r="I2281" s="5">
        <v>2523.847</v>
      </c>
      <c r="J2281" s="6">
        <v>20.65966782086229</v>
      </c>
      <c r="K2281" s="4">
        <v>0.2512536017423275</v>
      </c>
      <c r="L2281" s="7">
        <v>0.765677669915223</v>
      </c>
      <c r="M2281" s="3">
        <v>87.98999999999999</v>
      </c>
      <c r="N2281" s="3">
        <v>59.4</v>
      </c>
    </row>
    <row r="2282" spans="1:14">
      <c r="A2282" s="8" t="s">
        <v>2294</v>
      </c>
      <c r="B2282" s="2">
        <f>HYPERLINK("https://www.suredividend.com/sure-analysis-research-database/","Parsons Corp")</f>
        <v>0</v>
      </c>
      <c r="C2282" s="1" t="s">
        <v>3179</v>
      </c>
      <c r="D2282" s="3">
        <v>74.52</v>
      </c>
      <c r="E2282" s="4">
        <v>0</v>
      </c>
      <c r="F2282" s="4" t="s">
        <v>3178</v>
      </c>
      <c r="G2282" s="4" t="s">
        <v>3178</v>
      </c>
      <c r="H2282" s="3">
        <v>0</v>
      </c>
      <c r="I2282" s="5">
        <v>10935.641957</v>
      </c>
      <c r="J2282" s="6">
        <v>387.2257341241457</v>
      </c>
      <c r="K2282" s="4">
        <v>0</v>
      </c>
      <c r="L2282" s="7">
        <v>0.6027849434181051</v>
      </c>
      <c r="M2282" s="3">
        <v>85.44</v>
      </c>
      <c r="N2282" s="3">
        <v>46.68</v>
      </c>
    </row>
    <row r="2283" spans="1:14">
      <c r="A2283" s="8" t="s">
        <v>2295</v>
      </c>
      <c r="B2283" s="2">
        <f>HYPERLINK("https://www.suredividend.com/sure-analysis-research-database/","Pure Storage Inc")</f>
        <v>0</v>
      </c>
      <c r="C2283" s="1" t="s">
        <v>3181</v>
      </c>
      <c r="D2283" s="3">
        <v>64.94</v>
      </c>
      <c r="E2283" s="4">
        <v>0</v>
      </c>
      <c r="F2283" s="4" t="s">
        <v>3178</v>
      </c>
      <c r="G2283" s="4" t="s">
        <v>3178</v>
      </c>
      <c r="H2283" s="3">
        <v>0</v>
      </c>
      <c r="I2283" s="5">
        <v>21111.671898</v>
      </c>
      <c r="J2283" s="6">
        <v>344.3374255451714</v>
      </c>
      <c r="K2283" s="4">
        <v>0</v>
      </c>
      <c r="L2283" s="7">
        <v>1.662146071452123</v>
      </c>
      <c r="M2283" s="3">
        <v>68.75</v>
      </c>
      <c r="N2283" s="3">
        <v>31</v>
      </c>
    </row>
    <row r="2284" spans="1:14">
      <c r="A2284" s="8" t="s">
        <v>2296</v>
      </c>
      <c r="B2284" s="2">
        <f>HYPERLINK("https://www.suredividend.com/sure-analysis-research-database/","Plus Therapeutics Inc")</f>
        <v>0</v>
      </c>
      <c r="C2284" s="1" t="s">
        <v>3176</v>
      </c>
      <c r="D2284" s="3">
        <v>2.35</v>
      </c>
      <c r="E2284" s="4">
        <v>0</v>
      </c>
      <c r="F2284" s="4" t="s">
        <v>3178</v>
      </c>
      <c r="G2284" s="4" t="s">
        <v>3178</v>
      </c>
      <c r="H2284" s="3">
        <v>0</v>
      </c>
      <c r="I2284" s="5">
        <v>13.404915</v>
      </c>
      <c r="J2284" s="6" t="s">
        <v>3178</v>
      </c>
      <c r="K2284" s="4">
        <v>-0</v>
      </c>
      <c r="L2284" s="7">
        <v>0.6988269746909711</v>
      </c>
      <c r="M2284" s="3">
        <v>3.45</v>
      </c>
      <c r="N2284" s="3">
        <v>0.9694</v>
      </c>
    </row>
    <row r="2285" spans="1:14">
      <c r="A2285" s="8" t="s">
        <v>2297</v>
      </c>
      <c r="B2285" s="2">
        <f>HYPERLINK("https://www.suredividend.com/sure-analysis-PSX/","Phillips 66")</f>
        <v>0</v>
      </c>
      <c r="C2285" s="1" t="s">
        <v>3185</v>
      </c>
      <c r="D2285" s="3">
        <v>138.07</v>
      </c>
      <c r="E2285" s="4">
        <v>0.03331643369305425</v>
      </c>
      <c r="F2285" s="4">
        <v>0.09523809523809512</v>
      </c>
      <c r="G2285" s="4">
        <v>0.05024607263868264</v>
      </c>
      <c r="H2285" s="3">
        <v>4.250813503465219</v>
      </c>
      <c r="I2285" s="5">
        <v>58535.071279</v>
      </c>
      <c r="J2285" s="6">
        <v>10.1061932457614</v>
      </c>
      <c r="K2285" s="4">
        <v>0.3262328091684742</v>
      </c>
      <c r="L2285" s="7">
        <v>0.5196014575690681</v>
      </c>
      <c r="M2285" s="3">
        <v>172.71</v>
      </c>
      <c r="N2285" s="3">
        <v>86.78</v>
      </c>
    </row>
    <row r="2286" spans="1:14">
      <c r="A2286" s="8" t="s">
        <v>2298</v>
      </c>
      <c r="B2286" s="2">
        <f>HYPERLINK("https://www.suredividend.com/sure-analysis-research-database/","PTC Inc")</f>
        <v>0</v>
      </c>
      <c r="C2286" s="1" t="s">
        <v>3181</v>
      </c>
      <c r="D2286" s="3">
        <v>174.48</v>
      </c>
      <c r="E2286" s="4">
        <v>0</v>
      </c>
      <c r="F2286" s="4" t="s">
        <v>3178</v>
      </c>
      <c r="G2286" s="4" t="s">
        <v>3178</v>
      </c>
      <c r="H2286" s="3">
        <v>0</v>
      </c>
      <c r="I2286" s="5">
        <v>20885.256</v>
      </c>
      <c r="J2286" s="6">
        <v>72.56032491062525</v>
      </c>
      <c r="K2286" s="4">
        <v>0</v>
      </c>
      <c r="L2286" s="7">
        <v>1.156784352032829</v>
      </c>
      <c r="M2286" s="3">
        <v>194.24</v>
      </c>
      <c r="N2286" s="3">
        <v>134.61</v>
      </c>
    </row>
    <row r="2287" spans="1:14">
      <c r="A2287" s="8" t="s">
        <v>2299</v>
      </c>
      <c r="B2287" s="2">
        <f>HYPERLINK("https://www.suredividend.com/sure-analysis-research-database/","PTC Therapeutics Inc")</f>
        <v>0</v>
      </c>
      <c r="C2287" s="1" t="s">
        <v>3176</v>
      </c>
      <c r="D2287" s="3">
        <v>36.52</v>
      </c>
      <c r="E2287" s="4">
        <v>0</v>
      </c>
      <c r="F2287" s="4" t="s">
        <v>3178</v>
      </c>
      <c r="G2287" s="4" t="s">
        <v>3178</v>
      </c>
      <c r="H2287" s="3">
        <v>0</v>
      </c>
      <c r="I2287" s="5">
        <v>2800.966588</v>
      </c>
      <c r="J2287" s="6" t="s">
        <v>3178</v>
      </c>
      <c r="K2287" s="4">
        <v>-0</v>
      </c>
      <c r="L2287" s="7">
        <v>1.39919322324074</v>
      </c>
      <c r="M2287" s="3">
        <v>44.66</v>
      </c>
      <c r="N2287" s="3">
        <v>17.53</v>
      </c>
    </row>
    <row r="2288" spans="1:14">
      <c r="A2288" s="8" t="s">
        <v>2300</v>
      </c>
      <c r="B2288" s="2">
        <f>HYPERLINK("https://www.suredividend.com/sure-analysis-research-database/","PolarityTE Inc")</f>
        <v>0</v>
      </c>
      <c r="C2288" s="1" t="s">
        <v>3176</v>
      </c>
      <c r="D2288" s="3">
        <v>0.241</v>
      </c>
      <c r="E2288" s="4">
        <v>0</v>
      </c>
      <c r="F2288" s="4" t="s">
        <v>3178</v>
      </c>
      <c r="G2288" s="4" t="s">
        <v>3178</v>
      </c>
      <c r="H2288" s="3">
        <v>0</v>
      </c>
      <c r="I2288" s="5">
        <v>0</v>
      </c>
      <c r="J2288" s="6">
        <v>0</v>
      </c>
      <c r="K2288" s="4" t="s">
        <v>3178</v>
      </c>
    </row>
    <row r="2289" spans="1:14">
      <c r="A2289" s="8" t="s">
        <v>2301</v>
      </c>
      <c r="B2289" s="2">
        <f>HYPERLINK("https://www.suredividend.com/sure-analysis-research-database/","Patterson-UTI Energy Inc")</f>
        <v>0</v>
      </c>
      <c r="C2289" s="1" t="s">
        <v>3185</v>
      </c>
      <c r="D2289" s="3">
        <v>10.22</v>
      </c>
      <c r="E2289" s="4">
        <v>0.030761606147267</v>
      </c>
      <c r="F2289" s="4" t="s">
        <v>3178</v>
      </c>
      <c r="G2289" s="4" t="s">
        <v>3178</v>
      </c>
      <c r="H2289" s="3">
        <v>0.314383614825072</v>
      </c>
      <c r="I2289" s="5">
        <v>4105.388185</v>
      </c>
      <c r="J2289" s="6">
        <v>20.75010834201841</v>
      </c>
      <c r="K2289" s="4">
        <v>0.5220584769596015</v>
      </c>
      <c r="L2289" s="7">
        <v>1.016529846264605</v>
      </c>
      <c r="M2289" s="3">
        <v>15.62</v>
      </c>
      <c r="N2289" s="3">
        <v>9.52</v>
      </c>
    </row>
    <row r="2290" spans="1:14">
      <c r="A2290" s="8" t="s">
        <v>2302</v>
      </c>
      <c r="B2290" s="2">
        <f>HYPERLINK("https://www.suredividend.com/sure-analysis-research-database/","Protagonist Therapeutics Inc")</f>
        <v>0</v>
      </c>
      <c r="C2290" s="1" t="s">
        <v>3176</v>
      </c>
      <c r="D2290" s="3">
        <v>34.8</v>
      </c>
      <c r="E2290" s="4">
        <v>0</v>
      </c>
      <c r="F2290" s="4" t="s">
        <v>3178</v>
      </c>
      <c r="G2290" s="4" t="s">
        <v>3178</v>
      </c>
      <c r="H2290" s="3">
        <v>0</v>
      </c>
      <c r="I2290" s="5">
        <v>2041.094228</v>
      </c>
      <c r="J2290" s="6">
        <v>0</v>
      </c>
      <c r="K2290" s="4" t="s">
        <v>3178</v>
      </c>
      <c r="L2290" s="7">
        <v>1.490736100028832</v>
      </c>
      <c r="M2290" s="3">
        <v>35.55</v>
      </c>
      <c r="N2290" s="3">
        <v>13.72</v>
      </c>
    </row>
    <row r="2291" spans="1:14">
      <c r="A2291" s="8" t="s">
        <v>2303</v>
      </c>
      <c r="B2291" s="2">
        <f>HYPERLINK("https://www.suredividend.com/sure-analysis-research-database/","Proteostasis Therapeutics Inc")</f>
        <v>0</v>
      </c>
      <c r="C2291" s="1" t="s">
        <v>3176</v>
      </c>
      <c r="D2291" s="3">
        <v>1.11</v>
      </c>
      <c r="E2291" s="4">
        <v>0</v>
      </c>
      <c r="F2291" s="4" t="s">
        <v>3178</v>
      </c>
      <c r="G2291" s="4" t="s">
        <v>3178</v>
      </c>
      <c r="H2291" s="3">
        <v>0</v>
      </c>
      <c r="I2291" s="5">
        <v>57.925078</v>
      </c>
      <c r="J2291" s="6">
        <v>0</v>
      </c>
      <c r="K2291" s="4" t="s">
        <v>3178</v>
      </c>
      <c r="L2291" s="7">
        <v>0.7446024614360091</v>
      </c>
      <c r="M2291" s="3">
        <v>2.44</v>
      </c>
      <c r="N2291" s="3">
        <v>0.888</v>
      </c>
    </row>
    <row r="2292" spans="1:14">
      <c r="A2292" s="8" t="s">
        <v>2304</v>
      </c>
      <c r="B2292" s="2">
        <f>HYPERLINK("https://www.suredividend.com/sure-analysis-research-database/","Palatin Technologies Inc.")</f>
        <v>0</v>
      </c>
      <c r="C2292" s="1" t="s">
        <v>3176</v>
      </c>
      <c r="D2292" s="3">
        <v>1.87</v>
      </c>
      <c r="E2292" s="4">
        <v>0</v>
      </c>
      <c r="F2292" s="4" t="s">
        <v>3178</v>
      </c>
      <c r="G2292" s="4" t="s">
        <v>3178</v>
      </c>
      <c r="H2292" s="3">
        <v>0</v>
      </c>
      <c r="I2292" s="5">
        <v>30.175517</v>
      </c>
      <c r="J2292" s="6" t="s">
        <v>3178</v>
      </c>
      <c r="K2292" s="4">
        <v>-0</v>
      </c>
      <c r="L2292" s="7">
        <v>1.351648910701064</v>
      </c>
      <c r="M2292" s="3">
        <v>5.65</v>
      </c>
      <c r="N2292" s="3">
        <v>1.43</v>
      </c>
    </row>
    <row r="2293" spans="1:14">
      <c r="A2293" s="8" t="s">
        <v>2305</v>
      </c>
      <c r="B2293" s="2">
        <f>HYPERLINK("https://www.suredividend.com/sure-analysis-research-database/","P.A.M. Transportation Services, Inc.")</f>
        <v>0</v>
      </c>
      <c r="C2293" s="1" t="s">
        <v>3179</v>
      </c>
      <c r="D2293" s="3">
        <v>16.19</v>
      </c>
      <c r="E2293" s="4">
        <v>0</v>
      </c>
      <c r="F2293" s="4" t="s">
        <v>3178</v>
      </c>
      <c r="G2293" s="4" t="s">
        <v>3178</v>
      </c>
      <c r="H2293" s="3">
        <v>0</v>
      </c>
      <c r="I2293" s="5">
        <v>356.742797</v>
      </c>
      <c r="J2293" s="6">
        <v>26.49211323184316</v>
      </c>
      <c r="K2293" s="4">
        <v>0</v>
      </c>
      <c r="L2293" s="7">
        <v>1.152241173535019</v>
      </c>
      <c r="M2293" s="3">
        <v>28.3</v>
      </c>
      <c r="N2293" s="3">
        <v>13.51</v>
      </c>
    </row>
    <row r="2294" spans="1:14">
      <c r="A2294" s="8" t="s">
        <v>2306</v>
      </c>
      <c r="B2294" s="2">
        <f>HYPERLINK("https://www.suredividend.com/sure-analysis-research-database/","Protective Insurance Corp.")</f>
        <v>0</v>
      </c>
      <c r="C2294" s="1" t="s">
        <v>3180</v>
      </c>
      <c r="D2294" s="3">
        <v>23.27</v>
      </c>
      <c r="E2294" s="4">
        <v>0</v>
      </c>
      <c r="F2294" s="4" t="s">
        <v>3178</v>
      </c>
      <c r="G2294" s="4" t="s">
        <v>3178</v>
      </c>
      <c r="H2294" s="3">
        <v>0.400000005960464</v>
      </c>
      <c r="I2294" s="5">
        <v>0</v>
      </c>
      <c r="J2294" s="6">
        <v>0</v>
      </c>
      <c r="K2294" s="4" t="s">
        <v>3178</v>
      </c>
    </row>
    <row r="2295" spans="1:14">
      <c r="A2295" s="8" t="s">
        <v>2307</v>
      </c>
      <c r="B2295" s="2">
        <f>HYPERLINK("https://www.suredividend.com/sure-analysis-research-database/","Protective Insurance Corp.")</f>
        <v>0</v>
      </c>
      <c r="C2295" s="1" t="s">
        <v>3180</v>
      </c>
      <c r="D2295" s="3">
        <v>23.3</v>
      </c>
      <c r="E2295" s="4">
        <v>0</v>
      </c>
      <c r="F2295" s="4" t="s">
        <v>3178</v>
      </c>
      <c r="G2295" s="4" t="s">
        <v>3178</v>
      </c>
      <c r="H2295" s="3">
        <v>0.400000005960464</v>
      </c>
      <c r="I2295" s="5">
        <v>0</v>
      </c>
      <c r="J2295" s="6">
        <v>0</v>
      </c>
      <c r="K2295" s="4">
        <v>0.144404334281756</v>
      </c>
    </row>
    <row r="2296" spans="1:14">
      <c r="A2296" s="8" t="s">
        <v>2308</v>
      </c>
      <c r="B2296" s="2">
        <f>HYPERLINK("https://www.suredividend.com/sure-analysis-research-database/","Pulmatrix Inc")</f>
        <v>0</v>
      </c>
      <c r="C2296" s="1" t="s">
        <v>3176</v>
      </c>
      <c r="D2296" s="3">
        <v>1.97</v>
      </c>
      <c r="E2296" s="4">
        <v>0</v>
      </c>
      <c r="F2296" s="4" t="s">
        <v>3178</v>
      </c>
      <c r="G2296" s="4" t="s">
        <v>3178</v>
      </c>
      <c r="H2296" s="3">
        <v>0</v>
      </c>
      <c r="I2296" s="5">
        <v>7.195001</v>
      </c>
      <c r="J2296" s="6">
        <v>0</v>
      </c>
      <c r="K2296" s="4" t="s">
        <v>3178</v>
      </c>
      <c r="L2296" s="7">
        <v>0.002906440781425</v>
      </c>
      <c r="M2296" s="3">
        <v>2.88</v>
      </c>
      <c r="N2296" s="3">
        <v>1.55</v>
      </c>
    </row>
    <row r="2297" spans="1:14">
      <c r="A2297" s="8" t="s">
        <v>2309</v>
      </c>
      <c r="B2297" s="2">
        <f>HYPERLINK("https://www.suredividend.com/sure-analysis-research-database/","ProPetro Holding Corp")</f>
        <v>0</v>
      </c>
      <c r="C2297" s="1" t="s">
        <v>3185</v>
      </c>
      <c r="D2297" s="3">
        <v>9.06</v>
      </c>
      <c r="E2297" s="4">
        <v>0</v>
      </c>
      <c r="F2297" s="4" t="s">
        <v>3178</v>
      </c>
      <c r="G2297" s="4" t="s">
        <v>3178</v>
      </c>
      <c r="H2297" s="3">
        <v>0</v>
      </c>
      <c r="I2297" s="5">
        <v>974.856</v>
      </c>
      <c r="J2297" s="6">
        <v>12.68831591414924</v>
      </c>
      <c r="K2297" s="4">
        <v>0</v>
      </c>
      <c r="L2297" s="7">
        <v>0.77972538844645</v>
      </c>
      <c r="M2297" s="3">
        <v>11.37</v>
      </c>
      <c r="N2297" s="3">
        <v>6.99</v>
      </c>
    </row>
    <row r="2298" spans="1:14">
      <c r="A2298" s="8" t="s">
        <v>2310</v>
      </c>
      <c r="B2298" s="2">
        <f>HYPERLINK("https://www.suredividend.com/sure-analysis-research-database/","Penn Virginia Corp.")</f>
        <v>0</v>
      </c>
      <c r="C2298" s="1" t="s">
        <v>3185</v>
      </c>
      <c r="D2298" s="3">
        <v>30.66</v>
      </c>
      <c r="E2298" s="4">
        <v>0</v>
      </c>
      <c r="F2298" s="4" t="s">
        <v>3178</v>
      </c>
      <c r="G2298" s="4" t="s">
        <v>3178</v>
      </c>
      <c r="H2298" s="3">
        <v>0</v>
      </c>
      <c r="I2298" s="5">
        <v>469.966598</v>
      </c>
      <c r="J2298" s="6">
        <v>0</v>
      </c>
      <c r="K2298" s="4" t="s">
        <v>3178</v>
      </c>
      <c r="L2298" s="7">
        <v>1.382141539414036</v>
      </c>
      <c r="M2298" s="3">
        <v>35.31</v>
      </c>
      <c r="N2298" s="3">
        <v>6.36</v>
      </c>
    </row>
    <row r="2299" spans="1:14">
      <c r="A2299" s="8" t="s">
        <v>2311</v>
      </c>
      <c r="B2299" s="2">
        <f>HYPERLINK("https://www.suredividend.com/sure-analysis-research-database/","Provident Bancorp Inc")</f>
        <v>0</v>
      </c>
      <c r="C2299" s="1" t="s">
        <v>3180</v>
      </c>
      <c r="D2299" s="3">
        <v>9.98</v>
      </c>
      <c r="E2299" s="4">
        <v>0</v>
      </c>
      <c r="F2299" s="4" t="s">
        <v>3178</v>
      </c>
      <c r="G2299" s="4" t="s">
        <v>3178</v>
      </c>
      <c r="H2299" s="3">
        <v>0</v>
      </c>
      <c r="I2299" s="5">
        <v>176.210992</v>
      </c>
      <c r="J2299" s="6">
        <v>12.73937187391556</v>
      </c>
      <c r="K2299" s="4">
        <v>0</v>
      </c>
      <c r="L2299" s="7">
        <v>0.21256196834189</v>
      </c>
      <c r="M2299" s="3">
        <v>11.52</v>
      </c>
      <c r="N2299" s="3">
        <v>7.36</v>
      </c>
    </row>
    <row r="2300" spans="1:14">
      <c r="A2300" s="8" t="s">
        <v>2312</v>
      </c>
      <c r="B2300" s="2">
        <f>HYPERLINK("https://www.suredividend.com/sure-analysis-research-database/","PVH Corp")</f>
        <v>0</v>
      </c>
      <c r="C2300" s="1" t="s">
        <v>3182</v>
      </c>
      <c r="D2300" s="3">
        <v>119.94</v>
      </c>
      <c r="E2300" s="4">
        <v>0.001250028036605</v>
      </c>
      <c r="F2300" s="4" t="s">
        <v>3178</v>
      </c>
      <c r="G2300" s="4" t="s">
        <v>3178</v>
      </c>
      <c r="H2300" s="3">
        <v>0.149928362710466</v>
      </c>
      <c r="I2300" s="5">
        <v>6789.964959</v>
      </c>
      <c r="J2300" s="6">
        <v>10.23201470641953</v>
      </c>
      <c r="K2300" s="4">
        <v>0.01393386270543364</v>
      </c>
      <c r="L2300" s="7">
        <v>1.59256483423763</v>
      </c>
      <c r="M2300" s="3">
        <v>141.11</v>
      </c>
      <c r="N2300" s="3">
        <v>69.2</v>
      </c>
    </row>
    <row r="2301" spans="1:14">
      <c r="A2301" s="8" t="s">
        <v>2313</v>
      </c>
      <c r="B2301" s="2">
        <f>HYPERLINK("https://www.suredividend.com/sure-analysis-research-database/","Power REIT")</f>
        <v>0</v>
      </c>
      <c r="C2301" s="1" t="s">
        <v>3183</v>
      </c>
      <c r="D2301" s="3">
        <v>0.87</v>
      </c>
      <c r="E2301" s="4">
        <v>0</v>
      </c>
      <c r="F2301" s="4" t="s">
        <v>3178</v>
      </c>
      <c r="G2301" s="4" t="s">
        <v>3178</v>
      </c>
      <c r="H2301" s="3">
        <v>0</v>
      </c>
      <c r="I2301" s="5">
        <v>2.949005</v>
      </c>
      <c r="J2301" s="6">
        <v>0</v>
      </c>
      <c r="K2301" s="4" t="s">
        <v>3178</v>
      </c>
      <c r="L2301" s="7">
        <v>0.7158692398066401</v>
      </c>
      <c r="M2301" s="3">
        <v>2.13</v>
      </c>
      <c r="N2301" s="3">
        <v>0.4004</v>
      </c>
    </row>
    <row r="2302" spans="1:14">
      <c r="A2302" s="8" t="s">
        <v>2314</v>
      </c>
      <c r="B2302" s="2">
        <f>HYPERLINK("https://www.suredividend.com/sure-analysis-research-database/","Penns Woods Bancorp, Inc.")</f>
        <v>0</v>
      </c>
      <c r="C2302" s="1" t="s">
        <v>3180</v>
      </c>
      <c r="D2302" s="3">
        <v>20.13</v>
      </c>
      <c r="E2302" s="4">
        <v>0.046175967157405</v>
      </c>
      <c r="F2302" s="4">
        <v>0</v>
      </c>
      <c r="G2302" s="4">
        <v>-0.07400119958231965</v>
      </c>
      <c r="H2302" s="3">
        <v>0.9295222188785761</v>
      </c>
      <c r="I2302" s="5">
        <v>151.569821</v>
      </c>
      <c r="J2302" s="6">
        <v>9.618595086305367</v>
      </c>
      <c r="K2302" s="4">
        <v>0.4225100994902619</v>
      </c>
      <c r="L2302" s="7">
        <v>0.6390305586655211</v>
      </c>
      <c r="M2302" s="3">
        <v>25.24</v>
      </c>
      <c r="N2302" s="3">
        <v>17.01</v>
      </c>
    </row>
    <row r="2303" spans="1:14">
      <c r="A2303" s="8" t="s">
        <v>2315</v>
      </c>
      <c r="B2303" s="2">
        <f>HYPERLINK("https://www.suredividend.com/sure-analysis-research-database/","Quanta Services, Inc.")</f>
        <v>0</v>
      </c>
      <c r="C2303" s="1" t="s">
        <v>3179</v>
      </c>
      <c r="D2303" s="3">
        <v>269.32</v>
      </c>
      <c r="E2303" s="4">
        <v>0.001261748816275</v>
      </c>
      <c r="F2303" s="4">
        <v>0.125</v>
      </c>
      <c r="G2303" s="4">
        <v>0.1760790225246736</v>
      </c>
      <c r="H2303" s="3">
        <v>0.339814191199344</v>
      </c>
      <c r="I2303" s="5">
        <v>39425.338701</v>
      </c>
      <c r="J2303" s="6">
        <v>51.3348759062139</v>
      </c>
      <c r="K2303" s="4">
        <v>0.06598333809696</v>
      </c>
      <c r="L2303" s="7">
        <v>1.428317472273817</v>
      </c>
      <c r="M2303" s="3">
        <v>286.87</v>
      </c>
      <c r="N2303" s="3">
        <v>153.62</v>
      </c>
    </row>
    <row r="2304" spans="1:14">
      <c r="A2304" s="8" t="s">
        <v>2316</v>
      </c>
      <c r="B2304" s="2">
        <f>HYPERLINK("https://www.suredividend.com/sure-analysis-research-database/","Pioneer Natural Resources Co.")</f>
        <v>0</v>
      </c>
      <c r="C2304" s="1" t="s">
        <v>3185</v>
      </c>
      <c r="D2304" s="3">
        <v>269.62</v>
      </c>
      <c r="E2304" s="4">
        <v>0.040181529866277</v>
      </c>
      <c r="F2304" s="4">
        <v>0.04800000000000004</v>
      </c>
      <c r="G2304" s="4">
        <v>0.1613842209497989</v>
      </c>
      <c r="H2304" s="3">
        <v>10.83374408254583</v>
      </c>
      <c r="I2304" s="5">
        <v>62989.465884</v>
      </c>
      <c r="J2304" s="6">
        <v>12.89446589232754</v>
      </c>
      <c r="K2304" s="4">
        <v>0.5365896028997439</v>
      </c>
      <c r="L2304" s="7">
        <v>0.407585183314762</v>
      </c>
      <c r="M2304" s="3">
        <v>278.83</v>
      </c>
      <c r="N2304" s="3">
        <v>193.03</v>
      </c>
    </row>
    <row r="2305" spans="1:14">
      <c r="A2305" s="8" t="s">
        <v>2317</v>
      </c>
      <c r="B2305" s="2">
        <f>HYPERLINK("https://www.suredividend.com/sure-analysis-research-database/","Pixelworks Inc")</f>
        <v>0</v>
      </c>
      <c r="C2305" s="1" t="s">
        <v>3181</v>
      </c>
      <c r="D2305" s="3">
        <v>1.01</v>
      </c>
      <c r="E2305" s="4">
        <v>0</v>
      </c>
      <c r="F2305" s="4" t="s">
        <v>3178</v>
      </c>
      <c r="G2305" s="4" t="s">
        <v>3178</v>
      </c>
      <c r="H2305" s="3">
        <v>0</v>
      </c>
      <c r="I2305" s="5">
        <v>58.385376</v>
      </c>
      <c r="J2305" s="6" t="s">
        <v>3178</v>
      </c>
      <c r="K2305" s="4">
        <v>-0</v>
      </c>
      <c r="L2305" s="7">
        <v>1.487077222866323</v>
      </c>
      <c r="M2305" s="3">
        <v>3.08</v>
      </c>
      <c r="N2305" s="3">
        <v>0.9400000000000001</v>
      </c>
    </row>
    <row r="2306" spans="1:14">
      <c r="A2306" s="8" t="s">
        <v>2318</v>
      </c>
      <c r="B2306" s="2">
        <f>HYPERLINK("https://www.suredividend.com/sure-analysis-research-database/","PayPal Holdings Inc")</f>
        <v>0</v>
      </c>
      <c r="C2306" s="1" t="s">
        <v>3180</v>
      </c>
      <c r="D2306" s="3">
        <v>67.3</v>
      </c>
      <c r="E2306" s="4">
        <v>0</v>
      </c>
      <c r="F2306" s="4" t="s">
        <v>3178</v>
      </c>
      <c r="G2306" s="4" t="s">
        <v>3178</v>
      </c>
      <c r="H2306" s="3">
        <v>0</v>
      </c>
      <c r="I2306" s="5">
        <v>70398.89855899999</v>
      </c>
      <c r="J2306" s="6">
        <v>16.22468277467158</v>
      </c>
      <c r="K2306" s="4">
        <v>0</v>
      </c>
      <c r="L2306" s="7">
        <v>1.542480462922556</v>
      </c>
      <c r="M2306" s="3">
        <v>76.54000000000001</v>
      </c>
      <c r="N2306" s="3">
        <v>50.25</v>
      </c>
    </row>
    <row r="2307" spans="1:14">
      <c r="A2307" s="8" t="s">
        <v>2319</v>
      </c>
      <c r="B2307" s="2">
        <f>HYPERLINK("https://www.suredividend.com/sure-analysis-research-database/","Paramount Gold Nevada Corp")</f>
        <v>0</v>
      </c>
      <c r="C2307" s="1" t="s">
        <v>3177</v>
      </c>
      <c r="D2307" s="3">
        <v>0.4724</v>
      </c>
      <c r="E2307" s="4">
        <v>0</v>
      </c>
      <c r="F2307" s="4" t="s">
        <v>3178</v>
      </c>
      <c r="G2307" s="4" t="s">
        <v>3178</v>
      </c>
      <c r="H2307" s="3">
        <v>0</v>
      </c>
      <c r="I2307" s="5">
        <v>30.058061</v>
      </c>
      <c r="J2307" s="6">
        <v>0</v>
      </c>
      <c r="K2307" s="4" t="s">
        <v>3178</v>
      </c>
      <c r="L2307" s="7">
        <v>0.391841268295725</v>
      </c>
      <c r="M2307" s="3">
        <v>0.6900000000000001</v>
      </c>
      <c r="N2307" s="3">
        <v>0.27</v>
      </c>
    </row>
    <row r="2308" spans="1:14">
      <c r="A2308" s="8" t="s">
        <v>2320</v>
      </c>
      <c r="B2308" s="2">
        <f>HYPERLINK("https://www.suredividend.com/sure-analysis-research-database/","Pzena Investment Management Inc")</f>
        <v>0</v>
      </c>
      <c r="C2308" s="1" t="s">
        <v>3180</v>
      </c>
      <c r="D2308" s="3">
        <v>9.65</v>
      </c>
      <c r="E2308" s="4">
        <v>0.06070618030247801</v>
      </c>
      <c r="F2308" s="4" t="s">
        <v>3178</v>
      </c>
      <c r="G2308" s="4" t="s">
        <v>3178</v>
      </c>
      <c r="H2308" s="3">
        <v>0.585814639918918</v>
      </c>
      <c r="I2308" s="5">
        <v>161.506829</v>
      </c>
      <c r="J2308" s="6">
        <v>10.60660861299008</v>
      </c>
      <c r="K2308" s="4">
        <v>3.272707485580548</v>
      </c>
      <c r="L2308" s="7">
        <v>1.098589099132716</v>
      </c>
      <c r="M2308" s="3">
        <v>11.07</v>
      </c>
      <c r="N2308" s="3">
        <v>6.05</v>
      </c>
    </row>
    <row r="2309" spans="1:14">
      <c r="A2309" s="8" t="s">
        <v>2321</v>
      </c>
      <c r="B2309" s="2">
        <f>HYPERLINK("https://www.suredividend.com/sure-analysis-research-database/","Papa John`s International, Inc.")</f>
        <v>0</v>
      </c>
      <c r="C2309" s="1" t="s">
        <v>3182</v>
      </c>
      <c r="D2309" s="3">
        <v>47</v>
      </c>
      <c r="E2309" s="4">
        <v>0.03851279649813</v>
      </c>
      <c r="F2309" s="4">
        <v>0.09523809523809534</v>
      </c>
      <c r="G2309" s="4">
        <v>0.1537588961630676</v>
      </c>
      <c r="H2309" s="3">
        <v>1.810101435412133</v>
      </c>
      <c r="I2309" s="5">
        <v>1549.699275</v>
      </c>
      <c r="J2309" s="6">
        <v>20.84105644315339</v>
      </c>
      <c r="K2309" s="4">
        <v>0.7974015133974154</v>
      </c>
      <c r="L2309" s="7">
        <v>0.7286124232487231</v>
      </c>
      <c r="M2309" s="3">
        <v>82.42</v>
      </c>
      <c r="N2309" s="3">
        <v>46.2</v>
      </c>
    </row>
    <row r="2310" spans="1:14">
      <c r="A2310" s="8" t="s">
        <v>2322</v>
      </c>
      <c r="B2310" s="2">
        <f>HYPERLINK("https://www.suredividend.com/sure-analysis-research-database/","QAD, Inc.")</f>
        <v>0</v>
      </c>
      <c r="C2310" s="1" t="s">
        <v>3181</v>
      </c>
      <c r="D2310" s="3">
        <v>87.63</v>
      </c>
      <c r="E2310" s="4">
        <v>0</v>
      </c>
      <c r="F2310" s="4" t="s">
        <v>3178</v>
      </c>
      <c r="G2310" s="4" t="s">
        <v>3178</v>
      </c>
      <c r="H2310" s="3">
        <v>0.215999990701675</v>
      </c>
      <c r="I2310" s="5">
        <v>0</v>
      </c>
      <c r="J2310" s="6">
        <v>0</v>
      </c>
      <c r="K2310" s="4" t="s">
        <v>3178</v>
      </c>
    </row>
    <row r="2311" spans="1:14">
      <c r="A2311" s="8" t="s">
        <v>2323</v>
      </c>
      <c r="B2311" s="2">
        <f>HYPERLINK("https://www.suredividend.com/sure-analysis-research-database/","QAD, Inc.")</f>
        <v>0</v>
      </c>
      <c r="C2311" s="1" t="s">
        <v>3181</v>
      </c>
      <c r="D2311" s="3">
        <v>87.54000000000001</v>
      </c>
      <c r="E2311" s="4">
        <v>0</v>
      </c>
      <c r="F2311" s="4" t="s">
        <v>3178</v>
      </c>
      <c r="G2311" s="4" t="s">
        <v>3178</v>
      </c>
      <c r="H2311" s="3">
        <v>0.179999995976686</v>
      </c>
      <c r="I2311" s="5">
        <v>0</v>
      </c>
      <c r="J2311" s="6">
        <v>0</v>
      </c>
      <c r="K2311" s="4">
        <v>0.6923076768334077</v>
      </c>
    </row>
    <row r="2312" spans="1:14">
      <c r="A2312" s="8" t="s">
        <v>2324</v>
      </c>
      <c r="B2312" s="2">
        <f>HYPERLINK("https://www.suredividend.com/sure-analysis-QCOM/","Qualcomm, Inc.")</f>
        <v>0</v>
      </c>
      <c r="C2312" s="1" t="s">
        <v>3181</v>
      </c>
      <c r="D2312" s="3">
        <v>206.62</v>
      </c>
      <c r="E2312" s="4">
        <v>0.0164553286225922</v>
      </c>
      <c r="F2312" s="4">
        <v>0.0625</v>
      </c>
      <c r="G2312" s="4">
        <v>0.06513694131438896</v>
      </c>
      <c r="H2312" s="3">
        <v>3.204541891703501</v>
      </c>
      <c r="I2312" s="5">
        <v>230587.92</v>
      </c>
      <c r="J2312" s="6">
        <v>27.49677080849034</v>
      </c>
      <c r="K2312" s="4">
        <v>0.4307179961967071</v>
      </c>
      <c r="L2312" s="7">
        <v>1.5192098700049</v>
      </c>
      <c r="M2312" s="3">
        <v>215.66</v>
      </c>
      <c r="N2312" s="3">
        <v>101.15</v>
      </c>
    </row>
    <row r="2313" spans="1:14">
      <c r="A2313" s="8" t="s">
        <v>2325</v>
      </c>
      <c r="B2313" s="2">
        <f>HYPERLINK("https://www.suredividend.com/sure-analysis-research-database/","QCR Holding, Inc.")</f>
        <v>0</v>
      </c>
      <c r="C2313" s="1" t="s">
        <v>3180</v>
      </c>
      <c r="D2313" s="3">
        <v>56.13</v>
      </c>
      <c r="E2313" s="4">
        <v>0.004265269389697001</v>
      </c>
      <c r="F2313" s="4">
        <v>0</v>
      </c>
      <c r="G2313" s="4">
        <v>0</v>
      </c>
      <c r="H2313" s="3">
        <v>0.239409570843716</v>
      </c>
      <c r="I2313" s="5">
        <v>943.33644</v>
      </c>
      <c r="J2313" s="6">
        <v>0</v>
      </c>
      <c r="K2313" s="4" t="s">
        <v>3178</v>
      </c>
      <c r="L2313" s="7">
        <v>1.006895002649918</v>
      </c>
      <c r="M2313" s="3">
        <v>62.87</v>
      </c>
      <c r="N2313" s="3">
        <v>40.07</v>
      </c>
    </row>
    <row r="2314" spans="1:14">
      <c r="A2314" s="8" t="s">
        <v>2326</v>
      </c>
      <c r="B2314" s="2">
        <f>HYPERLINK("https://www.suredividend.com/sure-analysis-research-database/","QuidelOrtho Corporation")</f>
        <v>0</v>
      </c>
      <c r="C2314" s="1" t="s">
        <v>3176</v>
      </c>
      <c r="D2314" s="3">
        <v>41.67</v>
      </c>
      <c r="E2314" s="4">
        <v>0</v>
      </c>
      <c r="F2314" s="4" t="s">
        <v>3178</v>
      </c>
      <c r="G2314" s="4" t="s">
        <v>3178</v>
      </c>
      <c r="H2314" s="3">
        <v>0</v>
      </c>
      <c r="I2314" s="5">
        <v>2790.715573</v>
      </c>
      <c r="J2314" s="6">
        <v>2.773856075493153</v>
      </c>
      <c r="K2314" s="4">
        <v>0</v>
      </c>
      <c r="L2314" s="7">
        <v>0.8738304549011321</v>
      </c>
      <c r="M2314" s="3">
        <v>89.11</v>
      </c>
      <c r="N2314" s="3">
        <v>37.78</v>
      </c>
    </row>
    <row r="2315" spans="1:14">
      <c r="A2315" s="8" t="s">
        <v>2327</v>
      </c>
      <c r="B2315" s="2">
        <f>HYPERLINK("https://www.suredividend.com/sure-analysis-research-database/","QEP Resources Inc")</f>
        <v>0</v>
      </c>
      <c r="C2315" s="1" t="s">
        <v>3185</v>
      </c>
      <c r="D2315" s="3">
        <v>4.08</v>
      </c>
      <c r="E2315" s="4">
        <v>0</v>
      </c>
      <c r="F2315" s="4" t="s">
        <v>3178</v>
      </c>
      <c r="G2315" s="4" t="s">
        <v>3178</v>
      </c>
      <c r="H2315" s="3">
        <v>0</v>
      </c>
      <c r="I2315" s="5">
        <v>989.66855</v>
      </c>
      <c r="J2315" s="6">
        <v>309.271421775</v>
      </c>
      <c r="K2315" s="4">
        <v>0</v>
      </c>
      <c r="L2315" s="7">
        <v>1.716235671530781</v>
      </c>
      <c r="M2315" s="3">
        <v>4.9</v>
      </c>
      <c r="N2315" s="3">
        <v>0.2625</v>
      </c>
    </row>
    <row r="2316" spans="1:14">
      <c r="A2316" s="8" t="s">
        <v>2328</v>
      </c>
      <c r="B2316" s="2">
        <f>HYPERLINK("https://www.suredividend.com/sure-analysis-research-database/","Qualys Inc")</f>
        <v>0</v>
      </c>
      <c r="C2316" s="1" t="s">
        <v>3181</v>
      </c>
      <c r="D2316" s="3">
        <v>136.02</v>
      </c>
      <c r="E2316" s="4">
        <v>0</v>
      </c>
      <c r="F2316" s="4" t="s">
        <v>3178</v>
      </c>
      <c r="G2316" s="4" t="s">
        <v>3178</v>
      </c>
      <c r="H2316" s="3">
        <v>0</v>
      </c>
      <c r="I2316" s="5">
        <v>5024.478417</v>
      </c>
      <c r="J2316" s="6">
        <v>30.97304551963063</v>
      </c>
      <c r="K2316" s="4">
        <v>0</v>
      </c>
      <c r="L2316" s="7">
        <v>1.070797648937065</v>
      </c>
      <c r="M2316" s="3">
        <v>206.35</v>
      </c>
      <c r="N2316" s="3">
        <v>122.53</v>
      </c>
    </row>
    <row r="2317" spans="1:14">
      <c r="A2317" s="8" t="s">
        <v>2329</v>
      </c>
      <c r="B2317" s="2">
        <f>HYPERLINK("https://www.suredividend.com/sure-analysis-research-database/","QuinStreet Inc")</f>
        <v>0</v>
      </c>
      <c r="C2317" s="1" t="s">
        <v>3187</v>
      </c>
      <c r="D2317" s="3">
        <v>16.97</v>
      </c>
      <c r="E2317" s="4">
        <v>0</v>
      </c>
      <c r="F2317" s="4" t="s">
        <v>3178</v>
      </c>
      <c r="G2317" s="4" t="s">
        <v>3178</v>
      </c>
      <c r="H2317" s="3">
        <v>0</v>
      </c>
      <c r="I2317" s="5">
        <v>938.0473469999999</v>
      </c>
      <c r="J2317" s="6" t="s">
        <v>3178</v>
      </c>
      <c r="K2317" s="4">
        <v>-0</v>
      </c>
      <c r="L2317" s="7">
        <v>0.7896341468570081</v>
      </c>
      <c r="M2317" s="3">
        <v>19.58</v>
      </c>
      <c r="N2317" s="3">
        <v>8.08</v>
      </c>
    </row>
    <row r="2318" spans="1:14">
      <c r="A2318" s="8" t="s">
        <v>2330</v>
      </c>
      <c r="B2318" s="2">
        <f>HYPERLINK("https://www.suredividend.com/sure-analysis-research-database/","Quest Resource Holding Corp")</f>
        <v>0</v>
      </c>
      <c r="C2318" s="1" t="s">
        <v>3179</v>
      </c>
      <c r="D2318" s="3">
        <v>8.73</v>
      </c>
      <c r="E2318" s="4">
        <v>0</v>
      </c>
      <c r="F2318" s="4" t="s">
        <v>3178</v>
      </c>
      <c r="G2318" s="4" t="s">
        <v>3178</v>
      </c>
      <c r="H2318" s="3">
        <v>0</v>
      </c>
      <c r="I2318" s="5">
        <v>176.822518</v>
      </c>
      <c r="J2318" s="6">
        <v>0</v>
      </c>
      <c r="K2318" s="4" t="s">
        <v>3178</v>
      </c>
      <c r="L2318" s="7">
        <v>0.3741677196023721</v>
      </c>
      <c r="M2318" s="3">
        <v>10.85</v>
      </c>
      <c r="N2318" s="3">
        <v>5.65</v>
      </c>
    </row>
    <row r="2319" spans="1:14">
      <c r="A2319" s="8" t="s">
        <v>2331</v>
      </c>
      <c r="B2319" s="2">
        <f>HYPERLINK("https://www.suredividend.com/sure-analysis-research-database/","Qurate Retail Inc")</f>
        <v>0</v>
      </c>
      <c r="C2319" s="1" t="s">
        <v>3182</v>
      </c>
      <c r="D2319" s="3">
        <v>0.7294</v>
      </c>
      <c r="E2319" s="4">
        <v>0</v>
      </c>
      <c r="F2319" s="4" t="s">
        <v>3178</v>
      </c>
      <c r="G2319" s="4" t="s">
        <v>3178</v>
      </c>
      <c r="H2319" s="3">
        <v>0</v>
      </c>
      <c r="I2319" s="5">
        <v>318.043432</v>
      </c>
      <c r="J2319" s="6">
        <v>0</v>
      </c>
      <c r="K2319" s="4" t="s">
        <v>3178</v>
      </c>
      <c r="L2319" s="7">
        <v>2.285564395226514</v>
      </c>
      <c r="M2319" s="3">
        <v>1.8</v>
      </c>
      <c r="N2319" s="3">
        <v>0.4</v>
      </c>
    </row>
    <row r="2320" spans="1:14">
      <c r="A2320" s="8" t="s">
        <v>2332</v>
      </c>
      <c r="B2320" s="2">
        <f>HYPERLINK("https://www.suredividend.com/sure-analysis-research-database/","Qorvo Inc")</f>
        <v>0</v>
      </c>
      <c r="C2320" s="1" t="s">
        <v>3181</v>
      </c>
      <c r="D2320" s="3">
        <v>99.48999999999999</v>
      </c>
      <c r="E2320" s="4">
        <v>0</v>
      </c>
      <c r="F2320" s="4" t="s">
        <v>3178</v>
      </c>
      <c r="G2320" s="4" t="s">
        <v>3178</v>
      </c>
      <c r="H2320" s="3">
        <v>0</v>
      </c>
      <c r="I2320" s="5">
        <v>9514.138661999999</v>
      </c>
      <c r="J2320" s="6" t="s">
        <v>3178</v>
      </c>
      <c r="K2320" s="4">
        <v>-0</v>
      </c>
      <c r="L2320" s="7">
        <v>1.408017662977966</v>
      </c>
      <c r="M2320" s="3">
        <v>121.65</v>
      </c>
      <c r="N2320" s="3">
        <v>80.62</v>
      </c>
    </row>
    <row r="2321" spans="1:14">
      <c r="A2321" s="8" t="s">
        <v>2333</v>
      </c>
      <c r="B2321" s="2">
        <f>HYPERLINK("https://www.suredividend.com/sure-analysis-research-database/","Quanterix Corp")</f>
        <v>0</v>
      </c>
      <c r="C2321" s="1" t="s">
        <v>3176</v>
      </c>
      <c r="D2321" s="3">
        <v>17</v>
      </c>
      <c r="E2321" s="4">
        <v>0</v>
      </c>
      <c r="F2321" s="4" t="s">
        <v>3178</v>
      </c>
      <c r="G2321" s="4" t="s">
        <v>3178</v>
      </c>
      <c r="H2321" s="3">
        <v>0</v>
      </c>
      <c r="I2321" s="5">
        <v>650.591496</v>
      </c>
      <c r="J2321" s="6" t="s">
        <v>3178</v>
      </c>
      <c r="K2321" s="4">
        <v>-0</v>
      </c>
      <c r="L2321" s="7">
        <v>1.681003834241044</v>
      </c>
      <c r="M2321" s="3">
        <v>29.7</v>
      </c>
      <c r="N2321" s="3">
        <v>14.26</v>
      </c>
    </row>
    <row r="2322" spans="1:14">
      <c r="A2322" s="8" t="s">
        <v>2334</v>
      </c>
      <c r="B2322" s="2">
        <f>HYPERLINK("https://www.suredividend.com/sure-analysis-research-database/","Qts Realty Trust Inc")</f>
        <v>0</v>
      </c>
      <c r="C2322" s="1" t="s">
        <v>3183</v>
      </c>
      <c r="D2322" s="3">
        <v>77.95</v>
      </c>
      <c r="E2322" s="4">
        <v>0.024627146197</v>
      </c>
      <c r="F2322" s="4" t="s">
        <v>3178</v>
      </c>
      <c r="G2322" s="4" t="s">
        <v>3178</v>
      </c>
      <c r="H2322" s="3">
        <v>1.919686046056193</v>
      </c>
      <c r="I2322" s="5">
        <v>6000.024381</v>
      </c>
      <c r="J2322" s="6" t="s">
        <v>3178</v>
      </c>
      <c r="K2322" s="4" t="s">
        <v>3178</v>
      </c>
      <c r="L2322" s="7">
        <v>0.511585848661215</v>
      </c>
      <c r="M2322" s="3">
        <v>78.15000000000001</v>
      </c>
      <c r="N2322" s="3">
        <v>55.11</v>
      </c>
    </row>
    <row r="2323" spans="1:14">
      <c r="A2323" s="8" t="s">
        <v>2335</v>
      </c>
      <c r="B2323" s="2">
        <f>HYPERLINK("https://www.suredividend.com/sure-analysis-research-database/","Q2 Holdings Inc")</f>
        <v>0</v>
      </c>
      <c r="C2323" s="1" t="s">
        <v>3181</v>
      </c>
      <c r="D2323" s="3">
        <v>61.14</v>
      </c>
      <c r="E2323" s="4">
        <v>0</v>
      </c>
      <c r="F2323" s="4" t="s">
        <v>3178</v>
      </c>
      <c r="G2323" s="4" t="s">
        <v>3178</v>
      </c>
      <c r="H2323" s="3">
        <v>0</v>
      </c>
      <c r="I2323" s="5">
        <v>3674.484164</v>
      </c>
      <c r="J2323" s="6" t="s">
        <v>3178</v>
      </c>
      <c r="K2323" s="4">
        <v>-0</v>
      </c>
      <c r="L2323" s="7">
        <v>2.204392163579933</v>
      </c>
      <c r="M2323" s="3">
        <v>64.17</v>
      </c>
      <c r="N2323" s="3">
        <v>27.18</v>
      </c>
    </row>
    <row r="2324" spans="1:14">
      <c r="A2324" s="8" t="s">
        <v>2336</v>
      </c>
      <c r="B2324" s="2">
        <f>HYPERLINK("https://www.suredividend.com/sure-analysis-research-database/","Quad/Graphics Inc")</f>
        <v>0</v>
      </c>
      <c r="C2324" s="1" t="s">
        <v>3179</v>
      </c>
      <c r="D2324" s="3">
        <v>5.14</v>
      </c>
      <c r="E2324" s="4">
        <v>0.019355954184257</v>
      </c>
      <c r="F2324" s="4" t="s">
        <v>3178</v>
      </c>
      <c r="G2324" s="4" t="s">
        <v>3178</v>
      </c>
      <c r="H2324" s="3">
        <v>0.09948960450708501</v>
      </c>
      <c r="I2324" s="5">
        <v>198.795807</v>
      </c>
      <c r="J2324" s="6">
        <v>0</v>
      </c>
      <c r="K2324" s="4" t="s">
        <v>3178</v>
      </c>
      <c r="L2324" s="7">
        <v>1.22643274210642</v>
      </c>
      <c r="M2324" s="3">
        <v>6.62</v>
      </c>
      <c r="N2324" s="3">
        <v>3.48</v>
      </c>
    </row>
    <row r="2325" spans="1:14">
      <c r="A2325" s="8" t="s">
        <v>2337</v>
      </c>
      <c r="B2325" s="2">
        <f>HYPERLINK("https://www.suredividend.com/sure-analysis-research-database/","Quicklogic Corp")</f>
        <v>0</v>
      </c>
      <c r="C2325" s="1" t="s">
        <v>3181</v>
      </c>
      <c r="D2325" s="3">
        <v>11.99</v>
      </c>
      <c r="E2325" s="4">
        <v>0</v>
      </c>
      <c r="F2325" s="4" t="s">
        <v>3178</v>
      </c>
      <c r="G2325" s="4" t="s">
        <v>3178</v>
      </c>
      <c r="H2325" s="3">
        <v>0</v>
      </c>
      <c r="I2325" s="5">
        <v>172.944036</v>
      </c>
      <c r="J2325" s="6">
        <v>161.1780389282386</v>
      </c>
      <c r="K2325" s="4">
        <v>0</v>
      </c>
      <c r="L2325" s="7">
        <v>1.113339556659066</v>
      </c>
      <c r="M2325" s="3">
        <v>20.75</v>
      </c>
      <c r="N2325" s="3">
        <v>7.05</v>
      </c>
    </row>
    <row r="2326" spans="1:14">
      <c r="A2326" s="8" t="s">
        <v>2338</v>
      </c>
      <c r="B2326" s="2">
        <f>HYPERLINK("https://www.suredividend.com/sure-analysis-research-database/","Qumu Corp")</f>
        <v>0</v>
      </c>
      <c r="C2326" s="1" t="s">
        <v>3181</v>
      </c>
      <c r="D2326" s="3">
        <v>0.8988</v>
      </c>
      <c r="E2326" s="4">
        <v>0</v>
      </c>
      <c r="F2326" s="4" t="s">
        <v>3178</v>
      </c>
      <c r="G2326" s="4" t="s">
        <v>3178</v>
      </c>
      <c r="H2326" s="3">
        <v>0</v>
      </c>
      <c r="I2326" s="5">
        <v>0</v>
      </c>
      <c r="J2326" s="6">
        <v>0</v>
      </c>
      <c r="K2326" s="4">
        <v>-0</v>
      </c>
    </row>
    <row r="2327" spans="1:14">
      <c r="A2327" s="8" t="s">
        <v>2339</v>
      </c>
      <c r="B2327" s="2">
        <f>HYPERLINK("https://www.suredividend.com/sure-analysis-research-database/","Quotient Technology Inc")</f>
        <v>0</v>
      </c>
      <c r="C2327" s="1" t="s">
        <v>3187</v>
      </c>
      <c r="D2327" s="3">
        <v>3.99</v>
      </c>
      <c r="E2327" s="4">
        <v>0</v>
      </c>
      <c r="F2327" s="4" t="s">
        <v>3178</v>
      </c>
      <c r="G2327" s="4" t="s">
        <v>3178</v>
      </c>
      <c r="H2327" s="3">
        <v>0</v>
      </c>
      <c r="I2327" s="5">
        <v>397.923394</v>
      </c>
      <c r="J2327" s="6" t="s">
        <v>3178</v>
      </c>
      <c r="K2327" s="4">
        <v>-0</v>
      </c>
      <c r="L2327" s="7">
        <v>0.831249451515452</v>
      </c>
      <c r="M2327" s="3">
        <v>4.25</v>
      </c>
      <c r="N2327" s="3">
        <v>1.71</v>
      </c>
    </row>
    <row r="2328" spans="1:14">
      <c r="A2328" s="8" t="s">
        <v>2340</v>
      </c>
      <c r="B2328" s="2">
        <f>HYPERLINK("https://www.suredividend.com/sure-analysis-R/","Ryder System, Inc.")</f>
        <v>0</v>
      </c>
      <c r="C2328" s="1" t="s">
        <v>3179</v>
      </c>
      <c r="D2328" s="3">
        <v>120.15</v>
      </c>
      <c r="E2328" s="4">
        <v>0.02363712026633375</v>
      </c>
      <c r="F2328" s="4" t="s">
        <v>3178</v>
      </c>
      <c r="G2328" s="4" t="s">
        <v>3178</v>
      </c>
      <c r="H2328" s="3">
        <v>2.814008295847419</v>
      </c>
      <c r="I2328" s="5">
        <v>5266.029479</v>
      </c>
      <c r="J2328" s="6">
        <v>15.04579851128571</v>
      </c>
      <c r="K2328" s="4">
        <v>0.3688084267165687</v>
      </c>
      <c r="L2328" s="7">
        <v>1.010992056613249</v>
      </c>
      <c r="M2328" s="3">
        <v>128.12</v>
      </c>
      <c r="N2328" s="3">
        <v>78.23999999999999</v>
      </c>
    </row>
    <row r="2329" spans="1:14">
      <c r="A2329" s="8" t="s">
        <v>2341</v>
      </c>
      <c r="B2329" s="2">
        <f>HYPERLINK("https://www.suredividend.com/sure-analysis-research-database/","Rite Aid Corp.")</f>
        <v>0</v>
      </c>
      <c r="C2329" s="1" t="s">
        <v>3176</v>
      </c>
      <c r="D2329" s="3">
        <v>0.6483</v>
      </c>
      <c r="E2329" s="4">
        <v>0</v>
      </c>
      <c r="F2329" s="4" t="s">
        <v>3178</v>
      </c>
      <c r="G2329" s="4" t="s">
        <v>3178</v>
      </c>
      <c r="H2329" s="3">
        <v>0</v>
      </c>
      <c r="I2329" s="5">
        <v>36.756232</v>
      </c>
      <c r="J2329" s="6" t="s">
        <v>3178</v>
      </c>
      <c r="K2329" s="4">
        <v>-0</v>
      </c>
      <c r="L2329" s="7">
        <v>1.050322092675413</v>
      </c>
      <c r="M2329" s="3">
        <v>7.37</v>
      </c>
      <c r="N2329" s="3">
        <v>0.3779</v>
      </c>
    </row>
    <row r="2330" spans="1:14">
      <c r="A2330" s="8" t="s">
        <v>2342</v>
      </c>
      <c r="B2330" s="2">
        <f>HYPERLINK("https://www.suredividend.com/sure-analysis-research-database/","FreightCar America Inc")</f>
        <v>0</v>
      </c>
      <c r="C2330" s="1" t="s">
        <v>3179</v>
      </c>
      <c r="D2330" s="3">
        <v>3.52</v>
      </c>
      <c r="E2330" s="4">
        <v>0</v>
      </c>
      <c r="F2330" s="4" t="s">
        <v>3178</v>
      </c>
      <c r="G2330" s="4" t="s">
        <v>3178</v>
      </c>
      <c r="H2330" s="3">
        <v>0</v>
      </c>
      <c r="I2330" s="5">
        <v>65.86126299999999</v>
      </c>
      <c r="J2330" s="6" t="s">
        <v>3178</v>
      </c>
      <c r="K2330" s="4">
        <v>-0</v>
      </c>
      <c r="L2330" s="7">
        <v>0.32330685383288</v>
      </c>
      <c r="M2330" s="3">
        <v>4.26</v>
      </c>
      <c r="N2330" s="3">
        <v>2.25</v>
      </c>
    </row>
    <row r="2331" spans="1:14">
      <c r="A2331" s="8" t="s">
        <v>2343</v>
      </c>
      <c r="B2331" s="2">
        <f>HYPERLINK("https://www.suredividend.com/sure-analysis-research-database/","LiveRamp Holdings Inc")</f>
        <v>0</v>
      </c>
      <c r="C2331" s="1" t="s">
        <v>3181</v>
      </c>
      <c r="D2331" s="3">
        <v>31.07</v>
      </c>
      <c r="E2331" s="4">
        <v>0</v>
      </c>
      <c r="F2331" s="4" t="s">
        <v>3178</v>
      </c>
      <c r="G2331" s="4" t="s">
        <v>3178</v>
      </c>
      <c r="H2331" s="3">
        <v>0</v>
      </c>
      <c r="I2331" s="5">
        <v>2055.40043</v>
      </c>
      <c r="J2331" s="6">
        <v>172.9989420250821</v>
      </c>
      <c r="K2331" s="4">
        <v>0</v>
      </c>
      <c r="L2331" s="7">
        <v>1.010543291142065</v>
      </c>
      <c r="M2331" s="3">
        <v>42.66</v>
      </c>
      <c r="N2331" s="3">
        <v>24.82</v>
      </c>
    </row>
    <row r="2332" spans="1:14">
      <c r="A2332" s="8" t="s">
        <v>2344</v>
      </c>
      <c r="B2332" s="2">
        <f>HYPERLINK("https://www.suredividend.com/sure-analysis-research-database/","Ultragenyx Pharmaceutical Inc.")</f>
        <v>0</v>
      </c>
      <c r="C2332" s="1" t="s">
        <v>3176</v>
      </c>
      <c r="D2332" s="3">
        <v>41.4</v>
      </c>
      <c r="E2332" s="4">
        <v>0</v>
      </c>
      <c r="F2332" s="4" t="s">
        <v>3178</v>
      </c>
      <c r="G2332" s="4" t="s">
        <v>3178</v>
      </c>
      <c r="H2332" s="3">
        <v>0</v>
      </c>
      <c r="I2332" s="5">
        <v>3441.720317</v>
      </c>
      <c r="J2332" s="6" t="s">
        <v>3178</v>
      </c>
      <c r="K2332" s="4">
        <v>-0</v>
      </c>
      <c r="L2332" s="7">
        <v>1.24187755040066</v>
      </c>
      <c r="M2332" s="3">
        <v>54.56</v>
      </c>
      <c r="N2332" s="3">
        <v>31.52</v>
      </c>
    </row>
    <row r="2333" spans="1:14">
      <c r="A2333" s="8" t="s">
        <v>2345</v>
      </c>
      <c r="B2333" s="2">
        <f>HYPERLINK("https://www.suredividend.com/sure-analysis-research-database/","Rave Restaurant Group Inc")</f>
        <v>0</v>
      </c>
      <c r="C2333" s="1" t="s">
        <v>3182</v>
      </c>
      <c r="D2333" s="3">
        <v>1.88</v>
      </c>
      <c r="E2333" s="4">
        <v>0</v>
      </c>
      <c r="F2333" s="4" t="s">
        <v>3178</v>
      </c>
      <c r="G2333" s="4" t="s">
        <v>3178</v>
      </c>
      <c r="H2333" s="3">
        <v>0</v>
      </c>
      <c r="I2333" s="5">
        <v>27.422744</v>
      </c>
      <c r="J2333" s="6">
        <v>0</v>
      </c>
      <c r="K2333" s="4" t="s">
        <v>3178</v>
      </c>
      <c r="L2333" s="7">
        <v>1.050796173425777</v>
      </c>
      <c r="M2333" s="3">
        <v>2.64</v>
      </c>
      <c r="N2333" s="3">
        <v>1.62</v>
      </c>
    </row>
    <row r="2334" spans="1:14">
      <c r="A2334" s="8" t="s">
        <v>2346</v>
      </c>
      <c r="B2334" s="2">
        <f>HYPERLINK("https://www.suredividend.com/sure-analysis-research-database/","Raven Industries, Inc.")</f>
        <v>0</v>
      </c>
      <c r="C2334" s="1" t="s">
        <v>3179</v>
      </c>
      <c r="D2334" s="3">
        <v>58.08</v>
      </c>
      <c r="E2334" s="4">
        <v>0</v>
      </c>
      <c r="F2334" s="4" t="s">
        <v>3178</v>
      </c>
      <c r="G2334" s="4" t="s">
        <v>3178</v>
      </c>
      <c r="H2334" s="3">
        <v>0</v>
      </c>
      <c r="I2334" s="5">
        <v>0</v>
      </c>
      <c r="J2334" s="6">
        <v>0</v>
      </c>
      <c r="K2334" s="4">
        <v>0</v>
      </c>
    </row>
    <row r="2335" spans="1:14">
      <c r="A2335" s="8" t="s">
        <v>2347</v>
      </c>
      <c r="B2335" s="2">
        <f>HYPERLINK("https://www.suredividend.com/sure-analysis-research-database/","RBB Bancorp")</f>
        <v>0</v>
      </c>
      <c r="C2335" s="1" t="s">
        <v>3180</v>
      </c>
      <c r="D2335" s="3">
        <v>17.52</v>
      </c>
      <c r="E2335" s="4">
        <v>0.03573798605294001</v>
      </c>
      <c r="F2335" s="4">
        <v>0</v>
      </c>
      <c r="G2335" s="4">
        <v>0.09856054330611763</v>
      </c>
      <c r="H2335" s="3">
        <v>0.6261295156475141</v>
      </c>
      <c r="I2335" s="5">
        <v>323.0736</v>
      </c>
      <c r="J2335" s="6">
        <v>8.172664503301208</v>
      </c>
      <c r="K2335" s="4">
        <v>0.2995835003098153</v>
      </c>
      <c r="L2335" s="7">
        <v>1.360977381411599</v>
      </c>
      <c r="M2335" s="3">
        <v>19.7</v>
      </c>
      <c r="N2335" s="3">
        <v>10.57</v>
      </c>
    </row>
    <row r="2336" spans="1:14">
      <c r="A2336" s="8" t="s">
        <v>2348</v>
      </c>
      <c r="B2336" s="2">
        <f>HYPERLINK("https://www.suredividend.com/sure-analysis-research-database/","Ribbon Communications Inc")</f>
        <v>0</v>
      </c>
      <c r="C2336" s="1" t="s">
        <v>3187</v>
      </c>
      <c r="D2336" s="3">
        <v>2.96</v>
      </c>
      <c r="E2336" s="4">
        <v>0</v>
      </c>
      <c r="F2336" s="4" t="s">
        <v>3178</v>
      </c>
      <c r="G2336" s="4" t="s">
        <v>3178</v>
      </c>
      <c r="H2336" s="3">
        <v>0</v>
      </c>
      <c r="I2336" s="5">
        <v>514.773266</v>
      </c>
      <c r="J2336" s="6">
        <v>0</v>
      </c>
      <c r="K2336" s="4" t="s">
        <v>3178</v>
      </c>
      <c r="L2336" s="7">
        <v>1.447719272264491</v>
      </c>
      <c r="M2336" s="3">
        <v>3.65</v>
      </c>
      <c r="N2336" s="3">
        <v>1.78</v>
      </c>
    </row>
    <row r="2337" spans="1:14">
      <c r="A2337" s="8" t="s">
        <v>2349</v>
      </c>
      <c r="B2337" s="2">
        <f>HYPERLINK("https://www.suredividend.com/sure-analysis-research-database/","RBC Bearings Inc.")</f>
        <v>0</v>
      </c>
      <c r="C2337" s="1" t="s">
        <v>3179</v>
      </c>
      <c r="D2337" s="3">
        <v>279.92</v>
      </c>
      <c r="E2337" s="4">
        <v>0</v>
      </c>
      <c r="F2337" s="4" t="s">
        <v>3178</v>
      </c>
      <c r="G2337" s="4" t="s">
        <v>3178</v>
      </c>
      <c r="H2337" s="3">
        <v>0</v>
      </c>
      <c r="I2337" s="5">
        <v>8096.426514</v>
      </c>
      <c r="J2337" s="6">
        <v>43.31956401369717</v>
      </c>
      <c r="K2337" s="4">
        <v>0</v>
      </c>
      <c r="L2337" s="7">
        <v>0.9326614811049211</v>
      </c>
      <c r="M2337" s="3">
        <v>299.25</v>
      </c>
      <c r="N2337" s="3">
        <v>203.65</v>
      </c>
    </row>
    <row r="2338" spans="1:14">
      <c r="A2338" s="8" t="s">
        <v>2350</v>
      </c>
      <c r="B2338" s="2">
        <f>HYPERLINK("https://www.suredividend.com/sure-analysis-RBCAA/","Republic Bancorp, Inc. (KY)")</f>
        <v>0</v>
      </c>
      <c r="C2338" s="1" t="s">
        <v>3180</v>
      </c>
      <c r="D2338" s="3">
        <v>50.47</v>
      </c>
      <c r="E2338" s="4">
        <v>0.03229641371111551</v>
      </c>
      <c r="F2338" s="4">
        <v>0.08823529411764719</v>
      </c>
      <c r="G2338" s="4">
        <v>0.0904307661344419</v>
      </c>
      <c r="H2338" s="3">
        <v>1.493886479949588</v>
      </c>
      <c r="I2338" s="5">
        <v>871.190176</v>
      </c>
      <c r="J2338" s="6">
        <v>9.378931359809664</v>
      </c>
      <c r="K2338" s="4">
        <v>0.3178481872233166</v>
      </c>
      <c r="L2338" s="7">
        <v>0.7837846486444801</v>
      </c>
      <c r="M2338" s="3">
        <v>56.59</v>
      </c>
      <c r="N2338" s="3">
        <v>39.41</v>
      </c>
    </row>
    <row r="2339" spans="1:14">
      <c r="A2339" s="8" t="s">
        <v>2351</v>
      </c>
      <c r="B2339" s="2">
        <f>HYPERLINK("https://www.suredividend.com/sure-analysis-research-database/","Rubicon Technology Inc")</f>
        <v>0</v>
      </c>
      <c r="C2339" s="1" t="s">
        <v>3181</v>
      </c>
      <c r="D2339" s="3">
        <v>0.7305</v>
      </c>
      <c r="E2339" s="4">
        <v>0</v>
      </c>
      <c r="F2339" s="4" t="s">
        <v>3178</v>
      </c>
      <c r="G2339" s="4" t="s">
        <v>3178</v>
      </c>
      <c r="H2339" s="3">
        <v>0</v>
      </c>
      <c r="I2339" s="5">
        <v>1.736994</v>
      </c>
      <c r="J2339" s="6">
        <v>1.85774744117647</v>
      </c>
      <c r="K2339" s="4">
        <v>0</v>
      </c>
      <c r="M2339" s="3">
        <v>1.39</v>
      </c>
      <c r="N2339" s="3">
        <v>0.435</v>
      </c>
    </row>
    <row r="2340" spans="1:14">
      <c r="A2340" s="8" t="s">
        <v>2352</v>
      </c>
      <c r="B2340" s="2">
        <f>HYPERLINK("https://www.suredividend.com/sure-analysis-research-database/","Reliant Bancorp Inc")</f>
        <v>0</v>
      </c>
      <c r="C2340" s="1" t="s">
        <v>3180</v>
      </c>
      <c r="D2340" s="3">
        <v>35.5</v>
      </c>
      <c r="E2340" s="4">
        <v>0</v>
      </c>
      <c r="F2340" s="4" t="s">
        <v>3178</v>
      </c>
      <c r="G2340" s="4" t="s">
        <v>3178</v>
      </c>
      <c r="H2340" s="3">
        <v>0.4799999892711641</v>
      </c>
      <c r="I2340" s="5">
        <v>0</v>
      </c>
      <c r="J2340" s="6">
        <v>0</v>
      </c>
      <c r="K2340" s="4">
        <v>0.1589403937983987</v>
      </c>
    </row>
    <row r="2341" spans="1:14">
      <c r="A2341" s="8" t="s">
        <v>2353</v>
      </c>
      <c r="B2341" s="2">
        <f>HYPERLINK("https://www.suredividend.com/sure-analysis-research-database/","Ready Capital Corp")</f>
        <v>0</v>
      </c>
      <c r="C2341" s="1" t="s">
        <v>3183</v>
      </c>
      <c r="D2341" s="3">
        <v>8.32</v>
      </c>
      <c r="E2341" s="4">
        <v>0.126881738129188</v>
      </c>
      <c r="F2341" s="4">
        <v>1.142857142857143</v>
      </c>
      <c r="G2341" s="4">
        <v>-0.03035973390442093</v>
      </c>
      <c r="H2341" s="3">
        <v>1.05565606123485</v>
      </c>
      <c r="I2341" s="5">
        <v>1405.027578</v>
      </c>
      <c r="J2341" s="6">
        <v>4.238982115889384</v>
      </c>
      <c r="K2341" s="4">
        <v>0.4733883682667489</v>
      </c>
      <c r="L2341" s="7">
        <v>1.392637607887415</v>
      </c>
      <c r="M2341" s="3">
        <v>10.97</v>
      </c>
      <c r="N2341" s="3">
        <v>7.93</v>
      </c>
    </row>
    <row r="2342" spans="1:14">
      <c r="A2342" s="8" t="s">
        <v>2354</v>
      </c>
      <c r="B2342" s="2">
        <f>HYPERLINK("https://www.suredividend.com/sure-analysis-research-database/","Rocket Pharmaceuticals Inc")</f>
        <v>0</v>
      </c>
      <c r="C2342" s="1" t="s">
        <v>3176</v>
      </c>
      <c r="D2342" s="3">
        <v>22.68</v>
      </c>
      <c r="E2342" s="4">
        <v>0</v>
      </c>
      <c r="F2342" s="4" t="s">
        <v>3178</v>
      </c>
      <c r="G2342" s="4" t="s">
        <v>3178</v>
      </c>
      <c r="H2342" s="3">
        <v>0</v>
      </c>
      <c r="I2342" s="5">
        <v>2058.940545</v>
      </c>
      <c r="J2342" s="6">
        <v>0</v>
      </c>
      <c r="K2342" s="4" t="s">
        <v>3178</v>
      </c>
      <c r="L2342" s="7">
        <v>1.736781832322021</v>
      </c>
      <c r="M2342" s="3">
        <v>32.53</v>
      </c>
      <c r="N2342" s="3">
        <v>14.89</v>
      </c>
    </row>
    <row r="2343" spans="1:14">
      <c r="A2343" s="8" t="s">
        <v>2355</v>
      </c>
      <c r="B2343" s="2">
        <f>HYPERLINK("https://www.suredividend.com/sure-analysis-research-database/","Rocky Brands, Inc")</f>
        <v>0</v>
      </c>
      <c r="C2343" s="1" t="s">
        <v>3182</v>
      </c>
      <c r="D2343" s="3">
        <v>37.62</v>
      </c>
      <c r="E2343" s="4">
        <v>0.016244174073822</v>
      </c>
      <c r="F2343" s="4">
        <v>0</v>
      </c>
      <c r="G2343" s="4">
        <v>0.02056514630321193</v>
      </c>
      <c r="H2343" s="3">
        <v>0.6111058286572201</v>
      </c>
      <c r="I2343" s="5">
        <v>279.260069</v>
      </c>
      <c r="J2343" s="6">
        <v>0</v>
      </c>
      <c r="K2343" s="4" t="s">
        <v>3178</v>
      </c>
      <c r="L2343" s="7">
        <v>1.888904827439074</v>
      </c>
      <c r="M2343" s="3">
        <v>39.82</v>
      </c>
      <c r="N2343" s="3">
        <v>11.42</v>
      </c>
    </row>
    <row r="2344" spans="1:14">
      <c r="A2344" s="8" t="s">
        <v>2356</v>
      </c>
      <c r="B2344" s="2">
        <f>HYPERLINK("https://www.suredividend.com/sure-analysis-research-database/","Royal Caribbean Group")</f>
        <v>0</v>
      </c>
      <c r="C2344" s="1" t="s">
        <v>3182</v>
      </c>
      <c r="D2344" s="3">
        <v>154.57</v>
      </c>
      <c r="E2344" s="4">
        <v>0</v>
      </c>
      <c r="F2344" s="4" t="s">
        <v>3178</v>
      </c>
      <c r="G2344" s="4" t="s">
        <v>3178</v>
      </c>
      <c r="H2344" s="3">
        <v>0</v>
      </c>
      <c r="I2344" s="5">
        <v>39778.465226</v>
      </c>
      <c r="J2344" s="6">
        <v>18.89794111183851</v>
      </c>
      <c r="K2344" s="4">
        <v>0</v>
      </c>
      <c r="L2344" s="7">
        <v>1.299244101251619</v>
      </c>
      <c r="M2344" s="3">
        <v>156.93</v>
      </c>
      <c r="N2344" s="3">
        <v>78.34999999999999</v>
      </c>
    </row>
    <row r="2345" spans="1:14">
      <c r="A2345" s="8" t="s">
        <v>2357</v>
      </c>
      <c r="B2345" s="2">
        <f>HYPERLINK("https://www.suredividend.com/sure-analysis-research-database/","R1 RCM Inc.")</f>
        <v>0</v>
      </c>
      <c r="C2345" s="1" t="s">
        <v>3176</v>
      </c>
      <c r="D2345" s="3">
        <v>12.83</v>
      </c>
      <c r="E2345" s="4">
        <v>0</v>
      </c>
      <c r="F2345" s="4" t="s">
        <v>3178</v>
      </c>
      <c r="G2345" s="4" t="s">
        <v>3178</v>
      </c>
      <c r="H2345" s="3">
        <v>0</v>
      </c>
      <c r="I2345" s="5">
        <v>3588.551</v>
      </c>
      <c r="J2345" s="6" t="s">
        <v>3178</v>
      </c>
      <c r="K2345" s="4">
        <v>-0</v>
      </c>
      <c r="L2345" s="7">
        <v>0.864389688177822</v>
      </c>
      <c r="M2345" s="3">
        <v>18.7</v>
      </c>
      <c r="N2345" s="3">
        <v>8.869999999999999</v>
      </c>
    </row>
    <row r="2346" spans="1:14">
      <c r="A2346" s="8" t="s">
        <v>2358</v>
      </c>
      <c r="B2346" s="2">
        <f>HYPERLINK("https://www.suredividend.com/sure-analysis-research-database/","RCM Technologies, Inc.")</f>
        <v>0</v>
      </c>
      <c r="C2346" s="1" t="s">
        <v>3179</v>
      </c>
      <c r="D2346" s="3">
        <v>19.65</v>
      </c>
      <c r="E2346" s="4">
        <v>0</v>
      </c>
      <c r="F2346" s="4" t="s">
        <v>3178</v>
      </c>
      <c r="G2346" s="4" t="s">
        <v>3178</v>
      </c>
      <c r="H2346" s="3">
        <v>0</v>
      </c>
      <c r="I2346" s="5">
        <v>152.355646</v>
      </c>
      <c r="J2346" s="6">
        <v>0</v>
      </c>
      <c r="K2346" s="4" t="s">
        <v>3178</v>
      </c>
      <c r="L2346" s="7">
        <v>0.803411499769012</v>
      </c>
      <c r="M2346" s="3">
        <v>32.15</v>
      </c>
      <c r="N2346" s="3">
        <v>14.4</v>
      </c>
    </row>
    <row r="2347" spans="1:14">
      <c r="A2347" s="8" t="s">
        <v>2359</v>
      </c>
      <c r="B2347" s="2">
        <f>HYPERLINK("https://www.suredividend.com/sure-analysis-research-database/","Arcus Biosciences Inc")</f>
        <v>0</v>
      </c>
      <c r="C2347" s="1" t="s">
        <v>3176</v>
      </c>
      <c r="D2347" s="3">
        <v>15.5</v>
      </c>
      <c r="E2347" s="4">
        <v>0</v>
      </c>
      <c r="F2347" s="4" t="s">
        <v>3178</v>
      </c>
      <c r="G2347" s="4" t="s">
        <v>3178</v>
      </c>
      <c r="H2347" s="3">
        <v>0</v>
      </c>
      <c r="I2347" s="5">
        <v>1409.771671</v>
      </c>
      <c r="J2347" s="6" t="s">
        <v>3178</v>
      </c>
      <c r="K2347" s="4">
        <v>-0</v>
      </c>
      <c r="L2347" s="7">
        <v>1.48024324051211</v>
      </c>
      <c r="M2347" s="3">
        <v>25.47</v>
      </c>
      <c r="N2347" s="3">
        <v>12.95</v>
      </c>
    </row>
    <row r="2348" spans="1:14">
      <c r="A2348" s="8" t="s">
        <v>2360</v>
      </c>
      <c r="B2348" s="2">
        <f>HYPERLINK("https://www.suredividend.com/sure-analysis-research-database/","Redfin Corp")</f>
        <v>0</v>
      </c>
      <c r="C2348" s="1" t="s">
        <v>3183</v>
      </c>
      <c r="D2348" s="3">
        <v>6.45</v>
      </c>
      <c r="E2348" s="4">
        <v>0</v>
      </c>
      <c r="F2348" s="4" t="s">
        <v>3178</v>
      </c>
      <c r="G2348" s="4" t="s">
        <v>3178</v>
      </c>
      <c r="H2348" s="3">
        <v>0</v>
      </c>
      <c r="I2348" s="5">
        <v>770.587182</v>
      </c>
      <c r="J2348" s="6" t="s">
        <v>3178</v>
      </c>
      <c r="K2348" s="4">
        <v>-0</v>
      </c>
      <c r="L2348" s="7">
        <v>3.373242904805176</v>
      </c>
      <c r="M2348" s="3">
        <v>17.68</v>
      </c>
      <c r="N2348" s="3">
        <v>4.26</v>
      </c>
    </row>
    <row r="2349" spans="1:14">
      <c r="A2349" s="8" t="s">
        <v>2361</v>
      </c>
      <c r="B2349" s="2">
        <f>HYPERLINK("https://www.suredividend.com/sure-analysis-research-database/","Reading International Inc")</f>
        <v>0</v>
      </c>
      <c r="C2349" s="1" t="s">
        <v>3187</v>
      </c>
      <c r="D2349" s="3">
        <v>1.5</v>
      </c>
      <c r="E2349" s="4">
        <v>0</v>
      </c>
      <c r="F2349" s="4" t="s">
        <v>3178</v>
      </c>
      <c r="G2349" s="4" t="s">
        <v>3178</v>
      </c>
      <c r="H2349" s="3">
        <v>0</v>
      </c>
      <c r="I2349" s="5">
        <v>52.126104</v>
      </c>
      <c r="J2349" s="6" t="s">
        <v>3178</v>
      </c>
      <c r="K2349" s="4">
        <v>-0</v>
      </c>
      <c r="L2349" s="7">
        <v>-0.017059792948758</v>
      </c>
      <c r="M2349" s="3">
        <v>3.07</v>
      </c>
      <c r="N2349" s="3">
        <v>1.39</v>
      </c>
    </row>
    <row r="2350" spans="1:14">
      <c r="A2350" s="8" t="s">
        <v>2362</v>
      </c>
      <c r="B2350" s="2">
        <f>HYPERLINK("https://www.suredividend.com/sure-analysis-research-database/","Radian Group, Inc.")</f>
        <v>0</v>
      </c>
      <c r="C2350" s="1" t="s">
        <v>3180</v>
      </c>
      <c r="D2350" s="3">
        <v>30.93</v>
      </c>
      <c r="E2350" s="4">
        <v>0.030026448263399</v>
      </c>
      <c r="F2350" s="4">
        <v>0.0888888888888888</v>
      </c>
      <c r="G2350" s="4">
        <v>1.501757527140843</v>
      </c>
      <c r="H2350" s="3">
        <v>0.9287180447869441</v>
      </c>
      <c r="I2350" s="5">
        <v>4657.391922</v>
      </c>
      <c r="J2350" s="6">
        <v>7.791981346408662</v>
      </c>
      <c r="K2350" s="4">
        <v>0.2469994799965277</v>
      </c>
      <c r="L2350" s="7">
        <v>0.814536364335233</v>
      </c>
      <c r="M2350" s="3">
        <v>33.43</v>
      </c>
      <c r="N2350" s="3">
        <v>23.52</v>
      </c>
    </row>
    <row r="2351" spans="1:14">
      <c r="A2351" s="8" t="s">
        <v>2363</v>
      </c>
      <c r="B2351" s="2">
        <f>HYPERLINK("https://www.suredividend.com/sure-analysis-research-database/","Radnet Inc")</f>
        <v>0</v>
      </c>
      <c r="C2351" s="1" t="s">
        <v>3176</v>
      </c>
      <c r="D2351" s="3">
        <v>61.25</v>
      </c>
      <c r="E2351" s="4">
        <v>0</v>
      </c>
      <c r="F2351" s="4" t="s">
        <v>3178</v>
      </c>
      <c r="G2351" s="4" t="s">
        <v>3178</v>
      </c>
      <c r="H2351" s="3">
        <v>0</v>
      </c>
      <c r="I2351" s="5">
        <v>4525.158881</v>
      </c>
      <c r="J2351" s="6">
        <v>1486.58307531209</v>
      </c>
      <c r="K2351" s="4">
        <v>0</v>
      </c>
      <c r="L2351" s="7">
        <v>1.466404144556537</v>
      </c>
      <c r="M2351" s="3">
        <v>62.38</v>
      </c>
      <c r="N2351" s="3">
        <v>25.11</v>
      </c>
    </row>
    <row r="2352" spans="1:14">
      <c r="A2352" s="8" t="s">
        <v>2364</v>
      </c>
      <c r="B2352" s="2">
        <f>HYPERLINK("https://www.suredividend.com/sure-analysis-research-database/","Radius Recycling Inc.")</f>
        <v>0</v>
      </c>
      <c r="C2352" s="1" t="s">
        <v>3176</v>
      </c>
      <c r="D2352" s="3">
        <v>15.91</v>
      </c>
      <c r="E2352" s="4">
        <v>0.046504713112997</v>
      </c>
      <c r="F2352" s="4" t="s">
        <v>3178</v>
      </c>
      <c r="G2352" s="4" t="s">
        <v>3178</v>
      </c>
      <c r="H2352" s="3">
        <v>0.7398899856277891</v>
      </c>
      <c r="I2352" s="5">
        <v>442.014182</v>
      </c>
      <c r="J2352" s="6" t="s">
        <v>3178</v>
      </c>
      <c r="K2352" s="4" t="s">
        <v>3178</v>
      </c>
      <c r="L2352" s="7">
        <v>1.399614414080797</v>
      </c>
      <c r="M2352" s="3">
        <v>36.64</v>
      </c>
      <c r="N2352" s="3">
        <v>15.7</v>
      </c>
    </row>
    <row r="2353" spans="1:14">
      <c r="A2353" s="8" t="s">
        <v>2365</v>
      </c>
      <c r="B2353" s="2">
        <f>HYPERLINK("https://www.suredividend.com/sure-analysis-research-database/","Red Violet Inc")</f>
        <v>0</v>
      </c>
      <c r="C2353" s="1" t="s">
        <v>3181</v>
      </c>
      <c r="D2353" s="3">
        <v>21.03</v>
      </c>
      <c r="E2353" s="4">
        <v>0</v>
      </c>
      <c r="F2353" s="4" t="s">
        <v>3178</v>
      </c>
      <c r="G2353" s="4" t="s">
        <v>3178</v>
      </c>
      <c r="H2353" s="3">
        <v>0</v>
      </c>
      <c r="I2353" s="5">
        <v>288.753319</v>
      </c>
      <c r="J2353" s="6">
        <v>19.78168933959033</v>
      </c>
      <c r="K2353" s="4">
        <v>0</v>
      </c>
      <c r="L2353" s="7">
        <v>1.074575227508098</v>
      </c>
      <c r="M2353" s="3">
        <v>22.05</v>
      </c>
      <c r="N2353" s="3">
        <v>16.56</v>
      </c>
    </row>
    <row r="2354" spans="1:14">
      <c r="A2354" s="8" t="s">
        <v>2366</v>
      </c>
      <c r="B2354" s="2">
        <f>HYPERLINK("https://www.suredividend.com/sure-analysis-research-database/","Reeds Inc")</f>
        <v>0</v>
      </c>
      <c r="C2354" s="1" t="s">
        <v>3184</v>
      </c>
      <c r="D2354" s="3">
        <v>1.6</v>
      </c>
      <c r="E2354" s="4">
        <v>0</v>
      </c>
      <c r="F2354" s="4" t="s">
        <v>3178</v>
      </c>
      <c r="G2354" s="4" t="s">
        <v>3178</v>
      </c>
      <c r="H2354" s="3">
        <v>0</v>
      </c>
      <c r="I2354" s="5">
        <v>0</v>
      </c>
      <c r="J2354" s="6">
        <v>0</v>
      </c>
      <c r="K2354" s="4" t="s">
        <v>3178</v>
      </c>
    </row>
    <row r="2355" spans="1:14">
      <c r="A2355" s="8" t="s">
        <v>2367</v>
      </c>
      <c r="B2355" s="2">
        <f>HYPERLINK("https://www.suredividend.com/sure-analysis-research-database/","Research Frontiers Inc.")</f>
        <v>0</v>
      </c>
      <c r="C2355" s="1" t="s">
        <v>3181</v>
      </c>
      <c r="D2355" s="3">
        <v>1.7</v>
      </c>
      <c r="E2355" s="4">
        <v>0</v>
      </c>
      <c r="F2355" s="4" t="s">
        <v>3178</v>
      </c>
      <c r="G2355" s="4" t="s">
        <v>3178</v>
      </c>
      <c r="H2355" s="3">
        <v>0</v>
      </c>
      <c r="I2355" s="5">
        <v>56.980238</v>
      </c>
      <c r="J2355" s="6" t="s">
        <v>3178</v>
      </c>
      <c r="K2355" s="4">
        <v>-0</v>
      </c>
      <c r="L2355" s="7">
        <v>0.323648845626161</v>
      </c>
      <c r="M2355" s="3">
        <v>2.41</v>
      </c>
      <c r="N2355" s="3">
        <v>0.9</v>
      </c>
    </row>
    <row r="2356" spans="1:14">
      <c r="A2356" s="8" t="s">
        <v>2368</v>
      </c>
      <c r="B2356" s="2">
        <f>HYPERLINK("https://www.suredividend.com/sure-analysis-REG/","Regency Centers Corporation")</f>
        <v>0</v>
      </c>
      <c r="C2356" s="1" t="s">
        <v>3183</v>
      </c>
      <c r="D2356" s="3">
        <v>61.24</v>
      </c>
      <c r="E2356" s="4">
        <v>0.04376224689745264</v>
      </c>
      <c r="F2356" s="4">
        <v>0.03076923076923088</v>
      </c>
      <c r="G2356" s="4">
        <v>0.0275046295579735</v>
      </c>
      <c r="H2356" s="3">
        <v>2.579335165941773</v>
      </c>
      <c r="I2356" s="5">
        <v>11315.871594</v>
      </c>
      <c r="J2356" s="6">
        <v>30.419582072996</v>
      </c>
      <c r="K2356" s="4">
        <v>1.246055635720663</v>
      </c>
      <c r="L2356" s="7">
        <v>0.761316805796969</v>
      </c>
      <c r="M2356" s="3">
        <v>67.73</v>
      </c>
      <c r="N2356" s="3">
        <v>54.53</v>
      </c>
    </row>
    <row r="2357" spans="1:14">
      <c r="A2357" s="8" t="s">
        <v>2369</v>
      </c>
      <c r="B2357" s="2">
        <f>HYPERLINK("https://www.suredividend.com/sure-analysis-research-database/","Renewable Energy Group Inc")</f>
        <v>0</v>
      </c>
      <c r="C2357" s="1" t="s">
        <v>3185</v>
      </c>
      <c r="D2357" s="3">
        <v>61.5</v>
      </c>
      <c r="E2357" s="4">
        <v>0</v>
      </c>
      <c r="F2357" s="4" t="s">
        <v>3178</v>
      </c>
      <c r="G2357" s="4" t="s">
        <v>3178</v>
      </c>
      <c r="H2357" s="3">
        <v>0</v>
      </c>
      <c r="I2357" s="5">
        <v>0</v>
      </c>
      <c r="J2357" s="6">
        <v>0</v>
      </c>
      <c r="K2357" s="4">
        <v>0</v>
      </c>
    </row>
    <row r="2358" spans="1:14">
      <c r="A2358" s="8" t="s">
        <v>2370</v>
      </c>
      <c r="B2358" s="2">
        <f>HYPERLINK("https://www.suredividend.com/sure-analysis-research-database/","Regeneron Pharmaceuticals, Inc.")</f>
        <v>0</v>
      </c>
      <c r="C2358" s="1" t="s">
        <v>3176</v>
      </c>
      <c r="D2358" s="3">
        <v>1002.95</v>
      </c>
      <c r="E2358" s="4">
        <v>0</v>
      </c>
      <c r="F2358" s="4" t="s">
        <v>3178</v>
      </c>
      <c r="G2358" s="4" t="s">
        <v>3178</v>
      </c>
      <c r="H2358" s="3">
        <v>0</v>
      </c>
      <c r="I2358" s="5">
        <v>108262.184063</v>
      </c>
      <c r="J2358" s="6">
        <v>28.06319250933175</v>
      </c>
      <c r="K2358" s="4">
        <v>0</v>
      </c>
      <c r="L2358" s="7">
        <v>0.5033439604751681</v>
      </c>
      <c r="M2358" s="3">
        <v>1016</v>
      </c>
      <c r="N2358" s="3">
        <v>684.8099999999999</v>
      </c>
    </row>
    <row r="2359" spans="1:14">
      <c r="A2359" s="8" t="s">
        <v>2371</v>
      </c>
      <c r="B2359" s="2">
        <f>HYPERLINK("https://www.suredividend.com/sure-analysis-research-database/","Ring Energy Inc")</f>
        <v>0</v>
      </c>
      <c r="C2359" s="1" t="s">
        <v>3185</v>
      </c>
      <c r="D2359" s="3">
        <v>1.63</v>
      </c>
      <c r="E2359" s="4">
        <v>0</v>
      </c>
      <c r="F2359" s="4" t="s">
        <v>3178</v>
      </c>
      <c r="G2359" s="4" t="s">
        <v>3178</v>
      </c>
      <c r="H2359" s="3">
        <v>0</v>
      </c>
      <c r="I2359" s="5">
        <v>322.638044</v>
      </c>
      <c r="J2359" s="6">
        <v>0</v>
      </c>
      <c r="K2359" s="4" t="s">
        <v>3178</v>
      </c>
      <c r="L2359" s="7">
        <v>1.132432962549182</v>
      </c>
      <c r="M2359" s="3">
        <v>2.43</v>
      </c>
      <c r="N2359" s="3">
        <v>1.25</v>
      </c>
    </row>
    <row r="2360" spans="1:14">
      <c r="A2360" s="8" t="s">
        <v>2372</v>
      </c>
      <c r="B2360" s="2">
        <f>HYPERLINK("https://www.suredividend.com/sure-analysis-research-database/","Richardson Electronics, Ltd.")</f>
        <v>0</v>
      </c>
      <c r="C2360" s="1" t="s">
        <v>3181</v>
      </c>
      <c r="D2360" s="3">
        <v>10.73</v>
      </c>
      <c r="E2360" s="4">
        <v>0.021980440423903</v>
      </c>
      <c r="F2360" s="4">
        <v>0</v>
      </c>
      <c r="G2360" s="4">
        <v>0</v>
      </c>
      <c r="H2360" s="3">
        <v>0.235850125748482</v>
      </c>
      <c r="I2360" s="5">
        <v>131.195206</v>
      </c>
      <c r="J2360" s="6">
        <v>30.51051295116279</v>
      </c>
      <c r="K2360" s="4">
        <v>0.788532683879913</v>
      </c>
      <c r="L2360" s="7">
        <v>1.268357690824397</v>
      </c>
      <c r="M2360" s="3">
        <v>18.74</v>
      </c>
      <c r="N2360" s="3">
        <v>7.99</v>
      </c>
    </row>
    <row r="2361" spans="1:14">
      <c r="A2361" s="8" t="s">
        <v>2373</v>
      </c>
      <c r="B2361" s="2">
        <f>HYPERLINK("https://www.suredividend.com/sure-analysis-research-database/","Reliv` International, Inc.")</f>
        <v>0</v>
      </c>
      <c r="C2361" s="1" t="s">
        <v>3184</v>
      </c>
      <c r="D2361" s="3">
        <v>6</v>
      </c>
      <c r="E2361" s="4">
        <v>0</v>
      </c>
      <c r="F2361" s="4" t="s">
        <v>3178</v>
      </c>
      <c r="G2361" s="4" t="s">
        <v>3178</v>
      </c>
      <c r="H2361" s="3">
        <v>0</v>
      </c>
      <c r="I2361" s="5">
        <v>8.531202</v>
      </c>
      <c r="J2361" s="6">
        <v>0</v>
      </c>
      <c r="K2361" s="4" t="s">
        <v>3178</v>
      </c>
      <c r="M2361" s="3">
        <v>7.15</v>
      </c>
      <c r="N2361" s="3">
        <v>3.24</v>
      </c>
    </row>
    <row r="2362" spans="1:14">
      <c r="A2362" s="8" t="s">
        <v>2374</v>
      </c>
      <c r="B2362" s="2">
        <f>HYPERLINK("https://www.suredividend.com/sure-analysis-research-database/","Replimune Group Inc")</f>
        <v>0</v>
      </c>
      <c r="C2362" s="1" t="s">
        <v>3176</v>
      </c>
      <c r="D2362" s="3">
        <v>7.9</v>
      </c>
      <c r="E2362" s="4">
        <v>0</v>
      </c>
      <c r="F2362" s="4" t="s">
        <v>3178</v>
      </c>
      <c r="G2362" s="4" t="s">
        <v>3178</v>
      </c>
      <c r="H2362" s="3">
        <v>0</v>
      </c>
      <c r="I2362" s="5">
        <v>485.17933</v>
      </c>
      <c r="J2362" s="6">
        <v>0</v>
      </c>
      <c r="K2362" s="4" t="s">
        <v>3178</v>
      </c>
      <c r="L2362" s="7">
        <v>0.989321478940785</v>
      </c>
      <c r="M2362" s="3">
        <v>24.81</v>
      </c>
      <c r="N2362" s="3">
        <v>4.92</v>
      </c>
    </row>
    <row r="2363" spans="1:14">
      <c r="A2363" s="8" t="s">
        <v>2375</v>
      </c>
      <c r="B2363" s="2">
        <f>HYPERLINK("https://www.suredividend.com/sure-analysis-research-database/","RPC, Inc.")</f>
        <v>0</v>
      </c>
      <c r="C2363" s="1" t="s">
        <v>3185</v>
      </c>
      <c r="D2363" s="3">
        <v>6.45</v>
      </c>
      <c r="E2363" s="4">
        <v>0.024592617781352</v>
      </c>
      <c r="F2363" s="4" t="s">
        <v>3178</v>
      </c>
      <c r="G2363" s="4" t="s">
        <v>3178</v>
      </c>
      <c r="H2363" s="3">
        <v>0.158622384689724</v>
      </c>
      <c r="I2363" s="5">
        <v>1382.53855</v>
      </c>
      <c r="J2363" s="6">
        <v>9.344191554978812</v>
      </c>
      <c r="K2363" s="4">
        <v>0.2277421172860359</v>
      </c>
      <c r="L2363" s="7">
        <v>0.718887435934751</v>
      </c>
      <c r="M2363" s="3">
        <v>9.26</v>
      </c>
      <c r="N2363" s="3">
        <v>6.27</v>
      </c>
    </row>
    <row r="2364" spans="1:14">
      <c r="A2364" s="8" t="s">
        <v>2376</v>
      </c>
      <c r="B2364" s="2">
        <f>HYPERLINK("https://www.suredividend.com/sure-analysis-research-database/","Strategic Trust")</f>
        <v>0</v>
      </c>
      <c r="C2364" s="1" t="s">
        <v>3183</v>
      </c>
      <c r="D2364" s="3">
        <v>9.703200000000001</v>
      </c>
      <c r="E2364" s="4">
        <v>0.07396165145415501</v>
      </c>
      <c r="F2364" s="4" t="s">
        <v>3178</v>
      </c>
      <c r="G2364" s="4" t="s">
        <v>3178</v>
      </c>
      <c r="H2364" s="3">
        <v>0.7176646963899621</v>
      </c>
      <c r="I2364" s="5">
        <v>0.97032</v>
      </c>
      <c r="J2364" s="6">
        <v>0</v>
      </c>
      <c r="K2364" s="4" t="s">
        <v>3178</v>
      </c>
      <c r="M2364" s="3">
        <v>11.6</v>
      </c>
      <c r="N2364" s="3">
        <v>8.960000000000001</v>
      </c>
    </row>
    <row r="2365" spans="1:14">
      <c r="A2365" s="8" t="s">
        <v>2377</v>
      </c>
      <c r="B2365" s="2">
        <f>HYPERLINK("https://www.suredividend.com/sure-analysis-research-database/","Resonant Inc")</f>
        <v>0</v>
      </c>
      <c r="C2365" s="1" t="s">
        <v>3181</v>
      </c>
      <c r="D2365" s="3">
        <v>4.48</v>
      </c>
      <c r="E2365" s="4">
        <v>0</v>
      </c>
      <c r="F2365" s="4" t="s">
        <v>3178</v>
      </c>
      <c r="G2365" s="4" t="s">
        <v>3178</v>
      </c>
      <c r="H2365" s="3">
        <v>0</v>
      </c>
      <c r="I2365" s="5">
        <v>0</v>
      </c>
      <c r="J2365" s="6">
        <v>0</v>
      </c>
      <c r="K2365" s="4" t="s">
        <v>3178</v>
      </c>
    </row>
    <row r="2366" spans="1:14">
      <c r="A2366" s="8" t="s">
        <v>2378</v>
      </c>
      <c r="B2366" s="2">
        <f>HYPERLINK("https://www.suredividend.com/sure-analysis-research-database/","Reata Pharmaceuticals Inc")</f>
        <v>0</v>
      </c>
      <c r="C2366" s="1" t="s">
        <v>3176</v>
      </c>
      <c r="D2366" s="3">
        <v>172.36</v>
      </c>
      <c r="E2366" s="4">
        <v>0</v>
      </c>
      <c r="F2366" s="4" t="s">
        <v>3178</v>
      </c>
      <c r="G2366" s="4" t="s">
        <v>3178</v>
      </c>
      <c r="H2366" s="3">
        <v>0</v>
      </c>
      <c r="I2366" s="5">
        <v>0</v>
      </c>
      <c r="J2366" s="6">
        <v>0</v>
      </c>
      <c r="K2366" s="4">
        <v>-0</v>
      </c>
    </row>
    <row r="2367" spans="1:14">
      <c r="A2367" s="8" t="s">
        <v>2379</v>
      </c>
      <c r="B2367" s="2">
        <f>HYPERLINK("https://www.suredividend.com/sure-analysis-research-database/","Revlon, Inc.")</f>
        <v>0</v>
      </c>
      <c r="C2367" s="1" t="s">
        <v>3184</v>
      </c>
      <c r="D2367" s="3">
        <v>3.8999</v>
      </c>
      <c r="E2367" s="4">
        <v>0</v>
      </c>
      <c r="F2367" s="4" t="s">
        <v>3178</v>
      </c>
      <c r="G2367" s="4" t="s">
        <v>3178</v>
      </c>
      <c r="H2367" s="3">
        <v>0</v>
      </c>
      <c r="I2367" s="5">
        <v>211.693011</v>
      </c>
      <c r="J2367" s="6" t="s">
        <v>3178</v>
      </c>
      <c r="K2367" s="4">
        <v>-0</v>
      </c>
      <c r="L2367" s="7">
        <v>2.232919751231036</v>
      </c>
      <c r="M2367" s="3">
        <v>17.65</v>
      </c>
      <c r="N2367" s="3">
        <v>1.08</v>
      </c>
    </row>
    <row r="2368" spans="1:14">
      <c r="A2368" s="8" t="s">
        <v>2380</v>
      </c>
      <c r="B2368" s="2">
        <f>HYPERLINK("https://www.suredividend.com/sure-analysis-research-database/","REV Group Inc")</f>
        <v>0</v>
      </c>
      <c r="C2368" s="1" t="s">
        <v>3179</v>
      </c>
      <c r="D2368" s="3">
        <v>26.86</v>
      </c>
      <c r="E2368" s="4">
        <v>0.006563521730496001</v>
      </c>
      <c r="F2368" s="4" t="s">
        <v>3178</v>
      </c>
      <c r="G2368" s="4" t="s">
        <v>3178</v>
      </c>
      <c r="H2368" s="3">
        <v>0.176296193681148</v>
      </c>
      <c r="I2368" s="5">
        <v>1394.422852</v>
      </c>
      <c r="J2368" s="6" t="s">
        <v>3178</v>
      </c>
      <c r="K2368" s="4" t="s">
        <v>3178</v>
      </c>
      <c r="L2368" s="7">
        <v>1.244480353625648</v>
      </c>
      <c r="M2368" s="3">
        <v>28.59</v>
      </c>
      <c r="N2368" s="3">
        <v>10.46</v>
      </c>
    </row>
    <row r="2369" spans="1:14">
      <c r="A2369" s="8" t="s">
        <v>2381</v>
      </c>
      <c r="B2369" s="2">
        <f>HYPERLINK("https://www.suredividend.com/sure-analysis-research-database/","REX American Resources Corp")</f>
        <v>0</v>
      </c>
      <c r="C2369" s="1" t="s">
        <v>3185</v>
      </c>
      <c r="D2369" s="3">
        <v>46.75</v>
      </c>
      <c r="E2369" s="4">
        <v>0</v>
      </c>
      <c r="F2369" s="4" t="s">
        <v>3178</v>
      </c>
      <c r="G2369" s="4" t="s">
        <v>3178</v>
      </c>
      <c r="H2369" s="3">
        <v>0</v>
      </c>
      <c r="I2369" s="5">
        <v>818.300079</v>
      </c>
      <c r="J2369" s="6">
        <v>12.41918468280468</v>
      </c>
      <c r="K2369" s="4">
        <v>0</v>
      </c>
      <c r="L2369" s="7">
        <v>0.9756757718658021</v>
      </c>
      <c r="M2369" s="3">
        <v>60.79</v>
      </c>
      <c r="N2369" s="3">
        <v>32.43</v>
      </c>
    </row>
    <row r="2370" spans="1:14">
      <c r="A2370" s="8" t="s">
        <v>2382</v>
      </c>
      <c r="B2370" s="2">
        <f>HYPERLINK("https://www.suredividend.com/sure-analysis-REXR/","Rexford Industrial Realty Inc")</f>
        <v>0</v>
      </c>
      <c r="C2370" s="1" t="s">
        <v>3183</v>
      </c>
      <c r="D2370" s="3">
        <v>44.12</v>
      </c>
      <c r="E2370" s="4">
        <v>0.03785131459655485</v>
      </c>
      <c r="F2370" s="4">
        <v>0.09868421052631593</v>
      </c>
      <c r="G2370" s="4">
        <v>0.1419408367952419</v>
      </c>
      <c r="H2370" s="3">
        <v>1.539874896937781</v>
      </c>
      <c r="I2370" s="5">
        <v>9610.281492</v>
      </c>
      <c r="J2370" s="6">
        <v>42.11046329617555</v>
      </c>
      <c r="K2370" s="4">
        <v>1.399886269943437</v>
      </c>
      <c r="L2370" s="7">
        <v>1.251934533251104</v>
      </c>
      <c r="M2370" s="3">
        <v>57.14</v>
      </c>
      <c r="N2370" s="3">
        <v>40.93</v>
      </c>
    </row>
    <row r="2371" spans="1:14">
      <c r="A2371" s="8" t="s">
        <v>2383</v>
      </c>
      <c r="B2371" s="2">
        <f>HYPERLINK("https://www.suredividend.com/sure-analysis-research-database/","Resideo Technologies Inc")</f>
        <v>0</v>
      </c>
      <c r="C2371" s="1" t="s">
        <v>3179</v>
      </c>
      <c r="D2371" s="3">
        <v>20.52</v>
      </c>
      <c r="E2371" s="4">
        <v>0</v>
      </c>
      <c r="F2371" s="4" t="s">
        <v>3178</v>
      </c>
      <c r="G2371" s="4" t="s">
        <v>3178</v>
      </c>
      <c r="H2371" s="3">
        <v>0</v>
      </c>
      <c r="I2371" s="5">
        <v>2995.92</v>
      </c>
      <c r="J2371" s="6">
        <v>15.28530612244898</v>
      </c>
      <c r="K2371" s="4">
        <v>0</v>
      </c>
      <c r="L2371" s="7">
        <v>1.696495410451244</v>
      </c>
      <c r="M2371" s="3">
        <v>23.21</v>
      </c>
      <c r="N2371" s="3">
        <v>14.2</v>
      </c>
    </row>
    <row r="2372" spans="1:14">
      <c r="A2372" s="8" t="s">
        <v>2384</v>
      </c>
      <c r="B2372" s="2">
        <f>HYPERLINK("https://www.suredividend.com/sure-analysis-RF/","Regions Financial Corp.")</f>
        <v>0</v>
      </c>
      <c r="C2372" s="1" t="s">
        <v>3180</v>
      </c>
      <c r="D2372" s="3">
        <v>18.6</v>
      </c>
      <c r="E2372" s="4">
        <v>0.05161290322580644</v>
      </c>
      <c r="F2372" s="4">
        <v>0.2</v>
      </c>
      <c r="G2372" s="4">
        <v>0.09137979347764191</v>
      </c>
      <c r="H2372" s="3">
        <v>0.9416593108983201</v>
      </c>
      <c r="I2372" s="5">
        <v>17034.384041</v>
      </c>
      <c r="J2372" s="6">
        <v>9.840776453726169</v>
      </c>
      <c r="K2372" s="4">
        <v>0.5090050329180108</v>
      </c>
      <c r="L2372" s="7">
        <v>1.209977613438385</v>
      </c>
      <c r="M2372" s="3">
        <v>20.82</v>
      </c>
      <c r="N2372" s="3">
        <v>13.18</v>
      </c>
    </row>
    <row r="2373" spans="1:14">
      <c r="A2373" s="8" t="s">
        <v>2385</v>
      </c>
      <c r="B2373" s="2">
        <f>HYPERLINK("https://www.suredividend.com/sure-analysis-research-database/","RF Industries Ltd.")</f>
        <v>0</v>
      </c>
      <c r="C2373" s="1" t="s">
        <v>3179</v>
      </c>
      <c r="D2373" s="3">
        <v>3.225</v>
      </c>
      <c r="E2373" s="4">
        <v>0</v>
      </c>
      <c r="F2373" s="4" t="s">
        <v>3178</v>
      </c>
      <c r="G2373" s="4" t="s">
        <v>3178</v>
      </c>
      <c r="H2373" s="3">
        <v>0</v>
      </c>
      <c r="I2373" s="5">
        <v>33.848142</v>
      </c>
      <c r="J2373" s="6">
        <v>0</v>
      </c>
      <c r="K2373" s="4" t="s">
        <v>3178</v>
      </c>
      <c r="M2373" s="3">
        <v>5.08</v>
      </c>
      <c r="N2373" s="3">
        <v>2.51</v>
      </c>
    </row>
    <row r="2374" spans="1:14">
      <c r="A2374" s="8" t="s">
        <v>2386</v>
      </c>
      <c r="B2374" s="2">
        <f>HYPERLINK("https://www.suredividend.com/sure-analysis-research-database/","Rafael Holdings Inc")</f>
        <v>0</v>
      </c>
      <c r="C2374" s="1" t="s">
        <v>3176</v>
      </c>
      <c r="D2374" s="3">
        <v>1.5</v>
      </c>
      <c r="E2374" s="4">
        <v>0</v>
      </c>
      <c r="F2374" s="4" t="s">
        <v>3178</v>
      </c>
      <c r="G2374" s="4" t="s">
        <v>3178</v>
      </c>
      <c r="H2374" s="3">
        <v>0</v>
      </c>
      <c r="I2374" s="5">
        <v>35.695914</v>
      </c>
      <c r="J2374" s="6">
        <v>0</v>
      </c>
      <c r="K2374" s="4" t="s">
        <v>3178</v>
      </c>
      <c r="L2374" s="7">
        <v>0.440255121312387</v>
      </c>
      <c r="M2374" s="3">
        <v>2.52</v>
      </c>
      <c r="N2374" s="3">
        <v>1.44</v>
      </c>
    </row>
    <row r="2375" spans="1:14">
      <c r="A2375" s="8" t="s">
        <v>2387</v>
      </c>
      <c r="B2375" s="2">
        <f>HYPERLINK("https://www.suredividend.com/sure-analysis-research-database/","Resolute Forest Products Inc")</f>
        <v>0</v>
      </c>
      <c r="C2375" s="1" t="s">
        <v>3177</v>
      </c>
      <c r="D2375" s="3">
        <v>21.92</v>
      </c>
      <c r="E2375" s="4">
        <v>0</v>
      </c>
      <c r="F2375" s="4" t="s">
        <v>3178</v>
      </c>
      <c r="G2375" s="4" t="s">
        <v>3178</v>
      </c>
      <c r="H2375" s="3">
        <v>0</v>
      </c>
      <c r="I2375" s="5">
        <v>1699.845377</v>
      </c>
      <c r="J2375" s="6">
        <v>3.999636182188235</v>
      </c>
      <c r="K2375" s="4">
        <v>0</v>
      </c>
      <c r="L2375" s="7">
        <v>0.545072036245082</v>
      </c>
      <c r="M2375" s="3">
        <v>22.62</v>
      </c>
      <c r="N2375" s="3">
        <v>11.55</v>
      </c>
    </row>
    <row r="2376" spans="1:14">
      <c r="A2376" s="8" t="s">
        <v>2388</v>
      </c>
      <c r="B2376" s="2">
        <f>HYPERLINK("https://www.suredividend.com/sure-analysis-RGA/","Reinsurance Group Of America, Inc.")</f>
        <v>0</v>
      </c>
      <c r="C2376" s="1" t="s">
        <v>3180</v>
      </c>
      <c r="D2376" s="3">
        <v>204.13</v>
      </c>
      <c r="E2376" s="4">
        <v>0.01665605251555381</v>
      </c>
      <c r="F2376" s="4">
        <v>0.0625</v>
      </c>
      <c r="G2376" s="4">
        <v>0.03959498820755258</v>
      </c>
      <c r="H2376" s="3">
        <v>3.376627542459595</v>
      </c>
      <c r="I2376" s="5">
        <v>13430.126063</v>
      </c>
      <c r="J2376" s="6">
        <v>15.61642565494186</v>
      </c>
      <c r="K2376" s="4">
        <v>0.2625682381383822</v>
      </c>
      <c r="L2376" s="7">
        <v>0.324679454561642</v>
      </c>
      <c r="M2376" s="3">
        <v>213.21</v>
      </c>
      <c r="N2376" s="3">
        <v>132.85</v>
      </c>
    </row>
    <row r="2377" spans="1:14">
      <c r="A2377" s="8" t="s">
        <v>2389</v>
      </c>
      <c r="B2377" s="2">
        <f>HYPERLINK("https://www.suredividend.com/sure-analysis-RGCO/","RGC Resources, Inc.")</f>
        <v>0</v>
      </c>
      <c r="C2377" s="1" t="s">
        <v>3186</v>
      </c>
      <c r="D2377" s="3">
        <v>20.25</v>
      </c>
      <c r="E2377" s="4">
        <v>0.03950617283950617</v>
      </c>
      <c r="F2377" s="4">
        <v>0.01265822784810133</v>
      </c>
      <c r="G2377" s="4">
        <v>0.03922410156720635</v>
      </c>
      <c r="H2377" s="3">
        <v>0.7710231330409001</v>
      </c>
      <c r="I2377" s="5">
        <v>206.167478</v>
      </c>
      <c r="J2377" s="6">
        <v>0</v>
      </c>
      <c r="K2377" s="4" t="s">
        <v>3178</v>
      </c>
      <c r="L2377" s="7">
        <v>0.8799180882584541</v>
      </c>
      <c r="M2377" s="3">
        <v>21.6</v>
      </c>
      <c r="N2377" s="3">
        <v>14.75</v>
      </c>
    </row>
    <row r="2378" spans="1:14">
      <c r="A2378" s="8" t="s">
        <v>2390</v>
      </c>
      <c r="B2378" s="2">
        <f>HYPERLINK("https://www.suredividend.com/sure-analysis-research-database/","Repligen Corp.")</f>
        <v>0</v>
      </c>
      <c r="C2378" s="1" t="s">
        <v>3176</v>
      </c>
      <c r="D2378" s="3">
        <v>145.78</v>
      </c>
      <c r="E2378" s="4">
        <v>0</v>
      </c>
      <c r="F2378" s="4" t="s">
        <v>3178</v>
      </c>
      <c r="G2378" s="4" t="s">
        <v>3178</v>
      </c>
      <c r="H2378" s="3">
        <v>0</v>
      </c>
      <c r="I2378" s="5">
        <v>8145.587827</v>
      </c>
      <c r="J2378" s="6">
        <v>548.8200934725778</v>
      </c>
      <c r="K2378" s="4">
        <v>0</v>
      </c>
      <c r="L2378" s="7">
        <v>1.759504251800005</v>
      </c>
      <c r="M2378" s="3">
        <v>211.13</v>
      </c>
      <c r="N2378" s="3">
        <v>110.45</v>
      </c>
    </row>
    <row r="2379" spans="1:14">
      <c r="A2379" s="8" t="s">
        <v>2391</v>
      </c>
      <c r="B2379" s="2">
        <f>HYPERLINK("https://www.suredividend.com/sure-analysis-RGLD/","Royal Gold, Inc.")</f>
        <v>0</v>
      </c>
      <c r="C2379" s="1" t="s">
        <v>3177</v>
      </c>
      <c r="D2379" s="3">
        <v>123.7</v>
      </c>
      <c r="E2379" s="4">
        <v>0.01293451899757478</v>
      </c>
      <c r="F2379" s="4">
        <v>0.06666666666666665</v>
      </c>
      <c r="G2379" s="4">
        <v>0.08583246778943243</v>
      </c>
      <c r="H2379" s="3">
        <v>1.538514665267099</v>
      </c>
      <c r="I2379" s="5">
        <v>8131.179769</v>
      </c>
      <c r="J2379" s="6">
        <v>36.50672681126561</v>
      </c>
      <c r="K2379" s="4">
        <v>0.4538391342970793</v>
      </c>
      <c r="L2379" s="7">
        <v>0.8657394033065271</v>
      </c>
      <c r="M2379" s="3">
        <v>134.56</v>
      </c>
      <c r="N2379" s="3">
        <v>100.07</v>
      </c>
    </row>
    <row r="2380" spans="1:14">
      <c r="A2380" s="8" t="s">
        <v>2392</v>
      </c>
      <c r="B2380" s="2">
        <f>HYPERLINK("https://www.suredividend.com/sure-analysis-research-database/","Regulus Therapeutics Inc")</f>
        <v>0</v>
      </c>
      <c r="C2380" s="1" t="s">
        <v>3176</v>
      </c>
      <c r="D2380" s="3">
        <v>2.23</v>
      </c>
      <c r="E2380" s="4">
        <v>0</v>
      </c>
      <c r="F2380" s="4" t="s">
        <v>3178</v>
      </c>
      <c r="G2380" s="4" t="s">
        <v>3178</v>
      </c>
      <c r="H2380" s="3">
        <v>0</v>
      </c>
      <c r="I2380" s="5">
        <v>145.988903</v>
      </c>
      <c r="J2380" s="6">
        <v>0</v>
      </c>
      <c r="K2380" s="4" t="s">
        <v>3178</v>
      </c>
      <c r="L2380" s="7">
        <v>1.769471398783964</v>
      </c>
      <c r="M2380" s="3">
        <v>3.79</v>
      </c>
      <c r="N2380" s="3">
        <v>1.08</v>
      </c>
    </row>
    <row r="2381" spans="1:14">
      <c r="A2381" s="8" t="s">
        <v>2393</v>
      </c>
      <c r="B2381" s="2">
        <f>HYPERLINK("https://www.suredividend.com/sure-analysis-research-database/","Regenxbio Inc")</f>
        <v>0</v>
      </c>
      <c r="C2381" s="1" t="s">
        <v>3176</v>
      </c>
      <c r="D2381" s="3">
        <v>14.08</v>
      </c>
      <c r="E2381" s="4">
        <v>0</v>
      </c>
      <c r="F2381" s="4" t="s">
        <v>3178</v>
      </c>
      <c r="G2381" s="4" t="s">
        <v>3178</v>
      </c>
      <c r="H2381" s="3">
        <v>0</v>
      </c>
      <c r="I2381" s="5">
        <v>693.524001</v>
      </c>
      <c r="J2381" s="6" t="s">
        <v>3178</v>
      </c>
      <c r="K2381" s="4">
        <v>-0</v>
      </c>
      <c r="L2381" s="7">
        <v>1.173254146414106</v>
      </c>
      <c r="M2381" s="3">
        <v>28.8</v>
      </c>
      <c r="N2381" s="3">
        <v>11.83</v>
      </c>
    </row>
    <row r="2382" spans="1:14">
      <c r="A2382" s="8" t="s">
        <v>2394</v>
      </c>
      <c r="B2382" s="2">
        <f>HYPERLINK("https://www.suredividend.com/sure-analysis-research-database/","Sturm, Ruger &amp; Co., Inc.")</f>
        <v>0</v>
      </c>
      <c r="C2382" s="1" t="s">
        <v>3179</v>
      </c>
      <c r="D2382" s="3">
        <v>43.03</v>
      </c>
      <c r="E2382" s="4">
        <v>0.021221092806165</v>
      </c>
      <c r="F2382" s="4">
        <v>-0.5</v>
      </c>
      <c r="G2382" s="4">
        <v>-0.02328131613882611</v>
      </c>
      <c r="H2382" s="3">
        <v>0.91314362344928</v>
      </c>
      <c r="I2382" s="5">
        <v>748.773808</v>
      </c>
      <c r="J2382" s="6">
        <v>18.28552121223961</v>
      </c>
      <c r="K2382" s="4">
        <v>0.3970189667170783</v>
      </c>
      <c r="L2382" s="7">
        <v>0.028797674016118</v>
      </c>
      <c r="M2382" s="3">
        <v>55.24</v>
      </c>
      <c r="N2382" s="3">
        <v>41.63</v>
      </c>
    </row>
    <row r="2383" spans="1:14">
      <c r="A2383" s="8" t="s">
        <v>2395</v>
      </c>
      <c r="B2383" s="2">
        <f>HYPERLINK("https://www.suredividend.com/sure-analysis-research-database/","Regis Corp.")</f>
        <v>0</v>
      </c>
      <c r="C2383" s="1" t="s">
        <v>3182</v>
      </c>
      <c r="D2383" s="3">
        <v>4.225</v>
      </c>
      <c r="E2383" s="4">
        <v>0</v>
      </c>
      <c r="F2383" s="4" t="s">
        <v>3178</v>
      </c>
      <c r="G2383" s="4" t="s">
        <v>3178</v>
      </c>
      <c r="H2383" s="3">
        <v>0</v>
      </c>
      <c r="I2383" s="5">
        <v>9.63278</v>
      </c>
      <c r="J2383" s="6" t="s">
        <v>3178</v>
      </c>
      <c r="K2383" s="4">
        <v>-0</v>
      </c>
      <c r="L2383" s="7">
        <v>1.77111297460481</v>
      </c>
      <c r="M2383" s="3">
        <v>28</v>
      </c>
      <c r="N2383" s="3">
        <v>3.87</v>
      </c>
    </row>
    <row r="2384" spans="1:14">
      <c r="A2384" s="8" t="s">
        <v>2396</v>
      </c>
      <c r="B2384" s="2">
        <f>HYPERLINK("https://www.suredividend.com/sure-analysis-research-database/","RH")</f>
        <v>0</v>
      </c>
      <c r="C2384" s="1" t="s">
        <v>3182</v>
      </c>
      <c r="D2384" s="3">
        <v>268.51</v>
      </c>
      <c r="E2384" s="4">
        <v>0</v>
      </c>
      <c r="F2384" s="4" t="s">
        <v>3178</v>
      </c>
      <c r="G2384" s="4" t="s">
        <v>3178</v>
      </c>
      <c r="H2384" s="3">
        <v>0</v>
      </c>
      <c r="I2384" s="5">
        <v>4925.224422</v>
      </c>
      <c r="J2384" s="6">
        <v>38.61073856797924</v>
      </c>
      <c r="K2384" s="4">
        <v>0</v>
      </c>
      <c r="L2384" s="7">
        <v>2.369284870979147</v>
      </c>
      <c r="M2384" s="3">
        <v>406.38</v>
      </c>
      <c r="N2384" s="3">
        <v>207.26</v>
      </c>
    </row>
    <row r="2385" spans="1:14">
      <c r="A2385" s="8" t="s">
        <v>2397</v>
      </c>
      <c r="B2385" s="2">
        <f>HYPERLINK("https://www.suredividend.com/sure-analysis-research-database/","Regional Health Properties Inc")</f>
        <v>0</v>
      </c>
      <c r="C2385" s="1" t="s">
        <v>3176</v>
      </c>
      <c r="D2385" s="3">
        <v>2.65</v>
      </c>
      <c r="E2385" s="4">
        <v>0</v>
      </c>
      <c r="F2385" s="4" t="s">
        <v>3178</v>
      </c>
      <c r="G2385" s="4" t="s">
        <v>3178</v>
      </c>
      <c r="H2385" s="3">
        <v>0</v>
      </c>
      <c r="I2385" s="5">
        <v>4.873424</v>
      </c>
      <c r="J2385" s="6">
        <v>0</v>
      </c>
      <c r="K2385" s="4" t="s">
        <v>3178</v>
      </c>
      <c r="M2385" s="3">
        <v>3.78</v>
      </c>
      <c r="N2385" s="3">
        <v>1.35</v>
      </c>
    </row>
    <row r="2386" spans="1:14">
      <c r="A2386" s="8" t="s">
        <v>2398</v>
      </c>
      <c r="B2386" s="2">
        <f>HYPERLINK("https://www.suredividend.com/sure-analysis-RHI/","Robert Half Inc")</f>
        <v>0</v>
      </c>
      <c r="C2386" s="1" t="s">
        <v>3179</v>
      </c>
      <c r="D2386" s="3">
        <v>62.25</v>
      </c>
      <c r="E2386" s="4">
        <v>0.03405622489959839</v>
      </c>
      <c r="F2386" s="4">
        <v>0.1041666666666667</v>
      </c>
      <c r="G2386" s="4">
        <v>0.1132247034553722</v>
      </c>
      <c r="H2386" s="3">
        <v>1.999193036831103</v>
      </c>
      <c r="I2386" s="5">
        <v>6532.05491</v>
      </c>
      <c r="J2386" s="6">
        <v>18.51269097853997</v>
      </c>
      <c r="K2386" s="4">
        <v>0.5967740408451053</v>
      </c>
      <c r="L2386" s="7">
        <v>0.8736520957510691</v>
      </c>
      <c r="M2386" s="3">
        <v>87.11</v>
      </c>
      <c r="N2386" s="3">
        <v>62.06</v>
      </c>
    </row>
    <row r="2387" spans="1:14">
      <c r="A2387" s="8" t="s">
        <v>2399</v>
      </c>
      <c r="B2387" s="2">
        <f>HYPERLINK("https://www.suredividend.com/sure-analysis-research-database/","Ryman Hospitality Properties Inc")</f>
        <v>0</v>
      </c>
      <c r="C2387" s="1" t="s">
        <v>3183</v>
      </c>
      <c r="D2387" s="3">
        <v>101.35</v>
      </c>
      <c r="E2387" s="4">
        <v>0.040835156876844</v>
      </c>
      <c r="F2387" s="4" t="s">
        <v>3178</v>
      </c>
      <c r="G2387" s="4" t="s">
        <v>3178</v>
      </c>
      <c r="H2387" s="3">
        <v>4.138643149468185</v>
      </c>
      <c r="I2387" s="5">
        <v>6069.891331</v>
      </c>
      <c r="J2387" s="6">
        <v>20.71967629807511</v>
      </c>
      <c r="K2387" s="4">
        <v>0.8344038607798762</v>
      </c>
      <c r="L2387" s="7">
        <v>1.085441925272999</v>
      </c>
      <c r="M2387" s="3">
        <v>121.72</v>
      </c>
      <c r="N2387" s="3">
        <v>77.36</v>
      </c>
    </row>
    <row r="2388" spans="1:14">
      <c r="A2388" s="8" t="s">
        <v>2400</v>
      </c>
      <c r="B2388" s="2">
        <f>HYPERLINK("https://www.suredividend.com/sure-analysis-research-database/","RiceBran Technologies")</f>
        <v>0</v>
      </c>
      <c r="C2388" s="1" t="s">
        <v>3184</v>
      </c>
      <c r="D2388" s="3">
        <v>0.139</v>
      </c>
      <c r="E2388" s="4">
        <v>0</v>
      </c>
      <c r="F2388" s="4" t="s">
        <v>3178</v>
      </c>
      <c r="G2388" s="4" t="s">
        <v>3178</v>
      </c>
      <c r="H2388" s="3">
        <v>0</v>
      </c>
      <c r="I2388" s="5">
        <v>1.390556</v>
      </c>
      <c r="J2388" s="6">
        <v>0</v>
      </c>
      <c r="K2388" s="4" t="s">
        <v>3178</v>
      </c>
      <c r="M2388" s="3">
        <v>0.485</v>
      </c>
      <c r="N2388" s="3">
        <v>0.07000000000000001</v>
      </c>
    </row>
    <row r="2389" spans="1:14">
      <c r="A2389" s="8" t="s">
        <v>2401</v>
      </c>
      <c r="B2389" s="2">
        <f>HYPERLINK("https://www.suredividend.com/sure-analysis-research-database/","RCI Hospitality Holdings Inc")</f>
        <v>0</v>
      </c>
      <c r="C2389" s="1" t="s">
        <v>3182</v>
      </c>
      <c r="D2389" s="3">
        <v>45.23</v>
      </c>
      <c r="E2389" s="4">
        <v>0.005290324363903001</v>
      </c>
      <c r="F2389" s="4" t="s">
        <v>3178</v>
      </c>
      <c r="G2389" s="4" t="s">
        <v>3178</v>
      </c>
      <c r="H2389" s="3">
        <v>0.239281370979333</v>
      </c>
      <c r="I2389" s="5">
        <v>421.775042</v>
      </c>
      <c r="J2389" s="6">
        <v>21.88083844729197</v>
      </c>
      <c r="K2389" s="4">
        <v>0.1167226199899186</v>
      </c>
      <c r="L2389" s="7">
        <v>1.004090750339089</v>
      </c>
      <c r="M2389" s="3">
        <v>78.72</v>
      </c>
      <c r="N2389" s="3">
        <v>41.79</v>
      </c>
    </row>
    <row r="2390" spans="1:14">
      <c r="A2390" s="8" t="s">
        <v>2402</v>
      </c>
      <c r="B2390" s="2">
        <f>HYPERLINK("https://www.suredividend.com/sure-analysis-research-database/","Transocean Ltd")</f>
        <v>0</v>
      </c>
      <c r="C2390" s="1" t="s">
        <v>3185</v>
      </c>
      <c r="D2390" s="3">
        <v>5.4</v>
      </c>
      <c r="E2390" s="4">
        <v>0</v>
      </c>
      <c r="F2390" s="4" t="s">
        <v>3178</v>
      </c>
      <c r="G2390" s="4" t="s">
        <v>3178</v>
      </c>
      <c r="H2390" s="3">
        <v>0</v>
      </c>
      <c r="I2390" s="5">
        <v>4425.730191</v>
      </c>
      <c r="J2390" s="6" t="s">
        <v>3178</v>
      </c>
      <c r="K2390" s="4">
        <v>-0</v>
      </c>
      <c r="L2390" s="7">
        <v>1.160368647679148</v>
      </c>
      <c r="M2390" s="3">
        <v>8.880000000000001</v>
      </c>
      <c r="N2390" s="3">
        <v>4.45</v>
      </c>
    </row>
    <row r="2391" spans="1:14">
      <c r="A2391" s="8" t="s">
        <v>2403</v>
      </c>
      <c r="B2391" s="2">
        <f>HYPERLINK("https://www.suredividend.com/sure-analysis-research-database/","Rigel Pharmaceuticals")</f>
        <v>0</v>
      </c>
      <c r="C2391" s="1" t="s">
        <v>3176</v>
      </c>
      <c r="D2391" s="3">
        <v>0.9500000000000001</v>
      </c>
      <c r="E2391" s="4">
        <v>0</v>
      </c>
      <c r="F2391" s="4" t="s">
        <v>3178</v>
      </c>
      <c r="G2391" s="4" t="s">
        <v>3178</v>
      </c>
      <c r="H2391" s="3">
        <v>0</v>
      </c>
      <c r="I2391" s="5">
        <v>166.635839</v>
      </c>
      <c r="J2391" s="6" t="s">
        <v>3178</v>
      </c>
      <c r="K2391" s="4">
        <v>-0</v>
      </c>
      <c r="L2391" s="7">
        <v>1.941316733306808</v>
      </c>
      <c r="M2391" s="3">
        <v>1.77</v>
      </c>
      <c r="N2391" s="3">
        <v>0.712</v>
      </c>
    </row>
    <row r="2392" spans="1:14">
      <c r="A2392" s="8" t="s">
        <v>2404</v>
      </c>
      <c r="B2392" s="2">
        <f>HYPERLINK("https://www.suredividend.com/sure-analysis-research-database/","B. Riley Financial Inc")</f>
        <v>0</v>
      </c>
      <c r="C2392" s="1" t="s">
        <v>3180</v>
      </c>
      <c r="D2392" s="3">
        <v>22.52</v>
      </c>
      <c r="E2392" s="4">
        <v>0.124124835124369</v>
      </c>
      <c r="F2392" s="4">
        <v>-0.5</v>
      </c>
      <c r="G2392" s="4">
        <v>0.1075663432482898</v>
      </c>
      <c r="H2392" s="3">
        <v>2.795291287000796</v>
      </c>
      <c r="I2392" s="5">
        <v>682.250224</v>
      </c>
      <c r="J2392" s="6" t="s">
        <v>3178</v>
      </c>
      <c r="K2392" s="4" t="s">
        <v>3178</v>
      </c>
      <c r="L2392" s="7">
        <v>1.850974373166328</v>
      </c>
      <c r="M2392" s="3">
        <v>50.46</v>
      </c>
      <c r="N2392" s="3">
        <v>13.7</v>
      </c>
    </row>
    <row r="2393" spans="1:14">
      <c r="A2393" s="8" t="s">
        <v>2405</v>
      </c>
      <c r="B2393" s="2">
        <f>HYPERLINK("https://www.suredividend.com/sure-analysis-research-database/","Riot Platforms Inc")</f>
        <v>0</v>
      </c>
      <c r="C2393" s="1" t="s">
        <v>3181</v>
      </c>
      <c r="D2393" s="3">
        <v>9.720000000000001</v>
      </c>
      <c r="E2393" s="4">
        <v>0</v>
      </c>
      <c r="F2393" s="4" t="s">
        <v>3178</v>
      </c>
      <c r="G2393" s="4" t="s">
        <v>3178</v>
      </c>
      <c r="H2393" s="3">
        <v>0</v>
      </c>
      <c r="I2393" s="5">
        <v>2806.989675</v>
      </c>
      <c r="J2393" s="6">
        <v>0</v>
      </c>
      <c r="K2393" s="4" t="s">
        <v>3178</v>
      </c>
      <c r="L2393" s="7">
        <v>2.837029987282655</v>
      </c>
      <c r="M2393" s="3">
        <v>20.65</v>
      </c>
      <c r="N2393" s="3">
        <v>7.8</v>
      </c>
    </row>
    <row r="2394" spans="1:14">
      <c r="A2394" s="8" t="s">
        <v>2406</v>
      </c>
      <c r="B2394" s="2">
        <f>HYPERLINK("https://www.suredividend.com/sure-analysis-RJF/","Raymond James Financial, Inc.")</f>
        <v>0</v>
      </c>
      <c r="C2394" s="1" t="s">
        <v>3180</v>
      </c>
      <c r="D2394" s="3">
        <v>120.03</v>
      </c>
      <c r="E2394" s="4">
        <v>0.01499625093726568</v>
      </c>
      <c r="F2394" s="4">
        <v>0.0714285714285714</v>
      </c>
      <c r="G2394" s="4">
        <v>0.0576615571948691</v>
      </c>
      <c r="H2394" s="3">
        <v>1.730366056823697</v>
      </c>
      <c r="I2394" s="5">
        <v>24879.430463</v>
      </c>
      <c r="J2394" s="6">
        <v>14.11198551505388</v>
      </c>
      <c r="K2394" s="4">
        <v>0.2097413402210542</v>
      </c>
      <c r="L2394" s="7">
        <v>0.9545943227103971</v>
      </c>
      <c r="M2394" s="3">
        <v>131.19</v>
      </c>
      <c r="N2394" s="3">
        <v>90.98</v>
      </c>
    </row>
    <row r="2395" spans="1:14">
      <c r="A2395" s="8" t="s">
        <v>2407</v>
      </c>
      <c r="B2395" s="2">
        <f>HYPERLINK("https://www.suredividend.com/sure-analysis-research-database/","Arcadia Biosciences Inc")</f>
        <v>0</v>
      </c>
      <c r="C2395" s="1" t="s">
        <v>3177</v>
      </c>
      <c r="D2395" s="3">
        <v>2.9332</v>
      </c>
      <c r="E2395" s="4">
        <v>0</v>
      </c>
      <c r="F2395" s="4" t="s">
        <v>3178</v>
      </c>
      <c r="G2395" s="4" t="s">
        <v>3178</v>
      </c>
      <c r="H2395" s="3">
        <v>0</v>
      </c>
      <c r="I2395" s="5">
        <v>3.997482</v>
      </c>
      <c r="J2395" s="6" t="s">
        <v>3178</v>
      </c>
      <c r="K2395" s="4">
        <v>-0</v>
      </c>
      <c r="L2395" s="7">
        <v>0.329094978928284</v>
      </c>
      <c r="M2395" s="3">
        <v>5.6</v>
      </c>
      <c r="N2395" s="3">
        <v>1.85</v>
      </c>
    </row>
    <row r="2396" spans="1:14">
      <c r="A2396" s="8" t="s">
        <v>2408</v>
      </c>
      <c r="B2396" s="2">
        <f>HYPERLINK("https://www.suredividend.com/sure-analysis-RL/","Ralph Lauren Corp")</f>
        <v>0</v>
      </c>
      <c r="C2396" s="1" t="s">
        <v>3182</v>
      </c>
      <c r="D2396" s="3">
        <v>181.77</v>
      </c>
      <c r="E2396" s="4">
        <v>0.0181548110249216</v>
      </c>
      <c r="F2396" s="4" t="s">
        <v>3178</v>
      </c>
      <c r="G2396" s="4" t="s">
        <v>3178</v>
      </c>
      <c r="H2396" s="3">
        <v>2.978244376254401</v>
      </c>
      <c r="I2396" s="5">
        <v>12320.3706</v>
      </c>
      <c r="J2396" s="6">
        <v>11.42654931997524</v>
      </c>
      <c r="K2396" s="4">
        <v>0.3064037424130042</v>
      </c>
      <c r="L2396" s="7">
        <v>0.9812113587260121</v>
      </c>
      <c r="M2396" s="3">
        <v>191.24</v>
      </c>
      <c r="N2396" s="3">
        <v>107.6</v>
      </c>
    </row>
    <row r="2397" spans="1:14">
      <c r="A2397" s="8" t="s">
        <v>2409</v>
      </c>
      <c r="B2397" s="2">
        <f>HYPERLINK("https://www.suredividend.com/sure-analysis-research-database/","Radiant Logistics, Inc.")</f>
        <v>0</v>
      </c>
      <c r="C2397" s="1" t="s">
        <v>3179</v>
      </c>
      <c r="D2397" s="3">
        <v>5.34</v>
      </c>
      <c r="E2397" s="4">
        <v>0</v>
      </c>
      <c r="F2397" s="4" t="s">
        <v>3178</v>
      </c>
      <c r="G2397" s="4" t="s">
        <v>3178</v>
      </c>
      <c r="H2397" s="3">
        <v>0</v>
      </c>
      <c r="I2397" s="5">
        <v>250.991433</v>
      </c>
      <c r="J2397" s="6">
        <v>0</v>
      </c>
      <c r="K2397" s="4" t="s">
        <v>3178</v>
      </c>
      <c r="L2397" s="7">
        <v>1.014424500399565</v>
      </c>
      <c r="M2397" s="3">
        <v>7.76</v>
      </c>
      <c r="N2397" s="3">
        <v>4.83</v>
      </c>
    </row>
    <row r="2398" spans="1:14">
      <c r="A2398" s="8" t="s">
        <v>2410</v>
      </c>
      <c r="B2398" s="2">
        <f>HYPERLINK("https://www.suredividend.com/sure-analysis-research-database/","Red Lion Hotels Corporation")</f>
        <v>0</v>
      </c>
      <c r="C2398" s="1" t="s">
        <v>3182</v>
      </c>
      <c r="D2398" s="3">
        <v>3.49</v>
      </c>
      <c r="E2398" s="4">
        <v>0</v>
      </c>
      <c r="F2398" s="4" t="s">
        <v>3178</v>
      </c>
      <c r="G2398" s="4" t="s">
        <v>3178</v>
      </c>
      <c r="H2398" s="3">
        <v>0</v>
      </c>
      <c r="I2398" s="5">
        <v>88.99938</v>
      </c>
      <c r="J2398" s="6">
        <v>0</v>
      </c>
      <c r="K2398" s="4">
        <v>-0</v>
      </c>
      <c r="L2398" s="7">
        <v>1.138578444571625</v>
      </c>
    </row>
    <row r="2399" spans="1:14">
      <c r="A2399" s="8" t="s">
        <v>2411</v>
      </c>
      <c r="B2399" s="2">
        <f>HYPERLINK("https://www.suredividend.com/sure-analysis-RLI/","RLI Corp.")</f>
        <v>0</v>
      </c>
      <c r="C2399" s="1" t="s">
        <v>3180</v>
      </c>
      <c r="D2399" s="3">
        <v>142.29</v>
      </c>
      <c r="E2399" s="4">
        <v>0.008152364888607773</v>
      </c>
      <c r="F2399" s="4">
        <v>0.07407407407407396</v>
      </c>
      <c r="G2399" s="4">
        <v>0.03857377308425858</v>
      </c>
      <c r="H2399" s="3">
        <v>3.085738828752206</v>
      </c>
      <c r="I2399" s="5">
        <v>6504.058967</v>
      </c>
      <c r="J2399" s="6">
        <v>19.49073709166916</v>
      </c>
      <c r="K2399" s="4">
        <v>0.4262070205458848</v>
      </c>
      <c r="L2399" s="7">
        <v>0.330563412742272</v>
      </c>
      <c r="M2399" s="3">
        <v>148.9</v>
      </c>
      <c r="N2399" s="3">
        <v>123.86</v>
      </c>
    </row>
    <row r="2400" spans="1:14">
      <c r="A2400" s="8" t="s">
        <v>2412</v>
      </c>
      <c r="B2400" s="2">
        <f>HYPERLINK("https://www.suredividend.com/sure-analysis-research-database/","RLJ Lodging Trust")</f>
        <v>0</v>
      </c>
      <c r="C2400" s="1" t="s">
        <v>3183</v>
      </c>
      <c r="D2400" s="3">
        <v>9.720000000000001</v>
      </c>
      <c r="E2400" s="4">
        <v>0.038610129989924</v>
      </c>
      <c r="F2400" s="4">
        <v>0.25</v>
      </c>
      <c r="G2400" s="4">
        <v>-0.2124154064688504</v>
      </c>
      <c r="H2400" s="3">
        <v>0.375290463502066</v>
      </c>
      <c r="I2400" s="5">
        <v>1515.353851</v>
      </c>
      <c r="J2400" s="6">
        <v>33.93697597957538</v>
      </c>
      <c r="K2400" s="4">
        <v>1.295445162243928</v>
      </c>
      <c r="L2400" s="7">
        <v>1.019580488948819</v>
      </c>
      <c r="M2400" s="3">
        <v>12.28</v>
      </c>
      <c r="N2400" s="3">
        <v>8.91</v>
      </c>
    </row>
    <row r="2401" spans="1:14">
      <c r="A2401" s="8" t="s">
        <v>2413</v>
      </c>
      <c r="B2401" s="2">
        <f>HYPERLINK("https://www.suredividend.com/sure-analysis-research-database/","Regional Management Corp")</f>
        <v>0</v>
      </c>
      <c r="C2401" s="1" t="s">
        <v>3180</v>
      </c>
      <c r="D2401" s="3">
        <v>27.89</v>
      </c>
      <c r="E2401" s="4">
        <v>0.042273830936904</v>
      </c>
      <c r="F2401" s="4" t="s">
        <v>3178</v>
      </c>
      <c r="G2401" s="4" t="s">
        <v>3178</v>
      </c>
      <c r="H2401" s="3">
        <v>1.179017144830257</v>
      </c>
      <c r="I2401" s="5">
        <v>276.005018</v>
      </c>
      <c r="J2401" s="6">
        <v>0</v>
      </c>
      <c r="K2401" s="4" t="s">
        <v>3178</v>
      </c>
      <c r="L2401" s="7">
        <v>1.016010508954295</v>
      </c>
      <c r="M2401" s="3">
        <v>32.99</v>
      </c>
      <c r="N2401" s="3">
        <v>20.02</v>
      </c>
    </row>
    <row r="2402" spans="1:14">
      <c r="A2402" s="8" t="s">
        <v>2414</v>
      </c>
      <c r="B2402" s="2">
        <f>HYPERLINK("https://www.suredividend.com/sure-analysis-research-database/","RE/MAX Holdings Inc")</f>
        <v>0</v>
      </c>
      <c r="C2402" s="1" t="s">
        <v>3183</v>
      </c>
      <c r="D2402" s="3">
        <v>8.56</v>
      </c>
      <c r="E2402" s="4">
        <v>0.026869159365925</v>
      </c>
      <c r="F2402" s="4" t="s">
        <v>3178</v>
      </c>
      <c r="G2402" s="4" t="s">
        <v>3178</v>
      </c>
      <c r="H2402" s="3">
        <v>0.230000004172325</v>
      </c>
      <c r="I2402" s="5">
        <v>161.380464</v>
      </c>
      <c r="J2402" s="6" t="s">
        <v>3178</v>
      </c>
      <c r="K2402" s="4" t="s">
        <v>3178</v>
      </c>
      <c r="L2402" s="7">
        <v>1.778097178521721</v>
      </c>
      <c r="M2402" s="3">
        <v>20.23</v>
      </c>
      <c r="N2402" s="3">
        <v>6.94</v>
      </c>
    </row>
    <row r="2403" spans="1:14">
      <c r="A2403" s="8" t="s">
        <v>2415</v>
      </c>
      <c r="B2403" s="2">
        <f>HYPERLINK("https://www.suredividend.com/sure-analysis-research-database/","Rambus Inc.")</f>
        <v>0</v>
      </c>
      <c r="C2403" s="1" t="s">
        <v>3181</v>
      </c>
      <c r="D2403" s="3">
        <v>55.57</v>
      </c>
      <c r="E2403" s="4">
        <v>0</v>
      </c>
      <c r="F2403" s="4" t="s">
        <v>3178</v>
      </c>
      <c r="G2403" s="4" t="s">
        <v>3178</v>
      </c>
      <c r="H2403" s="3">
        <v>0</v>
      </c>
      <c r="I2403" s="5">
        <v>5989.375944</v>
      </c>
      <c r="J2403" s="6">
        <v>16.47601086066555</v>
      </c>
      <c r="K2403" s="4">
        <v>0</v>
      </c>
      <c r="L2403" s="7">
        <v>2.489098009799534</v>
      </c>
      <c r="M2403" s="3">
        <v>76.38</v>
      </c>
      <c r="N2403" s="3">
        <v>48.13</v>
      </c>
    </row>
    <row r="2404" spans="1:14">
      <c r="A2404" s="8" t="s">
        <v>2416</v>
      </c>
      <c r="B2404" s="2">
        <f>HYPERLINK("https://www.suredividend.com/sure-analysis-research-database/","Rocky Mountain Chocolate Factory Inc")</f>
        <v>0</v>
      </c>
      <c r="C2404" s="1" t="s">
        <v>3184</v>
      </c>
      <c r="D2404" s="3">
        <v>2.77</v>
      </c>
      <c r="E2404" s="4">
        <v>0</v>
      </c>
      <c r="F2404" s="4" t="s">
        <v>3178</v>
      </c>
      <c r="G2404" s="4" t="s">
        <v>3178</v>
      </c>
      <c r="H2404" s="3">
        <v>0</v>
      </c>
      <c r="I2404" s="5">
        <v>17.493267</v>
      </c>
      <c r="J2404" s="6">
        <v>0</v>
      </c>
      <c r="K2404" s="4" t="s">
        <v>3178</v>
      </c>
      <c r="L2404" s="7">
        <v>0.469903061824532</v>
      </c>
      <c r="M2404" s="3">
        <v>5.99</v>
      </c>
      <c r="N2404" s="3">
        <v>2.7</v>
      </c>
    </row>
    <row r="2405" spans="1:14">
      <c r="A2405" s="8" t="s">
        <v>2417</v>
      </c>
      <c r="B2405" s="2">
        <f>HYPERLINK("https://www.suredividend.com/sure-analysis-RMD/","Resmed Inc.")</f>
        <v>0</v>
      </c>
      <c r="C2405" s="1" t="s">
        <v>3176</v>
      </c>
      <c r="D2405" s="3">
        <v>210.91</v>
      </c>
      <c r="E2405" s="4">
        <v>0.009103409037030013</v>
      </c>
      <c r="F2405" s="4">
        <v>0.09090909090909083</v>
      </c>
      <c r="G2405" s="4">
        <v>0.0424022162772979</v>
      </c>
      <c r="H2405" s="3">
        <v>1.912865678374604</v>
      </c>
      <c r="I2405" s="5">
        <v>30984.199028</v>
      </c>
      <c r="J2405" s="6">
        <v>32.32983126529407</v>
      </c>
      <c r="K2405" s="4">
        <v>0.294740474325825</v>
      </c>
      <c r="L2405" s="7">
        <v>1.228006544000091</v>
      </c>
      <c r="M2405" s="3">
        <v>227.55</v>
      </c>
      <c r="N2405" s="3">
        <v>131.19</v>
      </c>
    </row>
    <row r="2406" spans="1:14">
      <c r="A2406" s="8" t="s">
        <v>2418</v>
      </c>
      <c r="B2406" s="2">
        <f>HYPERLINK("https://www.suredividend.com/sure-analysis-research-database/","RMR Group Inc (The)")</f>
        <v>0</v>
      </c>
      <c r="C2406" s="1" t="s">
        <v>3183</v>
      </c>
      <c r="D2406" s="3">
        <v>23.04</v>
      </c>
      <c r="E2406" s="4">
        <v>0.06855455570150301</v>
      </c>
      <c r="F2406" s="4">
        <v>0.125</v>
      </c>
      <c r="G2406" s="4">
        <v>0.03439350143683439</v>
      </c>
      <c r="H2406" s="3">
        <v>1.579496963362646</v>
      </c>
      <c r="I2406" s="5">
        <v>362.433692</v>
      </c>
      <c r="J2406" s="6">
        <v>8.019154176475794</v>
      </c>
      <c r="K2406" s="4">
        <v>0.4449287220739848</v>
      </c>
      <c r="L2406" s="7">
        <v>0.8793485309908271</v>
      </c>
      <c r="M2406" s="3">
        <v>27.3</v>
      </c>
      <c r="N2406" s="3">
        <v>20.22</v>
      </c>
    </row>
    <row r="2407" spans="1:14">
      <c r="A2407" s="8" t="s">
        <v>2419</v>
      </c>
      <c r="B2407" s="2">
        <f>HYPERLINK("https://www.suredividend.com/sure-analysis-research-database/","Rockwell Medical Inc")</f>
        <v>0</v>
      </c>
      <c r="C2407" s="1" t="s">
        <v>3176</v>
      </c>
      <c r="D2407" s="3">
        <v>1.89</v>
      </c>
      <c r="E2407" s="4">
        <v>0</v>
      </c>
      <c r="F2407" s="4" t="s">
        <v>3178</v>
      </c>
      <c r="G2407" s="4" t="s">
        <v>3178</v>
      </c>
      <c r="H2407" s="3">
        <v>0</v>
      </c>
      <c r="I2407" s="5">
        <v>57.296643</v>
      </c>
      <c r="J2407" s="6" t="s">
        <v>3178</v>
      </c>
      <c r="K2407" s="4">
        <v>-0</v>
      </c>
      <c r="L2407" s="7">
        <v>1.687875722795402</v>
      </c>
      <c r="M2407" s="3">
        <v>6.24</v>
      </c>
      <c r="N2407" s="3">
        <v>1.16</v>
      </c>
    </row>
    <row r="2408" spans="1:14">
      <c r="A2408" s="8" t="s">
        <v>2420</v>
      </c>
      <c r="B2408" s="2">
        <f>HYPERLINK("https://www.suredividend.com/sure-analysis-research-database/","Randolph Bancorp Inc")</f>
        <v>0</v>
      </c>
      <c r="C2408" s="1" t="s">
        <v>3180</v>
      </c>
      <c r="D2408" s="3">
        <v>26.99</v>
      </c>
      <c r="E2408" s="4">
        <v>0</v>
      </c>
      <c r="F2408" s="4" t="s">
        <v>3178</v>
      </c>
      <c r="G2408" s="4" t="s">
        <v>3178</v>
      </c>
      <c r="H2408" s="3">
        <v>0.150000005960464</v>
      </c>
      <c r="I2408" s="5">
        <v>0</v>
      </c>
      <c r="J2408" s="6">
        <v>0</v>
      </c>
      <c r="K2408" s="4" t="s">
        <v>3178</v>
      </c>
    </row>
    <row r="2409" spans="1:14">
      <c r="A2409" s="8" t="s">
        <v>2421</v>
      </c>
      <c r="B2409" s="2">
        <f>HYPERLINK("https://www.suredividend.com/sure-analysis-research-database/","RigNet Inc")</f>
        <v>0</v>
      </c>
      <c r="C2409" s="1" t="s">
        <v>3185</v>
      </c>
      <c r="D2409" s="3">
        <v>9.6</v>
      </c>
      <c r="E2409" s="4">
        <v>0</v>
      </c>
      <c r="F2409" s="4" t="s">
        <v>3178</v>
      </c>
      <c r="G2409" s="4" t="s">
        <v>3178</v>
      </c>
      <c r="H2409" s="3">
        <v>0</v>
      </c>
      <c r="I2409" s="5">
        <v>0</v>
      </c>
      <c r="J2409" s="6">
        <v>0</v>
      </c>
      <c r="K2409" s="4" t="s">
        <v>3178</v>
      </c>
    </row>
    <row r="2410" spans="1:14">
      <c r="A2410" s="8" t="s">
        <v>2422</v>
      </c>
      <c r="B2410" s="2">
        <f>HYPERLINK("https://www.suredividend.com/sure-analysis-research-database/","RingCentral Inc.")</f>
        <v>0</v>
      </c>
      <c r="C2410" s="1" t="s">
        <v>3181</v>
      </c>
      <c r="D2410" s="3">
        <v>34.29</v>
      </c>
      <c r="E2410" s="4">
        <v>0</v>
      </c>
      <c r="F2410" s="4" t="s">
        <v>3178</v>
      </c>
      <c r="G2410" s="4" t="s">
        <v>3178</v>
      </c>
      <c r="H2410" s="3">
        <v>0</v>
      </c>
      <c r="I2410" s="5">
        <v>2820.340533</v>
      </c>
      <c r="J2410" s="6" t="s">
        <v>3178</v>
      </c>
      <c r="K2410" s="4">
        <v>-0</v>
      </c>
      <c r="L2410" s="7">
        <v>2.293519879234561</v>
      </c>
      <c r="M2410" s="3">
        <v>43.28</v>
      </c>
      <c r="N2410" s="3">
        <v>25.08</v>
      </c>
    </row>
    <row r="2411" spans="1:14">
      <c r="A2411" s="8" t="s">
        <v>2423</v>
      </c>
      <c r="B2411" s="2">
        <f>HYPERLINK("https://www.suredividend.com/sure-analysis-RNR/","RenaissanceRe Holdings Ltd")</f>
        <v>0</v>
      </c>
      <c r="C2411" s="1" t="s">
        <v>3180</v>
      </c>
      <c r="D2411" s="3">
        <v>227.94</v>
      </c>
      <c r="E2411" s="4">
        <v>0.006843906291129245</v>
      </c>
      <c r="F2411" s="4">
        <v>0.02631578947368429</v>
      </c>
      <c r="G2411" s="4">
        <v>0.02782017460330755</v>
      </c>
      <c r="H2411" s="3">
        <v>1.52596768960956</v>
      </c>
      <c r="I2411" s="5">
        <v>12053.247922</v>
      </c>
      <c r="J2411" s="6">
        <v>5.257077225377557</v>
      </c>
      <c r="K2411" s="4">
        <v>0.03315159004148512</v>
      </c>
      <c r="L2411" s="7">
        <v>0.144590243870884</v>
      </c>
      <c r="M2411" s="3">
        <v>239.42</v>
      </c>
      <c r="N2411" s="3">
        <v>173.27</v>
      </c>
    </row>
    <row r="2412" spans="1:14">
      <c r="A2412" s="8" t="s">
        <v>2424</v>
      </c>
      <c r="B2412" s="2">
        <f>HYPERLINK("https://www.suredividend.com/sure-analysis-research-database/","Renasant Corp.")</f>
        <v>0</v>
      </c>
      <c r="C2412" s="1" t="s">
        <v>3180</v>
      </c>
      <c r="D2412" s="3">
        <v>29.26</v>
      </c>
      <c r="E2412" s="4">
        <v>0.014982763687441</v>
      </c>
      <c r="F2412" s="4">
        <v>0</v>
      </c>
      <c r="G2412" s="4">
        <v>0</v>
      </c>
      <c r="H2412" s="3">
        <v>0.438395665494543</v>
      </c>
      <c r="I2412" s="5">
        <v>1648.421322</v>
      </c>
      <c r="J2412" s="6">
        <v>11.94430306893029</v>
      </c>
      <c r="K2412" s="4">
        <v>0.1796703547108783</v>
      </c>
      <c r="L2412" s="7">
        <v>1.150724898219773</v>
      </c>
      <c r="M2412" s="3">
        <v>34.6</v>
      </c>
      <c r="N2412" s="3">
        <v>22.53</v>
      </c>
    </row>
    <row r="2413" spans="1:14">
      <c r="A2413" s="8" t="s">
        <v>2425</v>
      </c>
      <c r="B2413" s="2">
        <f>HYPERLINK("https://www.suredividend.com/sure-analysis-research-database/","Realnetworks, Inc.")</f>
        <v>0</v>
      </c>
      <c r="C2413" s="1" t="s">
        <v>3187</v>
      </c>
      <c r="D2413" s="3">
        <v>0.73</v>
      </c>
      <c r="E2413" s="4">
        <v>0</v>
      </c>
      <c r="F2413" s="4" t="s">
        <v>3178</v>
      </c>
      <c r="G2413" s="4" t="s">
        <v>3178</v>
      </c>
      <c r="H2413" s="3">
        <v>0</v>
      </c>
      <c r="I2413" s="5">
        <v>0</v>
      </c>
      <c r="J2413" s="6">
        <v>0</v>
      </c>
      <c r="K2413" s="4">
        <v>-0</v>
      </c>
    </row>
    <row r="2414" spans="1:14">
      <c r="A2414" s="8" t="s">
        <v>2426</v>
      </c>
      <c r="B2414" s="2">
        <f>HYPERLINK("https://www.suredividend.com/sure-analysis-research-database/","Construction Partners Inc")</f>
        <v>0</v>
      </c>
      <c r="C2414" s="1" t="s">
        <v>3179</v>
      </c>
      <c r="D2414" s="3">
        <v>53.57</v>
      </c>
      <c r="E2414" s="4">
        <v>0</v>
      </c>
      <c r="F2414" s="4" t="s">
        <v>3178</v>
      </c>
      <c r="G2414" s="4" t="s">
        <v>3178</v>
      </c>
      <c r="H2414" s="3">
        <v>0</v>
      </c>
      <c r="I2414" s="5">
        <v>2347.911762</v>
      </c>
      <c r="J2414" s="6">
        <v>41.22615118608653</v>
      </c>
      <c r="K2414" s="4">
        <v>0</v>
      </c>
      <c r="L2414" s="7">
        <v>1.154530563915854</v>
      </c>
      <c r="M2414" s="3">
        <v>62.35</v>
      </c>
      <c r="N2414" s="3">
        <v>27.96</v>
      </c>
    </row>
    <row r="2415" spans="1:14">
      <c r="A2415" s="8" t="s">
        <v>2427</v>
      </c>
      <c r="B2415" s="2">
        <f>HYPERLINK("https://www.suredividend.com/sure-analysis-research-database/","Gibraltar Industries Inc.")</f>
        <v>0</v>
      </c>
      <c r="C2415" s="1" t="s">
        <v>3179</v>
      </c>
      <c r="D2415" s="3">
        <v>70.04000000000001</v>
      </c>
      <c r="E2415" s="4">
        <v>0</v>
      </c>
      <c r="F2415" s="4" t="s">
        <v>3178</v>
      </c>
      <c r="G2415" s="4" t="s">
        <v>3178</v>
      </c>
      <c r="H2415" s="3">
        <v>0</v>
      </c>
      <c r="I2415" s="5">
        <v>2134.099819</v>
      </c>
      <c r="J2415" s="6">
        <v>18.65798058366848</v>
      </c>
      <c r="K2415" s="4">
        <v>0</v>
      </c>
      <c r="L2415" s="7">
        <v>1.115332842066031</v>
      </c>
      <c r="M2415" s="3">
        <v>87.40000000000001</v>
      </c>
      <c r="N2415" s="3">
        <v>56.09</v>
      </c>
    </row>
    <row r="2416" spans="1:14">
      <c r="A2416" s="8" t="s">
        <v>2428</v>
      </c>
      <c r="B2416" s="2">
        <f>HYPERLINK("https://www.suredividend.com/sure-analysis-research-database/","Rogers Corp.")</f>
        <v>0</v>
      </c>
      <c r="C2416" s="1" t="s">
        <v>3181</v>
      </c>
      <c r="D2416" s="3">
        <v>118.26</v>
      </c>
      <c r="E2416" s="4">
        <v>0</v>
      </c>
      <c r="F2416" s="4" t="s">
        <v>3178</v>
      </c>
      <c r="G2416" s="4" t="s">
        <v>3178</v>
      </c>
      <c r="H2416" s="3">
        <v>0</v>
      </c>
      <c r="I2416" s="5">
        <v>2206.330344</v>
      </c>
      <c r="J2416" s="6">
        <v>32.49142690258449</v>
      </c>
      <c r="K2416" s="4">
        <v>0</v>
      </c>
      <c r="L2416" s="7">
        <v>1.035483962334926</v>
      </c>
      <c r="M2416" s="3">
        <v>173.16</v>
      </c>
      <c r="N2416" s="3">
        <v>105.48</v>
      </c>
    </row>
    <row r="2417" spans="1:14">
      <c r="A2417" s="8" t="s">
        <v>2429</v>
      </c>
      <c r="B2417" s="2">
        <f>HYPERLINK("https://www.suredividend.com/sure-analysis-research-database/","Retail Opportunity Investments Corp")</f>
        <v>0</v>
      </c>
      <c r="C2417" s="1" t="s">
        <v>3183</v>
      </c>
      <c r="D2417" s="3">
        <v>12.51</v>
      </c>
      <c r="E2417" s="4">
        <v>0.04679475025849</v>
      </c>
      <c r="F2417" s="4" t="s">
        <v>3178</v>
      </c>
      <c r="G2417" s="4" t="s">
        <v>3178</v>
      </c>
      <c r="H2417" s="3">
        <v>0.5854023257337201</v>
      </c>
      <c r="I2417" s="5">
        <v>1594.453969</v>
      </c>
      <c r="J2417" s="6">
        <v>43.15750354689403</v>
      </c>
      <c r="K2417" s="4">
        <v>2.110318405673107</v>
      </c>
      <c r="L2417" s="7">
        <v>0.9534791953303851</v>
      </c>
      <c r="M2417" s="3">
        <v>14.46</v>
      </c>
      <c r="N2417" s="3">
        <v>10.63</v>
      </c>
    </row>
    <row r="2418" spans="1:14">
      <c r="A2418" s="8" t="s">
        <v>2430</v>
      </c>
      <c r="B2418" s="2">
        <f>HYPERLINK("https://www.suredividend.com/sure-analysis-ROK/","Rockwell Automation Inc")</f>
        <v>0</v>
      </c>
      <c r="C2418" s="1" t="s">
        <v>3179</v>
      </c>
      <c r="D2418" s="3">
        <v>255.91</v>
      </c>
      <c r="E2418" s="4">
        <v>0.01953811886991521</v>
      </c>
      <c r="F2418" s="4">
        <v>0.05932203389830515</v>
      </c>
      <c r="G2418" s="4">
        <v>0.04150646053276974</v>
      </c>
      <c r="H2418" s="3">
        <v>4.896564024662084</v>
      </c>
      <c r="I2418" s="5">
        <v>29174.55277</v>
      </c>
      <c r="J2418" s="6">
        <v>24.74097080237449</v>
      </c>
      <c r="K2418" s="4">
        <v>0.4786475097421392</v>
      </c>
      <c r="L2418" s="7">
        <v>1.353050891957673</v>
      </c>
      <c r="M2418" s="3">
        <v>342.33</v>
      </c>
      <c r="N2418" s="3">
        <v>248.69</v>
      </c>
    </row>
    <row r="2419" spans="1:14">
      <c r="A2419" s="8" t="s">
        <v>2431</v>
      </c>
      <c r="B2419" s="2">
        <f>HYPERLINK("https://www.suredividend.com/sure-analysis-research-database/","Roku Inc")</f>
        <v>0</v>
      </c>
      <c r="C2419" s="1" t="s">
        <v>3187</v>
      </c>
      <c r="D2419" s="3">
        <v>57.35</v>
      </c>
      <c r="E2419" s="4">
        <v>0</v>
      </c>
      <c r="F2419" s="4" t="s">
        <v>3178</v>
      </c>
      <c r="G2419" s="4" t="s">
        <v>3178</v>
      </c>
      <c r="H2419" s="3">
        <v>0</v>
      </c>
      <c r="I2419" s="5">
        <v>7274.117779</v>
      </c>
      <c r="J2419" s="6" t="s">
        <v>3178</v>
      </c>
      <c r="K2419" s="4">
        <v>-0</v>
      </c>
      <c r="L2419" s="7">
        <v>2.635598758869462</v>
      </c>
      <c r="M2419" s="3">
        <v>108.84</v>
      </c>
      <c r="N2419" s="3">
        <v>55.01</v>
      </c>
    </row>
    <row r="2420" spans="1:14">
      <c r="A2420" s="8" t="s">
        <v>2432</v>
      </c>
      <c r="B2420" s="2">
        <f>HYPERLINK("https://www.suredividend.com/sure-analysis-ROL/","Rollins, Inc.")</f>
        <v>0</v>
      </c>
      <c r="C2420" s="1" t="s">
        <v>3182</v>
      </c>
      <c r="D2420" s="3">
        <v>46.57</v>
      </c>
      <c r="E2420" s="4">
        <v>0.01288383079235559</v>
      </c>
      <c r="F2420" s="4">
        <v>0.1538461538461537</v>
      </c>
      <c r="G2420" s="4">
        <v>0.04563955259127317</v>
      </c>
      <c r="H2420" s="3">
        <v>0.5770885259732821</v>
      </c>
      <c r="I2420" s="5">
        <v>22550.609542</v>
      </c>
      <c r="J2420" s="6">
        <v>51.12160615374152</v>
      </c>
      <c r="K2420" s="4">
        <v>0.6384428874579954</v>
      </c>
      <c r="L2420" s="7">
        <v>0.647493088143538</v>
      </c>
      <c r="M2420" s="3">
        <v>47.67</v>
      </c>
      <c r="N2420" s="3">
        <v>31.84</v>
      </c>
    </row>
    <row r="2421" spans="1:14">
      <c r="A2421" s="8" t="s">
        <v>2433</v>
      </c>
      <c r="B2421" s="2">
        <f>HYPERLINK("https://www.suredividend.com/sure-analysis-research-database/","RBC Bearings Inc.")</f>
        <v>0</v>
      </c>
      <c r="C2421" s="1" t="s">
        <v>3179</v>
      </c>
      <c r="D2421" s="3">
        <v>208.32</v>
      </c>
      <c r="E2421" s="4">
        <v>0</v>
      </c>
      <c r="F2421" s="4" t="s">
        <v>3178</v>
      </c>
      <c r="G2421" s="4" t="s">
        <v>3178</v>
      </c>
      <c r="H2421" s="3">
        <v>0</v>
      </c>
      <c r="I2421" s="5">
        <v>6269.891645</v>
      </c>
      <c r="J2421" s="6">
        <v>0</v>
      </c>
      <c r="K2421" s="4" t="s">
        <v>3178</v>
      </c>
    </row>
    <row r="2422" spans="1:14">
      <c r="A2422" s="8" t="s">
        <v>2434</v>
      </c>
      <c r="B2422" s="2">
        <f>HYPERLINK("https://www.suredividend.com/sure-analysis-ROP/","Roper Technologies Inc")</f>
        <v>0</v>
      </c>
      <c r="C2422" s="1" t="s">
        <v>3179</v>
      </c>
      <c r="D2422" s="3">
        <v>554.03</v>
      </c>
      <c r="E2422" s="4">
        <v>0.005414869230908074</v>
      </c>
      <c r="F2422" s="4">
        <v>0.09890109890109899</v>
      </c>
      <c r="G2422" s="4">
        <v>0.1015137056700961</v>
      </c>
      <c r="H2422" s="3">
        <v>0.6777087088972771</v>
      </c>
      <c r="I2422" s="5">
        <v>59305.882064</v>
      </c>
      <c r="J2422" s="6">
        <v>39.98778373943766</v>
      </c>
      <c r="K2422" s="4">
        <v>0.04918060296787207</v>
      </c>
      <c r="L2422" s="7">
        <v>0.7689523425704961</v>
      </c>
      <c r="M2422" s="3">
        <v>564.22</v>
      </c>
      <c r="N2422" s="3">
        <v>444.35</v>
      </c>
    </row>
    <row r="2423" spans="1:14">
      <c r="A2423" s="8" t="s">
        <v>2435</v>
      </c>
      <c r="B2423" s="2">
        <f>HYPERLINK("https://www.suredividend.com/sure-analysis-ROST/","Ross Stores, Inc.")</f>
        <v>0</v>
      </c>
      <c r="C2423" s="1" t="s">
        <v>3182</v>
      </c>
      <c r="D2423" s="3">
        <v>144.275</v>
      </c>
      <c r="E2423" s="4">
        <v>0.01018887541154046</v>
      </c>
      <c r="F2423" s="4" t="s">
        <v>3178</v>
      </c>
      <c r="G2423" s="4" t="s">
        <v>3178</v>
      </c>
      <c r="H2423" s="3">
        <v>1.033311138634806</v>
      </c>
      <c r="I2423" s="5">
        <v>48376.429977</v>
      </c>
      <c r="J2423" s="6">
        <v>25.80736934091127</v>
      </c>
      <c r="K2423" s="4">
        <v>0.185847327092591</v>
      </c>
      <c r="L2423" s="7">
        <v>0.8816320820528991</v>
      </c>
      <c r="M2423" s="3">
        <v>150.37</v>
      </c>
      <c r="N2423" s="3">
        <v>102.79</v>
      </c>
    </row>
    <row r="2424" spans="1:14">
      <c r="A2424" s="8" t="s">
        <v>2436</v>
      </c>
      <c r="B2424" s="2">
        <f>HYPERLINK("https://www.suredividend.com/sure-analysis-research-database/","RealPage Inc.")</f>
        <v>0</v>
      </c>
      <c r="C2424" s="1" t="s">
        <v>3181</v>
      </c>
      <c r="D2424" s="3">
        <v>88.72</v>
      </c>
      <c r="E2424" s="4">
        <v>0</v>
      </c>
      <c r="F2424" s="4" t="s">
        <v>3178</v>
      </c>
      <c r="G2424" s="4" t="s">
        <v>3178</v>
      </c>
      <c r="H2424" s="3">
        <v>0</v>
      </c>
      <c r="I2424" s="5">
        <v>0</v>
      </c>
      <c r="J2424" s="6">
        <v>0</v>
      </c>
      <c r="K2424" s="4">
        <v>0</v>
      </c>
    </row>
    <row r="2425" spans="1:14">
      <c r="A2425" s="8" t="s">
        <v>2437</v>
      </c>
      <c r="B2425" s="2">
        <f>HYPERLINK("https://www.suredividend.com/sure-analysis-research-database/","Retail Properties of America Inc")</f>
        <v>0</v>
      </c>
      <c r="C2425" s="1" t="s">
        <v>3183</v>
      </c>
      <c r="D2425" s="3">
        <v>13.15</v>
      </c>
      <c r="E2425" s="4">
        <v>0.021110549336365</v>
      </c>
      <c r="F2425" s="4" t="s">
        <v>3178</v>
      </c>
      <c r="G2425" s="4" t="s">
        <v>3178</v>
      </c>
      <c r="H2425" s="3">
        <v>0.277603723773209</v>
      </c>
      <c r="I2425" s="5">
        <v>2824.591977</v>
      </c>
      <c r="J2425" s="6">
        <v>144.7321160765526</v>
      </c>
      <c r="K2425" s="4">
        <v>3.040566525445882</v>
      </c>
      <c r="L2425" s="7">
        <v>1.391233007611826</v>
      </c>
      <c r="M2425" s="3">
        <v>14.07</v>
      </c>
      <c r="N2425" s="3">
        <v>5.01</v>
      </c>
    </row>
    <row r="2426" spans="1:14">
      <c r="A2426" s="8" t="s">
        <v>2438</v>
      </c>
      <c r="B2426" s="2">
        <f>HYPERLINK("https://www.suredividend.com/sure-analysis-research-database/","Rapid7 Inc")</f>
        <v>0</v>
      </c>
      <c r="C2426" s="1" t="s">
        <v>3181</v>
      </c>
      <c r="D2426" s="3">
        <v>37.64</v>
      </c>
      <c r="E2426" s="4">
        <v>0</v>
      </c>
      <c r="F2426" s="4" t="s">
        <v>3178</v>
      </c>
      <c r="G2426" s="4" t="s">
        <v>3178</v>
      </c>
      <c r="H2426" s="3">
        <v>0</v>
      </c>
      <c r="I2426" s="5">
        <v>2345.895949</v>
      </c>
      <c r="J2426" s="6" t="s">
        <v>3178</v>
      </c>
      <c r="K2426" s="4">
        <v>-0</v>
      </c>
      <c r="L2426" s="7">
        <v>1.553965462997613</v>
      </c>
      <c r="M2426" s="3">
        <v>61.88</v>
      </c>
      <c r="N2426" s="3">
        <v>35.08</v>
      </c>
    </row>
    <row r="2427" spans="1:14">
      <c r="A2427" s="8" t="s">
        <v>2439</v>
      </c>
      <c r="B2427" s="2">
        <f>HYPERLINK("https://www.suredividend.com/sure-analysis-RPM/","RPM International, Inc.")</f>
        <v>0</v>
      </c>
      <c r="C2427" s="1" t="s">
        <v>3177</v>
      </c>
      <c r="D2427" s="3">
        <v>108.14</v>
      </c>
      <c r="E2427" s="4">
        <v>0.01701498058072869</v>
      </c>
      <c r="F2427" s="4">
        <v>0.09523809523809534</v>
      </c>
      <c r="G2427" s="4">
        <v>0.05618004403862731</v>
      </c>
      <c r="H2427" s="3">
        <v>1.788547422226656</v>
      </c>
      <c r="I2427" s="5">
        <v>13924.428982</v>
      </c>
      <c r="J2427" s="6">
        <v>24.98130403560139</v>
      </c>
      <c r="K2427" s="4">
        <v>0.4140156069969111</v>
      </c>
      <c r="L2427" s="7">
        <v>0.986228128213631</v>
      </c>
      <c r="M2427" s="3">
        <v>120.22</v>
      </c>
      <c r="N2427" s="3">
        <v>80.54000000000001</v>
      </c>
    </row>
    <row r="2428" spans="1:14">
      <c r="A2428" s="8" t="s">
        <v>2440</v>
      </c>
      <c r="B2428" s="2">
        <f>HYPERLINK("https://www.suredividend.com/sure-analysis-research-database/","RPT Realty")</f>
        <v>0</v>
      </c>
      <c r="C2428" s="1" t="s">
        <v>3183</v>
      </c>
      <c r="D2428" s="3">
        <v>12.83</v>
      </c>
      <c r="E2428" s="4">
        <v>0.04286467803694601</v>
      </c>
      <c r="F2428" s="4" t="s">
        <v>3178</v>
      </c>
      <c r="G2428" s="4" t="s">
        <v>3178</v>
      </c>
      <c r="H2428" s="3">
        <v>0.5499538192140171</v>
      </c>
      <c r="I2428" s="5">
        <v>1112.416143</v>
      </c>
      <c r="J2428" s="6">
        <v>24.07306088162735</v>
      </c>
      <c r="K2428" s="4">
        <v>1.020890698373895</v>
      </c>
      <c r="L2428" s="7">
        <v>1.301014352102003</v>
      </c>
      <c r="M2428" s="3">
        <v>13.79</v>
      </c>
      <c r="N2428" s="3">
        <v>8.300000000000001</v>
      </c>
    </row>
    <row r="2429" spans="1:14">
      <c r="A2429" s="8" t="s">
        <v>2441</v>
      </c>
      <c r="B2429" s="2">
        <f>HYPERLINK("https://www.suredividend.com/sure-analysis-research-database/","Range Resources Corp")</f>
        <v>0</v>
      </c>
      <c r="C2429" s="1" t="s">
        <v>3185</v>
      </c>
      <c r="D2429" s="3">
        <v>36.3</v>
      </c>
      <c r="E2429" s="4">
        <v>0.008781927301768001</v>
      </c>
      <c r="F2429" s="4" t="s">
        <v>3178</v>
      </c>
      <c r="G2429" s="4" t="s">
        <v>3178</v>
      </c>
      <c r="H2429" s="3">
        <v>0.318783961054178</v>
      </c>
      <c r="I2429" s="5">
        <v>8807.357995</v>
      </c>
      <c r="J2429" s="6">
        <v>18.44762631743206</v>
      </c>
      <c r="K2429" s="4">
        <v>0.1601929452533558</v>
      </c>
      <c r="L2429" s="7">
        <v>0.700551513661658</v>
      </c>
      <c r="M2429" s="3">
        <v>39.33</v>
      </c>
      <c r="N2429" s="3">
        <v>25.62</v>
      </c>
    </row>
    <row r="2430" spans="1:14">
      <c r="A2430" s="8" t="s">
        <v>2442</v>
      </c>
      <c r="B2430" s="2">
        <f>HYPERLINK("https://www.suredividend.com/sure-analysis-research-database/","R.R. Donnelley &amp; Sons Co.")</f>
        <v>0</v>
      </c>
      <c r="C2430" s="1" t="s">
        <v>3179</v>
      </c>
      <c r="D2430" s="3">
        <v>10.84</v>
      </c>
      <c r="E2430" s="4">
        <v>0</v>
      </c>
      <c r="F2430" s="4" t="s">
        <v>3178</v>
      </c>
      <c r="G2430" s="4" t="s">
        <v>3178</v>
      </c>
      <c r="H2430" s="3">
        <v>0</v>
      </c>
      <c r="I2430" s="5">
        <v>790.236</v>
      </c>
      <c r="J2430" s="6">
        <v>4.03799693408278</v>
      </c>
      <c r="K2430" s="4">
        <v>0</v>
      </c>
      <c r="L2430" s="7">
        <v>0.9962175310821421</v>
      </c>
      <c r="M2430" s="3">
        <v>11.33</v>
      </c>
      <c r="N2430" s="3">
        <v>3.27</v>
      </c>
    </row>
    <row r="2431" spans="1:14">
      <c r="A2431" s="8" t="s">
        <v>2443</v>
      </c>
      <c r="B2431" s="2">
        <f>HYPERLINK("https://www.suredividend.com/sure-analysis-research-database/","Red Robin Gourmet Burgers Inc")</f>
        <v>0</v>
      </c>
      <c r="C2431" s="1" t="s">
        <v>3182</v>
      </c>
      <c r="D2431" s="3">
        <v>8.44</v>
      </c>
      <c r="E2431" s="4">
        <v>0</v>
      </c>
      <c r="F2431" s="4" t="s">
        <v>3178</v>
      </c>
      <c r="G2431" s="4" t="s">
        <v>3178</v>
      </c>
      <c r="H2431" s="3">
        <v>0</v>
      </c>
      <c r="I2431" s="5">
        <v>132.20416</v>
      </c>
      <c r="J2431" s="6" t="s">
        <v>3178</v>
      </c>
      <c r="K2431" s="4">
        <v>-0</v>
      </c>
      <c r="L2431" s="7">
        <v>1.822294623460646</v>
      </c>
      <c r="M2431" s="3">
        <v>15.76</v>
      </c>
      <c r="N2431" s="3">
        <v>5.56</v>
      </c>
    </row>
    <row r="2432" spans="1:14">
      <c r="A2432" s="8" t="s">
        <v>2444</v>
      </c>
      <c r="B2432" s="2">
        <f>HYPERLINK("https://www.suredividend.com/sure-analysis-research-database/","Red Rock Resorts Inc")</f>
        <v>0</v>
      </c>
      <c r="C2432" s="1" t="s">
        <v>3182</v>
      </c>
      <c r="D2432" s="3">
        <v>50.41</v>
      </c>
      <c r="E2432" s="4">
        <v>0.019100013369046</v>
      </c>
      <c r="F2432" s="4" t="s">
        <v>3178</v>
      </c>
      <c r="G2432" s="4" t="s">
        <v>3178</v>
      </c>
      <c r="H2432" s="3">
        <v>0.96283167393361</v>
      </c>
      <c r="I2432" s="5">
        <v>3004.959911</v>
      </c>
      <c r="J2432" s="6">
        <v>17.25372157766001</v>
      </c>
      <c r="K2432" s="4">
        <v>0.5697228839843846</v>
      </c>
      <c r="L2432" s="7">
        <v>1.421668482745737</v>
      </c>
      <c r="M2432" s="3">
        <v>63.29</v>
      </c>
      <c r="N2432" s="3">
        <v>36.02</v>
      </c>
    </row>
    <row r="2433" spans="1:14">
      <c r="A2433" s="8" t="s">
        <v>2445</v>
      </c>
      <c r="B2433" s="2">
        <f>HYPERLINK("https://www.suredividend.com/sure-analysis-research-database/","Roadrunner Transportation Systems Inc")</f>
        <v>0</v>
      </c>
      <c r="C2433" s="1" t="s">
        <v>3179</v>
      </c>
      <c r="D2433" s="3">
        <v>1.15</v>
      </c>
      <c r="E2433" s="4">
        <v>0</v>
      </c>
      <c r="F2433" s="4" t="s">
        <v>3178</v>
      </c>
      <c r="G2433" s="4" t="s">
        <v>3178</v>
      </c>
      <c r="H2433" s="3">
        <v>0</v>
      </c>
      <c r="I2433" s="5">
        <v>44.053632</v>
      </c>
      <c r="J2433" s="6" t="s">
        <v>3178</v>
      </c>
      <c r="K2433" s="4">
        <v>-0</v>
      </c>
      <c r="M2433" s="3">
        <v>2.7</v>
      </c>
      <c r="N2433" s="3">
        <v>0.99</v>
      </c>
    </row>
    <row r="2434" spans="1:14">
      <c r="A2434" s="8" t="s">
        <v>2446</v>
      </c>
      <c r="B2434" s="2">
        <f>HYPERLINK("https://www.suredividend.com/sure-analysis-RS/","Reliance Inc.")</f>
        <v>0</v>
      </c>
      <c r="C2434" s="1" t="s">
        <v>3177</v>
      </c>
      <c r="D2434" s="3">
        <v>286.96</v>
      </c>
      <c r="E2434" s="4">
        <v>0.01533314747700028</v>
      </c>
      <c r="F2434" s="4">
        <v>0.1000000000000001</v>
      </c>
      <c r="G2434" s="4">
        <v>0.1486983549970351</v>
      </c>
      <c r="H2434" s="3">
        <v>4.178276275575802</v>
      </c>
      <c r="I2434" s="5">
        <v>18295.504118</v>
      </c>
      <c r="J2434" s="6">
        <v>14.56996425700406</v>
      </c>
      <c r="K2434" s="4">
        <v>0.1949732279783389</v>
      </c>
      <c r="L2434" s="7">
        <v>0.962431095724765</v>
      </c>
      <c r="M2434" s="3">
        <v>340.95</v>
      </c>
      <c r="N2434" s="3">
        <v>234.61</v>
      </c>
    </row>
    <row r="2435" spans="1:14">
      <c r="A2435" s="8" t="s">
        <v>2447</v>
      </c>
      <c r="B2435" s="2">
        <f>HYPERLINK("https://www.suredividend.com/sure-analysis-RSG/","Republic Services, Inc.")</f>
        <v>0</v>
      </c>
      <c r="C2435" s="1" t="s">
        <v>3179</v>
      </c>
      <c r="D2435" s="3">
        <v>186.95</v>
      </c>
      <c r="E2435" s="4">
        <v>0.01144691093875368</v>
      </c>
      <c r="F2435" s="4">
        <v>0.08080808080808088</v>
      </c>
      <c r="G2435" s="4">
        <v>0.07365438667886703</v>
      </c>
      <c r="H2435" s="3">
        <v>2.090466345555505</v>
      </c>
      <c r="I2435" s="5">
        <v>58876.62321</v>
      </c>
      <c r="J2435" s="6">
        <v>32.69288867235827</v>
      </c>
      <c r="K2435" s="4">
        <v>0.36739303085334</v>
      </c>
      <c r="L2435" s="7">
        <v>0.302153288601777</v>
      </c>
      <c r="M2435" s="3">
        <v>196.76</v>
      </c>
      <c r="N2435" s="3">
        <v>139.38</v>
      </c>
    </row>
    <row r="2436" spans="1:14">
      <c r="A2436" s="8" t="s">
        <v>2448</v>
      </c>
      <c r="B2436" s="2">
        <f>HYPERLINK("https://www.suredividend.com/sure-analysis-research-database/","Rubius Therapeutics Inc")</f>
        <v>0</v>
      </c>
      <c r="C2436" s="1" t="s">
        <v>3176</v>
      </c>
      <c r="D2436" s="3">
        <v>0.057</v>
      </c>
      <c r="E2436" s="4">
        <v>0</v>
      </c>
      <c r="F2436" s="4" t="s">
        <v>3178</v>
      </c>
      <c r="G2436" s="4" t="s">
        <v>3178</v>
      </c>
      <c r="H2436" s="3">
        <v>0</v>
      </c>
      <c r="I2436" s="5">
        <v>5.157528</v>
      </c>
      <c r="J2436" s="6">
        <v>0</v>
      </c>
      <c r="K2436" s="4" t="s">
        <v>3178</v>
      </c>
      <c r="M2436" s="3">
        <v>0.115</v>
      </c>
      <c r="N2436" s="3">
        <v>0.0032</v>
      </c>
    </row>
    <row r="2437" spans="1:14">
      <c r="A2437" s="8" t="s">
        <v>2449</v>
      </c>
      <c r="B2437" s="2">
        <f>HYPERLINK("https://www.suredividend.com/sure-analysis-research-database/","Sunrun Inc")</f>
        <v>0</v>
      </c>
      <c r="C2437" s="1" t="s">
        <v>3181</v>
      </c>
      <c r="D2437" s="3">
        <v>13.45</v>
      </c>
      <c r="E2437" s="4">
        <v>0</v>
      </c>
      <c r="F2437" s="4" t="s">
        <v>3178</v>
      </c>
      <c r="G2437" s="4" t="s">
        <v>3178</v>
      </c>
      <c r="H2437" s="3">
        <v>0</v>
      </c>
      <c r="I2437" s="5">
        <v>2981.36614</v>
      </c>
      <c r="J2437" s="6" t="s">
        <v>3178</v>
      </c>
      <c r="K2437" s="4">
        <v>-0</v>
      </c>
      <c r="L2437" s="7">
        <v>3.144043949880149</v>
      </c>
      <c r="M2437" s="3">
        <v>23.85</v>
      </c>
      <c r="N2437" s="3">
        <v>8.43</v>
      </c>
    </row>
    <row r="2438" spans="1:14">
      <c r="A2438" s="8" t="s">
        <v>2450</v>
      </c>
      <c r="B2438" s="2">
        <f>HYPERLINK("https://www.suredividend.com/sure-analysis-research-database/","Rush Enterprises Inc")</f>
        <v>0</v>
      </c>
      <c r="C2438" s="1" t="s">
        <v>3182</v>
      </c>
      <c r="D2438" s="3">
        <v>43.51</v>
      </c>
      <c r="E2438" s="4">
        <v>0.015466334715396</v>
      </c>
      <c r="F2438" s="4">
        <v>-0.1904761904761904</v>
      </c>
      <c r="G2438" s="4">
        <v>0.05511819868320456</v>
      </c>
      <c r="H2438" s="3">
        <v>0.6729402234669011</v>
      </c>
      <c r="I2438" s="5">
        <v>3371.865954</v>
      </c>
      <c r="J2438" s="6">
        <v>9.715653004999208</v>
      </c>
      <c r="K2438" s="4">
        <v>0.1621542707149159</v>
      </c>
      <c r="L2438" s="7">
        <v>1.150543120946669</v>
      </c>
      <c r="M2438" s="3">
        <v>53.37</v>
      </c>
      <c r="N2438" s="3">
        <v>34.01</v>
      </c>
    </row>
    <row r="2439" spans="1:14">
      <c r="A2439" s="8" t="s">
        <v>2451</v>
      </c>
      <c r="B2439" s="2">
        <f>HYPERLINK("https://www.suredividend.com/sure-analysis-research-database/","Rush Enterprises Inc")</f>
        <v>0</v>
      </c>
      <c r="C2439" s="1" t="s">
        <v>3182</v>
      </c>
      <c r="D2439" s="3">
        <v>40.6</v>
      </c>
      <c r="E2439" s="4">
        <v>0.016571806839001</v>
      </c>
      <c r="F2439" s="4">
        <v>-0.1904761904761904</v>
      </c>
      <c r="G2439" s="4">
        <v>0.05511819868320456</v>
      </c>
      <c r="H2439" s="3">
        <v>0.672815357663449</v>
      </c>
      <c r="I2439" s="5">
        <v>3371.865954</v>
      </c>
      <c r="J2439" s="6">
        <v>9.715653004999208</v>
      </c>
      <c r="K2439" s="4">
        <v>0.1621241825695058</v>
      </c>
      <c r="L2439" s="7">
        <v>1.344547990863281</v>
      </c>
      <c r="M2439" s="3">
        <v>52.92</v>
      </c>
      <c r="N2439" s="3">
        <v>39.05</v>
      </c>
    </row>
    <row r="2440" spans="1:14">
      <c r="A2440" s="8" t="s">
        <v>2452</v>
      </c>
      <c r="B2440" s="2">
        <f>HYPERLINK("https://www.suredividend.com/sure-analysis-research-database/","Ruths Hospitality Group Inc")</f>
        <v>0</v>
      </c>
      <c r="C2440" s="1" t="s">
        <v>3182</v>
      </c>
      <c r="D2440" s="3">
        <v>21.49</v>
      </c>
      <c r="E2440" s="4">
        <v>0</v>
      </c>
      <c r="F2440" s="4" t="s">
        <v>3178</v>
      </c>
      <c r="G2440" s="4" t="s">
        <v>3178</v>
      </c>
      <c r="H2440" s="3">
        <v>0.439999997615814</v>
      </c>
      <c r="I2440" s="5">
        <v>0</v>
      </c>
      <c r="J2440" s="6">
        <v>0</v>
      </c>
      <c r="K2440" s="4">
        <v>0.3697478971561463</v>
      </c>
    </row>
    <row r="2441" spans="1:14">
      <c r="A2441" s="8" t="s">
        <v>2453</v>
      </c>
      <c r="B2441" s="2">
        <f>HYPERLINK("https://www.suredividend.com/sure-analysis-research-database/","Retail Value Inc")</f>
        <v>0</v>
      </c>
      <c r="C2441" s="1" t="s">
        <v>3183</v>
      </c>
      <c r="D2441" s="3">
        <v>3</v>
      </c>
      <c r="E2441" s="4">
        <v>0</v>
      </c>
      <c r="F2441" s="4" t="s">
        <v>3178</v>
      </c>
      <c r="G2441" s="4" t="s">
        <v>3178</v>
      </c>
      <c r="H2441" s="3">
        <v>0</v>
      </c>
      <c r="I2441" s="5">
        <v>63.35145</v>
      </c>
      <c r="J2441" s="6">
        <v>0</v>
      </c>
      <c r="K2441" s="4" t="s">
        <v>3178</v>
      </c>
      <c r="L2441" s="7">
        <v>0.324953635968146</v>
      </c>
      <c r="M2441" s="3">
        <v>3.49</v>
      </c>
      <c r="N2441" s="3">
        <v>1.58</v>
      </c>
    </row>
    <row r="2442" spans="1:14">
      <c r="A2442" s="8" t="s">
        <v>2454</v>
      </c>
      <c r="B2442" s="2">
        <f>HYPERLINK("https://www.suredividend.com/sure-analysis-research-database/","Revance Therapeutics Inc")</f>
        <v>0</v>
      </c>
      <c r="C2442" s="1" t="s">
        <v>3176</v>
      </c>
      <c r="D2442" s="3">
        <v>2.7</v>
      </c>
      <c r="E2442" s="4">
        <v>0</v>
      </c>
      <c r="F2442" s="4" t="s">
        <v>3178</v>
      </c>
      <c r="G2442" s="4" t="s">
        <v>3178</v>
      </c>
      <c r="H2442" s="3">
        <v>0</v>
      </c>
      <c r="I2442" s="5">
        <v>282.010955</v>
      </c>
      <c r="J2442" s="6">
        <v>0</v>
      </c>
      <c r="K2442" s="4" t="s">
        <v>3178</v>
      </c>
      <c r="L2442" s="7">
        <v>2.191880876301295</v>
      </c>
      <c r="M2442" s="3">
        <v>30.06</v>
      </c>
      <c r="N2442" s="3">
        <v>2.59</v>
      </c>
    </row>
    <row r="2443" spans="1:14">
      <c r="A2443" s="8" t="s">
        <v>2455</v>
      </c>
      <c r="B2443" s="2">
        <f>HYPERLINK("https://www.suredividend.com/sure-analysis-research-database/","Retractable Technologies Inc")</f>
        <v>0</v>
      </c>
      <c r="C2443" s="1" t="s">
        <v>3176</v>
      </c>
      <c r="D2443" s="3">
        <v>1.17</v>
      </c>
      <c r="E2443" s="4">
        <v>0</v>
      </c>
      <c r="F2443" s="4" t="s">
        <v>3178</v>
      </c>
      <c r="G2443" s="4" t="s">
        <v>3178</v>
      </c>
      <c r="H2443" s="3">
        <v>0</v>
      </c>
      <c r="I2443" s="5">
        <v>35.026476</v>
      </c>
      <c r="J2443" s="6">
        <v>0</v>
      </c>
      <c r="K2443" s="4" t="s">
        <v>3178</v>
      </c>
      <c r="L2443" s="7">
        <v>0.8639712027133161</v>
      </c>
      <c r="M2443" s="3">
        <v>1.34</v>
      </c>
      <c r="N2443" s="3">
        <v>0.869</v>
      </c>
    </row>
    <row r="2444" spans="1:14">
      <c r="A2444" s="8" t="s">
        <v>2456</v>
      </c>
      <c r="B2444" s="2">
        <f>HYPERLINK("https://www.suredividend.com/sure-analysis-research-database/","Riverview Bancorp, Inc.")</f>
        <v>0</v>
      </c>
      <c r="C2444" s="1" t="s">
        <v>3180</v>
      </c>
      <c r="D2444" s="3">
        <v>3.87</v>
      </c>
      <c r="E2444" s="4">
        <v>0.06051611787324401</v>
      </c>
      <c r="F2444" s="4">
        <v>0</v>
      </c>
      <c r="G2444" s="4">
        <v>0.05922384104881218</v>
      </c>
      <c r="H2444" s="3">
        <v>0.234197376169455</v>
      </c>
      <c r="I2444" s="5">
        <v>81.699736</v>
      </c>
      <c r="J2444" s="6">
        <v>0</v>
      </c>
      <c r="K2444" s="4" t="s">
        <v>3178</v>
      </c>
      <c r="L2444" s="7">
        <v>0.452965242247611</v>
      </c>
      <c r="M2444" s="3">
        <v>6.36</v>
      </c>
      <c r="N2444" s="3">
        <v>3.37</v>
      </c>
    </row>
    <row r="2445" spans="1:14">
      <c r="A2445" s="8" t="s">
        <v>2457</v>
      </c>
      <c r="B2445" s="2">
        <f>HYPERLINK("https://www.suredividend.com/sure-analysis-research-database/","Redwood Trust Inc.")</f>
        <v>0</v>
      </c>
      <c r="C2445" s="1" t="s">
        <v>3183</v>
      </c>
      <c r="D2445" s="3">
        <v>6.33</v>
      </c>
      <c r="E2445" s="4">
        <v>0.097567297848291</v>
      </c>
      <c r="F2445" s="4">
        <v>-0.3043478260869565</v>
      </c>
      <c r="G2445" s="4">
        <v>-0.1181397937782795</v>
      </c>
      <c r="H2445" s="3">
        <v>0.617600995379686</v>
      </c>
      <c r="I2445" s="5">
        <v>836.527135</v>
      </c>
      <c r="J2445" s="6">
        <v>67.71305936376882</v>
      </c>
      <c r="K2445" s="4">
        <v>6.031259720504746</v>
      </c>
      <c r="L2445" s="7">
        <v>1.268379380031031</v>
      </c>
      <c r="M2445" s="3">
        <v>7.74</v>
      </c>
      <c r="N2445" s="3">
        <v>5.46</v>
      </c>
    </row>
    <row r="2446" spans="1:14">
      <c r="A2446" s="8" t="s">
        <v>2458</v>
      </c>
      <c r="B2446" s="2">
        <f>HYPERLINK("https://www.suredividend.com/sure-analysis-research-database/","Rayonier Advanced Materials Inc")</f>
        <v>0</v>
      </c>
      <c r="C2446" s="1" t="s">
        <v>3177</v>
      </c>
      <c r="D2446" s="3">
        <v>5.68</v>
      </c>
      <c r="E2446" s="4">
        <v>0</v>
      </c>
      <c r="F2446" s="4" t="s">
        <v>3178</v>
      </c>
      <c r="G2446" s="4" t="s">
        <v>3178</v>
      </c>
      <c r="H2446" s="3">
        <v>0</v>
      </c>
      <c r="I2446" s="5">
        <v>372.472191</v>
      </c>
      <c r="J2446" s="6" t="s">
        <v>3178</v>
      </c>
      <c r="K2446" s="4">
        <v>-0</v>
      </c>
      <c r="L2446" s="7">
        <v>2.079282914885804</v>
      </c>
      <c r="M2446" s="3">
        <v>5.76</v>
      </c>
      <c r="N2446" s="3">
        <v>2.66</v>
      </c>
    </row>
    <row r="2447" spans="1:14">
      <c r="A2447" s="8" t="s">
        <v>2459</v>
      </c>
      <c r="B2447" s="2">
        <f>HYPERLINK("https://www.suredividend.com/sure-analysis-research-database/","Ryerson Holding Corp.")</f>
        <v>0</v>
      </c>
      <c r="C2447" s="1" t="s">
        <v>3179</v>
      </c>
      <c r="D2447" s="3">
        <v>22.41</v>
      </c>
      <c r="E2447" s="4">
        <v>0.032775125065926</v>
      </c>
      <c r="F2447" s="4" t="s">
        <v>3178</v>
      </c>
      <c r="G2447" s="4" t="s">
        <v>3178</v>
      </c>
      <c r="H2447" s="3">
        <v>0.734490552727409</v>
      </c>
      <c r="I2447" s="5">
        <v>769.4643589999999</v>
      </c>
      <c r="J2447" s="6">
        <v>8.474277083590309</v>
      </c>
      <c r="K2447" s="4">
        <v>0.2814140048764019</v>
      </c>
      <c r="L2447" s="7">
        <v>1.070625191225977</v>
      </c>
      <c r="M2447" s="3">
        <v>43.51</v>
      </c>
      <c r="N2447" s="3">
        <v>21.34</v>
      </c>
    </row>
    <row r="2448" spans="1:14">
      <c r="A2448" s="8" t="s">
        <v>2460</v>
      </c>
      <c r="B2448" s="2">
        <f>HYPERLINK("https://www.suredividend.com/sure-analysis-RYN/","Rayonier Inc.")</f>
        <v>0</v>
      </c>
      <c r="C2448" s="1" t="s">
        <v>3183</v>
      </c>
      <c r="D2448" s="3">
        <v>30.39</v>
      </c>
      <c r="E2448" s="4">
        <v>0.03751233958538993</v>
      </c>
      <c r="F2448" s="4">
        <v>0</v>
      </c>
      <c r="G2448" s="4">
        <v>0.01087212085035083</v>
      </c>
      <c r="H2448" s="3">
        <v>1.120341593215039</v>
      </c>
      <c r="I2448" s="5">
        <v>4524.373489</v>
      </c>
      <c r="J2448" s="6">
        <v>27.16525661194836</v>
      </c>
      <c r="K2448" s="4">
        <v>1.018492357468217</v>
      </c>
      <c r="L2448" s="7">
        <v>1.140463931156258</v>
      </c>
      <c r="M2448" s="3">
        <v>35</v>
      </c>
      <c r="N2448" s="3">
        <v>24.27</v>
      </c>
    </row>
    <row r="2449" spans="1:14">
      <c r="A2449" s="8" t="s">
        <v>2461</v>
      </c>
      <c r="B2449" s="2">
        <f>HYPERLINK("https://www.suredividend.com/sure-analysis-research-database/","Rhythm Pharmaceuticals Inc.")</f>
        <v>0</v>
      </c>
      <c r="C2449" s="1" t="s">
        <v>3176</v>
      </c>
      <c r="D2449" s="3">
        <v>39.97</v>
      </c>
      <c r="E2449" s="4">
        <v>0</v>
      </c>
      <c r="F2449" s="4" t="s">
        <v>3178</v>
      </c>
      <c r="G2449" s="4" t="s">
        <v>3178</v>
      </c>
      <c r="H2449" s="3">
        <v>0</v>
      </c>
      <c r="I2449" s="5">
        <v>2437.087173</v>
      </c>
      <c r="J2449" s="6" t="s">
        <v>3178</v>
      </c>
      <c r="K2449" s="4">
        <v>-0</v>
      </c>
      <c r="L2449" s="7">
        <v>1.210570198304897</v>
      </c>
      <c r="M2449" s="3">
        <v>52.57</v>
      </c>
      <c r="N2449" s="3">
        <v>15.5</v>
      </c>
    </row>
    <row r="2450" spans="1:14">
      <c r="A2450" s="8" t="s">
        <v>2462</v>
      </c>
      <c r="B2450" s="2">
        <f>HYPERLINK("https://www.suredividend.com/sure-analysis-research-database/","SentinelOne Inc")</f>
        <v>0</v>
      </c>
      <c r="C2450" s="1" t="s">
        <v>3178</v>
      </c>
      <c r="D2450" s="3">
        <v>17.18</v>
      </c>
      <c r="E2450" s="4">
        <v>0</v>
      </c>
      <c r="F2450" s="4" t="s">
        <v>3178</v>
      </c>
      <c r="G2450" s="4" t="s">
        <v>3178</v>
      </c>
      <c r="H2450" s="3">
        <v>0</v>
      </c>
      <c r="I2450" s="5">
        <v>4924.815347</v>
      </c>
      <c r="J2450" s="6" t="s">
        <v>3178</v>
      </c>
      <c r="K2450" s="4">
        <v>-0</v>
      </c>
      <c r="L2450" s="7">
        <v>2.168965794723683</v>
      </c>
      <c r="M2450" s="3">
        <v>30.76</v>
      </c>
      <c r="N2450" s="3">
        <v>13.87</v>
      </c>
    </row>
    <row r="2451" spans="1:14">
      <c r="A2451" s="8" t="s">
        <v>2463</v>
      </c>
      <c r="B2451" s="2">
        <f>HYPERLINK("https://www.suredividend.com/sure-analysis-research-database/","Sabre Corp")</f>
        <v>0</v>
      </c>
      <c r="C2451" s="1" t="s">
        <v>3181</v>
      </c>
      <c r="D2451" s="3">
        <v>2.8</v>
      </c>
      <c r="E2451" s="4">
        <v>0</v>
      </c>
      <c r="F2451" s="4" t="s">
        <v>3178</v>
      </c>
      <c r="G2451" s="4" t="s">
        <v>3178</v>
      </c>
      <c r="H2451" s="3">
        <v>0</v>
      </c>
      <c r="I2451" s="5">
        <v>1069.410622</v>
      </c>
      <c r="J2451" s="6" t="s">
        <v>3178</v>
      </c>
      <c r="K2451" s="4">
        <v>-0</v>
      </c>
      <c r="L2451" s="7">
        <v>2.346670400892465</v>
      </c>
      <c r="M2451" s="3">
        <v>5.77</v>
      </c>
      <c r="N2451" s="3">
        <v>1.81</v>
      </c>
    </row>
    <row r="2452" spans="1:14">
      <c r="A2452" s="8" t="s">
        <v>2464</v>
      </c>
      <c r="B2452" s="2">
        <f>HYPERLINK("https://www.suredividend.com/sure-analysis-SACH/","Sachem Capital Corp")</f>
        <v>0</v>
      </c>
      <c r="C2452" s="1" t="s">
        <v>3183</v>
      </c>
      <c r="D2452" s="3">
        <v>2.97</v>
      </c>
      <c r="E2452" s="4">
        <v>0.1481481481481482</v>
      </c>
      <c r="F2452" s="4" t="s">
        <v>3178</v>
      </c>
      <c r="G2452" s="4" t="s">
        <v>3178</v>
      </c>
      <c r="H2452" s="3">
        <v>0.418536907059705</v>
      </c>
      <c r="I2452" s="5">
        <v>140.914771</v>
      </c>
      <c r="J2452" s="6">
        <v>0</v>
      </c>
      <c r="K2452" s="4" t="s">
        <v>3178</v>
      </c>
      <c r="L2452" s="7">
        <v>0.8898055929942481</v>
      </c>
      <c r="M2452" s="3">
        <v>4.36</v>
      </c>
      <c r="N2452" s="3">
        <v>2.54</v>
      </c>
    </row>
    <row r="2453" spans="1:14">
      <c r="A2453" s="8" t="s">
        <v>2465</v>
      </c>
      <c r="B2453" s="2">
        <f>HYPERLINK("https://www.suredividend.com/sure-analysis-SAFE/","Safehold Inc.")</f>
        <v>0</v>
      </c>
      <c r="C2453" s="1" t="s">
        <v>3183</v>
      </c>
      <c r="D2453" s="3">
        <v>19.06</v>
      </c>
      <c r="E2453" s="4">
        <v>0.0372507869884575</v>
      </c>
      <c r="F2453" s="4">
        <v>0</v>
      </c>
      <c r="G2453" s="4">
        <v>0.02558045007666498</v>
      </c>
      <c r="H2453" s="3">
        <v>0.6988396369884901</v>
      </c>
      <c r="I2453" s="5">
        <v>1361.553807</v>
      </c>
      <c r="J2453" s="6" t="s">
        <v>3178</v>
      </c>
      <c r="K2453" s="4" t="s">
        <v>3178</v>
      </c>
      <c r="L2453" s="7">
        <v>1.864221499121248</v>
      </c>
      <c r="M2453" s="3">
        <v>25.63</v>
      </c>
      <c r="N2453" s="3">
        <v>14.75</v>
      </c>
    </row>
    <row r="2454" spans="1:14">
      <c r="A2454" s="8" t="s">
        <v>2466</v>
      </c>
      <c r="B2454" s="2">
        <f>HYPERLINK("https://www.suredividend.com/sure-analysis-research-database/","Sanderson Farms, Inc.")</f>
        <v>0</v>
      </c>
      <c r="C2454" s="1" t="s">
        <v>3184</v>
      </c>
      <c r="D2454" s="3">
        <v>204</v>
      </c>
      <c r="E2454" s="4">
        <v>0</v>
      </c>
      <c r="F2454" s="4" t="s">
        <v>3178</v>
      </c>
      <c r="G2454" s="4" t="s">
        <v>3178</v>
      </c>
      <c r="H2454" s="3">
        <v>1.759999990463256</v>
      </c>
      <c r="I2454" s="5">
        <v>0</v>
      </c>
      <c r="J2454" s="6">
        <v>0</v>
      </c>
      <c r="K2454" s="4">
        <v>0.04553686909348657</v>
      </c>
    </row>
    <row r="2455" spans="1:14">
      <c r="A2455" s="8" t="s">
        <v>2467</v>
      </c>
      <c r="B2455" s="2">
        <f>HYPERLINK("https://www.suredividend.com/sure-analysis-SAFT/","Safety Insurance Group, Inc.")</f>
        <v>0</v>
      </c>
      <c r="C2455" s="1" t="s">
        <v>3180</v>
      </c>
      <c r="D2455" s="3">
        <v>76.81999999999999</v>
      </c>
      <c r="E2455" s="4">
        <v>0.04686279614683676</v>
      </c>
      <c r="F2455" s="4">
        <v>0</v>
      </c>
      <c r="G2455" s="4">
        <v>0</v>
      </c>
      <c r="H2455" s="3">
        <v>3.479097305814284</v>
      </c>
      <c r="I2455" s="5">
        <v>1139.744923</v>
      </c>
      <c r="J2455" s="6">
        <v>22.29678821722714</v>
      </c>
      <c r="K2455" s="4">
        <v>0.9997406051190472</v>
      </c>
      <c r="L2455" s="7">
        <v>0.220944769104415</v>
      </c>
      <c r="M2455" s="3">
        <v>84.78</v>
      </c>
      <c r="N2455" s="3">
        <v>60.02</v>
      </c>
    </row>
    <row r="2456" spans="1:14">
      <c r="A2456" s="8" t="s">
        <v>2468</v>
      </c>
      <c r="B2456" s="2">
        <f>HYPERLINK("https://www.suredividend.com/sure-analysis-research-database/","Sage Therapeutics Inc")</f>
        <v>0</v>
      </c>
      <c r="C2456" s="1" t="s">
        <v>3176</v>
      </c>
      <c r="D2456" s="3">
        <v>10.58</v>
      </c>
      <c r="E2456" s="4">
        <v>0</v>
      </c>
      <c r="F2456" s="4" t="s">
        <v>3178</v>
      </c>
      <c r="G2456" s="4" t="s">
        <v>3178</v>
      </c>
      <c r="H2456" s="3">
        <v>0</v>
      </c>
      <c r="I2456" s="5">
        <v>636.7258880000001</v>
      </c>
      <c r="J2456" s="6" t="s">
        <v>3178</v>
      </c>
      <c r="K2456" s="4">
        <v>-0</v>
      </c>
      <c r="L2456" s="7">
        <v>0.7885072599474261</v>
      </c>
      <c r="M2456" s="3">
        <v>59.99</v>
      </c>
      <c r="N2456" s="3">
        <v>10.44</v>
      </c>
    </row>
    <row r="2457" spans="1:14">
      <c r="A2457" s="8" t="s">
        <v>2469</v>
      </c>
      <c r="B2457" s="2">
        <f>HYPERLINK("https://www.suredividend.com/sure-analysis-research-database/","Sonic Automotive, Inc.")</f>
        <v>0</v>
      </c>
      <c r="C2457" s="1" t="s">
        <v>3182</v>
      </c>
      <c r="D2457" s="3">
        <v>56.54</v>
      </c>
      <c r="E2457" s="4">
        <v>0.020695372678229</v>
      </c>
      <c r="F2457" s="4">
        <v>0.0714285714285714</v>
      </c>
      <c r="G2457" s="4">
        <v>0.2457309396155174</v>
      </c>
      <c r="H2457" s="3">
        <v>1.170116371227068</v>
      </c>
      <c r="I2457" s="5">
        <v>1236.064532</v>
      </c>
      <c r="J2457" s="6">
        <v>7.165591491826088</v>
      </c>
      <c r="K2457" s="4">
        <v>0.2326275091902719</v>
      </c>
      <c r="L2457" s="7">
        <v>1.217165741740378</v>
      </c>
      <c r="M2457" s="3">
        <v>64.68000000000001</v>
      </c>
      <c r="N2457" s="3">
        <v>40.72</v>
      </c>
    </row>
    <row r="2458" spans="1:14">
      <c r="A2458" s="8" t="s">
        <v>2470</v>
      </c>
      <c r="B2458" s="2">
        <f>HYPERLINK("https://www.suredividend.com/sure-analysis-research-database/","Saia Inc.")</f>
        <v>0</v>
      </c>
      <c r="C2458" s="1" t="s">
        <v>3179</v>
      </c>
      <c r="D2458" s="3">
        <v>445.7</v>
      </c>
      <c r="E2458" s="4">
        <v>0</v>
      </c>
      <c r="F2458" s="4" t="s">
        <v>3178</v>
      </c>
      <c r="G2458" s="4" t="s">
        <v>3178</v>
      </c>
      <c r="H2458" s="3">
        <v>0</v>
      </c>
      <c r="I2458" s="5">
        <v>11850.343803</v>
      </c>
      <c r="J2458" s="6">
        <v>32.07520213124738</v>
      </c>
      <c r="K2458" s="4">
        <v>0</v>
      </c>
      <c r="L2458" s="7">
        <v>1.269201157002136</v>
      </c>
      <c r="M2458" s="3">
        <v>628.34</v>
      </c>
      <c r="N2458" s="3">
        <v>295.12</v>
      </c>
    </row>
    <row r="2459" spans="1:14">
      <c r="A2459" s="8" t="s">
        <v>2471</v>
      </c>
      <c r="B2459" s="2">
        <f>HYPERLINK("https://www.suredividend.com/sure-analysis-research-database/","Science Applications International Corp.")</f>
        <v>0</v>
      </c>
      <c r="C2459" s="1" t="s">
        <v>3181</v>
      </c>
      <c r="D2459" s="3">
        <v>115.7</v>
      </c>
      <c r="E2459" s="4">
        <v>0.003197925711049</v>
      </c>
      <c r="F2459" s="4">
        <v>0</v>
      </c>
      <c r="G2459" s="4">
        <v>0</v>
      </c>
      <c r="H2459" s="3">
        <v>0.370000004768371</v>
      </c>
      <c r="I2459" s="5">
        <v>5927.444749</v>
      </c>
      <c r="J2459" s="6">
        <v>12.99878234473684</v>
      </c>
      <c r="K2459" s="4">
        <v>0.04302325636841524</v>
      </c>
      <c r="L2459" s="7">
        <v>0.6103272961126871</v>
      </c>
      <c r="M2459" s="3">
        <v>144.32</v>
      </c>
      <c r="N2459" s="3">
        <v>103.02</v>
      </c>
    </row>
    <row r="2460" spans="1:14">
      <c r="A2460" s="8" t="s">
        <v>2472</v>
      </c>
      <c r="B2460" s="2">
        <f>HYPERLINK("https://www.suredividend.com/sure-analysis-research-database/","SailPoint Technologies Holdings Inc")</f>
        <v>0</v>
      </c>
      <c r="C2460" s="1" t="s">
        <v>3181</v>
      </c>
      <c r="D2460" s="3">
        <v>65.23999999999999</v>
      </c>
      <c r="E2460" s="4">
        <v>0</v>
      </c>
      <c r="F2460" s="4" t="s">
        <v>3178</v>
      </c>
      <c r="G2460" s="4" t="s">
        <v>3178</v>
      </c>
      <c r="H2460" s="3">
        <v>0</v>
      </c>
      <c r="I2460" s="5">
        <v>6185.556996</v>
      </c>
      <c r="J2460" s="6" t="s">
        <v>3178</v>
      </c>
      <c r="K2460" s="4">
        <v>-0</v>
      </c>
      <c r="L2460" s="7">
        <v>0.5383165590719741</v>
      </c>
      <c r="M2460" s="3">
        <v>65.23999999999999</v>
      </c>
      <c r="N2460" s="3">
        <v>34.98</v>
      </c>
    </row>
    <row r="2461" spans="1:14">
      <c r="A2461" s="8" t="s">
        <v>2473</v>
      </c>
      <c r="B2461" s="2">
        <f>HYPERLINK("https://www.suredividend.com/sure-analysis-research-database/","Salisbury Bancorp, Inc.")</f>
        <v>0</v>
      </c>
      <c r="C2461" s="1" t="s">
        <v>3180</v>
      </c>
      <c r="D2461" s="3">
        <v>27.88</v>
      </c>
      <c r="E2461" s="4">
        <v>0</v>
      </c>
      <c r="F2461" s="4" t="s">
        <v>3178</v>
      </c>
      <c r="G2461" s="4" t="s">
        <v>3178</v>
      </c>
      <c r="H2461" s="3">
        <v>0.4799999892711641</v>
      </c>
      <c r="I2461" s="5">
        <v>0</v>
      </c>
      <c r="J2461" s="6">
        <v>0</v>
      </c>
      <c r="K2461" s="4" t="s">
        <v>3178</v>
      </c>
    </row>
    <row r="2462" spans="1:14">
      <c r="A2462" s="8" t="s">
        <v>2474</v>
      </c>
      <c r="B2462" s="2">
        <f>HYPERLINK("https://www.suredividend.com/sure-analysis-research-database/","Salem Media Group Inc")</f>
        <v>0</v>
      </c>
      <c r="C2462" s="1" t="s">
        <v>3187</v>
      </c>
      <c r="D2462" s="3">
        <v>0.31</v>
      </c>
      <c r="E2462" s="4">
        <v>0</v>
      </c>
      <c r="F2462" s="4" t="s">
        <v>3178</v>
      </c>
      <c r="G2462" s="4" t="s">
        <v>3178</v>
      </c>
      <c r="H2462" s="3">
        <v>0</v>
      </c>
      <c r="I2462" s="5">
        <v>6.715558</v>
      </c>
      <c r="J2462" s="6" t="s">
        <v>3178</v>
      </c>
      <c r="K2462" s="4">
        <v>-0</v>
      </c>
      <c r="M2462" s="3">
        <v>0.435</v>
      </c>
      <c r="N2462" s="3">
        <v>0.241</v>
      </c>
    </row>
    <row r="2463" spans="1:14">
      <c r="A2463" s="8" t="s">
        <v>2475</v>
      </c>
      <c r="B2463" s="2">
        <f>HYPERLINK("https://www.suredividend.com/sure-analysis-research-database/","Boston Beer Co., Inc.")</f>
        <v>0</v>
      </c>
      <c r="C2463" s="1" t="s">
        <v>3184</v>
      </c>
      <c r="D2463" s="3">
        <v>291.53</v>
      </c>
      <c r="E2463" s="4">
        <v>0</v>
      </c>
      <c r="F2463" s="4" t="s">
        <v>3178</v>
      </c>
      <c r="G2463" s="4" t="s">
        <v>3178</v>
      </c>
      <c r="H2463" s="3">
        <v>0</v>
      </c>
      <c r="I2463" s="5">
        <v>2882.042841</v>
      </c>
      <c r="J2463" s="6">
        <v>29.46783678067135</v>
      </c>
      <c r="K2463" s="4">
        <v>0</v>
      </c>
      <c r="L2463" s="7">
        <v>0.8940296675422451</v>
      </c>
      <c r="M2463" s="3">
        <v>395.52</v>
      </c>
      <c r="N2463" s="3">
        <v>254.4</v>
      </c>
    </row>
    <row r="2464" spans="1:14">
      <c r="A2464" s="8" t="s">
        <v>2476</v>
      </c>
      <c r="B2464" s="2">
        <f>HYPERLINK("https://www.suredividend.com/sure-analysis-research-database/","Silvercrest Asset Management Group Inc")</f>
        <v>0</v>
      </c>
      <c r="C2464" s="1" t="s">
        <v>3180</v>
      </c>
      <c r="D2464" s="3">
        <v>15.26</v>
      </c>
      <c r="E2464" s="4">
        <v>0.03650798428722801</v>
      </c>
      <c r="F2464" s="4">
        <v>0.05555555555555558</v>
      </c>
      <c r="G2464" s="4">
        <v>0.04841317128472156</v>
      </c>
      <c r="H2464" s="3">
        <v>0.557111840223107</v>
      </c>
      <c r="I2464" s="5">
        <v>144.695656</v>
      </c>
      <c r="J2464" s="6">
        <v>0</v>
      </c>
      <c r="K2464" s="4" t="s">
        <v>3178</v>
      </c>
      <c r="L2464" s="7">
        <v>1.05552760840572</v>
      </c>
      <c r="M2464" s="3">
        <v>21.71</v>
      </c>
      <c r="N2464" s="3">
        <v>13.93</v>
      </c>
    </row>
    <row r="2465" spans="1:14">
      <c r="A2465" s="8" t="s">
        <v>2477</v>
      </c>
      <c r="B2465" s="2">
        <f>HYPERLINK("https://www.suredividend.com/sure-analysis-research-database/","Sanmina Corp")</f>
        <v>0</v>
      </c>
      <c r="C2465" s="1" t="s">
        <v>3181</v>
      </c>
      <c r="D2465" s="3">
        <v>65.75</v>
      </c>
      <c r="E2465" s="4">
        <v>0</v>
      </c>
      <c r="F2465" s="4" t="s">
        <v>3178</v>
      </c>
      <c r="G2465" s="4" t="s">
        <v>3178</v>
      </c>
      <c r="H2465" s="3">
        <v>0</v>
      </c>
      <c r="I2465" s="5">
        <v>3668.85</v>
      </c>
      <c r="J2465" s="6">
        <v>14.800434066998</v>
      </c>
      <c r="K2465" s="4">
        <v>0</v>
      </c>
      <c r="L2465" s="7">
        <v>1.357418901523306</v>
      </c>
      <c r="M2465" s="3">
        <v>69.8</v>
      </c>
      <c r="N2465" s="3">
        <v>43.41</v>
      </c>
    </row>
    <row r="2466" spans="1:14">
      <c r="A2466" s="8" t="s">
        <v>2478</v>
      </c>
      <c r="B2466" s="2">
        <f>HYPERLINK("https://www.suredividend.com/sure-analysis-research-database/","S&amp;W Seed Co")</f>
        <v>0</v>
      </c>
      <c r="C2466" s="1" t="s">
        <v>3184</v>
      </c>
      <c r="D2466" s="3">
        <v>0.2733</v>
      </c>
      <c r="E2466" s="4">
        <v>0</v>
      </c>
      <c r="F2466" s="4" t="s">
        <v>3178</v>
      </c>
      <c r="G2466" s="4" t="s">
        <v>3178</v>
      </c>
      <c r="H2466" s="3">
        <v>0</v>
      </c>
      <c r="I2466" s="5">
        <v>11.845887</v>
      </c>
      <c r="J2466" s="6">
        <v>0</v>
      </c>
      <c r="K2466" s="4" t="s">
        <v>3178</v>
      </c>
      <c r="L2466" s="7">
        <v>0.336047037030009</v>
      </c>
      <c r="M2466" s="3">
        <v>1.33</v>
      </c>
      <c r="N2466" s="3">
        <v>0.2715</v>
      </c>
    </row>
    <row r="2467" spans="1:14">
      <c r="A2467" s="8" t="s">
        <v>2479</v>
      </c>
      <c r="B2467" s="2">
        <f>HYPERLINK("https://www.suredividend.com/sure-analysis-research-database/","Sandy Spring Bancorp")</f>
        <v>0</v>
      </c>
      <c r="C2467" s="1" t="s">
        <v>3180</v>
      </c>
      <c r="D2467" s="3">
        <v>22.27</v>
      </c>
      <c r="E2467" s="4">
        <v>0.05839789995327301</v>
      </c>
      <c r="F2467" s="4">
        <v>0</v>
      </c>
      <c r="G2467" s="4">
        <v>0.02534857565773274</v>
      </c>
      <c r="H2467" s="3">
        <v>1.300521231959395</v>
      </c>
      <c r="I2467" s="5">
        <v>1003.516331</v>
      </c>
      <c r="J2467" s="6">
        <v>10.92167573228998</v>
      </c>
      <c r="K2467" s="4">
        <v>0.6375104078232329</v>
      </c>
      <c r="L2467" s="7">
        <v>1.223223416041057</v>
      </c>
      <c r="M2467" s="3">
        <v>26.28</v>
      </c>
      <c r="N2467" s="3">
        <v>17.6</v>
      </c>
    </row>
    <row r="2468" spans="1:14">
      <c r="A2468" s="8" t="s">
        <v>2480</v>
      </c>
      <c r="B2468" s="2">
        <f>HYPERLINK("https://www.suredividend.com/sure-analysis-research-database/","EchoStar Corp")</f>
        <v>0</v>
      </c>
      <c r="C2468" s="1" t="s">
        <v>3181</v>
      </c>
      <c r="D2468" s="3">
        <v>18.81</v>
      </c>
      <c r="E2468" s="4">
        <v>0</v>
      </c>
      <c r="F2468" s="4" t="s">
        <v>3178</v>
      </c>
      <c r="G2468" s="4" t="s">
        <v>3178</v>
      </c>
      <c r="H2468" s="3">
        <v>0</v>
      </c>
      <c r="I2468" s="5">
        <v>2636.672507</v>
      </c>
      <c r="J2468" s="6" t="s">
        <v>3178</v>
      </c>
      <c r="K2468" s="4">
        <v>-0</v>
      </c>
      <c r="L2468" s="7">
        <v>1.584075679861747</v>
      </c>
      <c r="M2468" s="3">
        <v>24.8</v>
      </c>
      <c r="N2468" s="3">
        <v>9.529999999999999</v>
      </c>
    </row>
    <row r="2469" spans="1:14">
      <c r="A2469" s="8" t="s">
        <v>2481</v>
      </c>
      <c r="B2469" s="2">
        <f>HYPERLINK("https://www.suredividend.com/sure-analysis-research-database/","Cassava Sciences Inc")</f>
        <v>0</v>
      </c>
      <c r="C2469" s="1" t="s">
        <v>3176</v>
      </c>
      <c r="D2469" s="3">
        <v>19.63</v>
      </c>
      <c r="E2469" s="4">
        <v>0</v>
      </c>
      <c r="F2469" s="4" t="s">
        <v>3178</v>
      </c>
      <c r="G2469" s="4" t="s">
        <v>3178</v>
      </c>
      <c r="H2469" s="3">
        <v>0</v>
      </c>
      <c r="I2469" s="5">
        <v>941.772139</v>
      </c>
      <c r="J2469" s="6">
        <v>0</v>
      </c>
      <c r="K2469" s="4" t="s">
        <v>3178</v>
      </c>
      <c r="M2469" s="3">
        <v>32.1</v>
      </c>
      <c r="N2469" s="3">
        <v>12.32</v>
      </c>
    </row>
    <row r="2470" spans="1:14">
      <c r="A2470" s="8" t="s">
        <v>2482</v>
      </c>
      <c r="B2470" s="2">
        <f>HYPERLINK("https://www.suredividend.com/sure-analysis-research-database/","Spirit Airlines Inc")</f>
        <v>0</v>
      </c>
      <c r="C2470" s="1" t="s">
        <v>3179</v>
      </c>
      <c r="D2470" s="3">
        <v>3.5</v>
      </c>
      <c r="E2470" s="4">
        <v>0.247485426769939</v>
      </c>
      <c r="F2470" s="4" t="s">
        <v>3178</v>
      </c>
      <c r="G2470" s="4" t="s">
        <v>3178</v>
      </c>
      <c r="H2470" s="3">
        <v>0.866198993694788</v>
      </c>
      <c r="I2470" s="5">
        <v>383.254883</v>
      </c>
      <c r="J2470" s="6" t="s">
        <v>3178</v>
      </c>
      <c r="K2470" s="4" t="s">
        <v>3178</v>
      </c>
      <c r="L2470" s="7">
        <v>1.444073123134347</v>
      </c>
      <c r="M2470" s="3">
        <v>18.44</v>
      </c>
      <c r="N2470" s="3">
        <v>3.18</v>
      </c>
    </row>
    <row r="2471" spans="1:14">
      <c r="A2471" s="8" t="s">
        <v>2483</v>
      </c>
      <c r="B2471" s="2">
        <f>HYPERLINK("https://www.suredividend.com/sure-analysis-SBAC/","SBA Communications Corp")</f>
        <v>0</v>
      </c>
      <c r="C2471" s="1" t="s">
        <v>3183</v>
      </c>
      <c r="D2471" s="3">
        <v>193.39</v>
      </c>
      <c r="E2471" s="4">
        <v>0.02026992088525777</v>
      </c>
      <c r="F2471" s="4">
        <v>0.1529411764705881</v>
      </c>
      <c r="G2471" s="4">
        <v>0.2150799938747265</v>
      </c>
      <c r="H2471" s="3">
        <v>3.625657316771154</v>
      </c>
      <c r="I2471" s="5">
        <v>20778.404477</v>
      </c>
      <c r="J2471" s="6">
        <v>37.4292598911622</v>
      </c>
      <c r="K2471" s="4">
        <v>0.7095219797986603</v>
      </c>
      <c r="L2471" s="7">
        <v>0.9421107604466871</v>
      </c>
      <c r="M2471" s="3">
        <v>255.2</v>
      </c>
      <c r="N2471" s="3">
        <v>181.35</v>
      </c>
    </row>
    <row r="2472" spans="1:14">
      <c r="A2472" s="8" t="s">
        <v>2484</v>
      </c>
      <c r="B2472" s="2">
        <f>HYPERLINK("https://www.suredividend.com/sure-analysis-research-database/","Seacoast Banking Corp. Of Florida")</f>
        <v>0</v>
      </c>
      <c r="C2472" s="1" t="s">
        <v>3180</v>
      </c>
      <c r="D2472" s="3">
        <v>22.74</v>
      </c>
      <c r="E2472" s="4">
        <v>0.030993055377787</v>
      </c>
      <c r="F2472" s="4" t="s">
        <v>3178</v>
      </c>
      <c r="G2472" s="4" t="s">
        <v>3178</v>
      </c>
      <c r="H2472" s="3">
        <v>0.7047820792908881</v>
      </c>
      <c r="I2472" s="5">
        <v>1931.423128</v>
      </c>
      <c r="J2472" s="6">
        <v>16.33863844584306</v>
      </c>
      <c r="K2472" s="4">
        <v>0.5107116516600638</v>
      </c>
      <c r="L2472" s="7">
        <v>1.367619428414426</v>
      </c>
      <c r="M2472" s="3">
        <v>29.54</v>
      </c>
      <c r="N2472" s="3">
        <v>18.52</v>
      </c>
    </row>
    <row r="2473" spans="1:14">
      <c r="A2473" s="8" t="s">
        <v>2485</v>
      </c>
      <c r="B2473" s="2">
        <f>HYPERLINK("https://www.suredividend.com/sure-analysis-research-database/","SB Financial Group Inc")</f>
        <v>0</v>
      </c>
      <c r="C2473" s="1" t="s">
        <v>3180</v>
      </c>
      <c r="D2473" s="3">
        <v>13.84</v>
      </c>
      <c r="E2473" s="4">
        <v>0.037931823945992</v>
      </c>
      <c r="F2473" s="4">
        <v>0.07692307692307709</v>
      </c>
      <c r="G2473" s="4">
        <v>0.08063961960040023</v>
      </c>
      <c r="H2473" s="3">
        <v>0.524976443412531</v>
      </c>
      <c r="I2473" s="5">
        <v>93.609566</v>
      </c>
      <c r="J2473" s="6">
        <v>0</v>
      </c>
      <c r="K2473" s="4" t="s">
        <v>3178</v>
      </c>
      <c r="M2473" s="3">
        <v>15.64</v>
      </c>
      <c r="N2473" s="3">
        <v>11.38</v>
      </c>
    </row>
    <row r="2474" spans="1:14">
      <c r="A2474" s="8" t="s">
        <v>2486</v>
      </c>
      <c r="B2474" s="2">
        <f>HYPERLINK("https://www.suredividend.com/sure-analysis-research-database/","Sinclair Inc")</f>
        <v>0</v>
      </c>
      <c r="C2474" s="1" t="s">
        <v>3187</v>
      </c>
      <c r="D2474" s="3">
        <v>12.47</v>
      </c>
      <c r="E2474" s="4">
        <v>0.07665819691152301</v>
      </c>
      <c r="F2474" s="4">
        <v>0</v>
      </c>
      <c r="G2474" s="4">
        <v>0.04563955259127317</v>
      </c>
      <c r="H2474" s="3">
        <v>0.9559277154867001</v>
      </c>
      <c r="I2474" s="5">
        <v>528.761968</v>
      </c>
      <c r="J2474" s="6">
        <v>0</v>
      </c>
      <c r="K2474" s="4" t="s">
        <v>3178</v>
      </c>
      <c r="L2474" s="7">
        <v>1.664620876151084</v>
      </c>
      <c r="M2474" s="3">
        <v>16.65</v>
      </c>
      <c r="N2474" s="3">
        <v>8.56</v>
      </c>
    </row>
    <row r="2475" spans="1:14">
      <c r="A2475" s="8" t="s">
        <v>2487</v>
      </c>
      <c r="B2475" s="2">
        <f>HYPERLINK("https://www.suredividend.com/sure-analysis-research-database/","Sally Beauty Holdings Inc")</f>
        <v>0</v>
      </c>
      <c r="C2475" s="1" t="s">
        <v>3182</v>
      </c>
      <c r="D2475" s="3">
        <v>11.39</v>
      </c>
      <c r="E2475" s="4">
        <v>0</v>
      </c>
      <c r="F2475" s="4" t="s">
        <v>3178</v>
      </c>
      <c r="G2475" s="4" t="s">
        <v>3178</v>
      </c>
      <c r="H2475" s="3">
        <v>0</v>
      </c>
      <c r="I2475" s="5">
        <v>1179.026055</v>
      </c>
      <c r="J2475" s="6">
        <v>7.321506089321643</v>
      </c>
      <c r="K2475" s="4">
        <v>0</v>
      </c>
      <c r="L2475" s="7">
        <v>1.563223558980326</v>
      </c>
      <c r="M2475" s="3">
        <v>13.91</v>
      </c>
      <c r="N2475" s="3">
        <v>7.21</v>
      </c>
    </row>
    <row r="2476" spans="1:14">
      <c r="A2476" s="8" t="s">
        <v>2488</v>
      </c>
      <c r="B2476" s="2">
        <f>HYPERLINK("https://www.suredividend.com/sure-analysis-research-database/","Signature Bank")</f>
        <v>0</v>
      </c>
      <c r="C2476" s="1" t="s">
        <v>3180</v>
      </c>
      <c r="D2476" s="3">
        <v>2.29</v>
      </c>
      <c r="E2476" s="4">
        <v>0</v>
      </c>
      <c r="F2476" s="4" t="s">
        <v>3178</v>
      </c>
      <c r="G2476" s="4" t="s">
        <v>3178</v>
      </c>
      <c r="H2476" s="3">
        <v>0</v>
      </c>
      <c r="I2476" s="5">
        <v>138.848624</v>
      </c>
      <c r="J2476" s="6">
        <v>0.106835561805965</v>
      </c>
      <c r="K2476" s="4">
        <v>0</v>
      </c>
      <c r="M2476" s="3">
        <v>4.1</v>
      </c>
      <c r="N2476" s="3">
        <v>0.0003</v>
      </c>
    </row>
    <row r="2477" spans="1:14">
      <c r="A2477" s="8" t="s">
        <v>2489</v>
      </c>
      <c r="B2477" s="2">
        <f>HYPERLINK("https://www.suredividend.com/sure-analysis-research-database/","SilverBow Resources Inc")</f>
        <v>0</v>
      </c>
      <c r="C2477" s="1" t="s">
        <v>3185</v>
      </c>
      <c r="D2477" s="3">
        <v>38</v>
      </c>
      <c r="E2477" s="4">
        <v>0</v>
      </c>
      <c r="F2477" s="4" t="s">
        <v>3178</v>
      </c>
      <c r="G2477" s="4" t="s">
        <v>3178</v>
      </c>
      <c r="H2477" s="3">
        <v>0</v>
      </c>
      <c r="I2477" s="5">
        <v>970.462506</v>
      </c>
      <c r="J2477" s="6">
        <v>0</v>
      </c>
      <c r="K2477" s="4" t="s">
        <v>3178</v>
      </c>
      <c r="L2477" s="7">
        <v>1.023921125411338</v>
      </c>
      <c r="M2477" s="3">
        <v>43.95</v>
      </c>
      <c r="N2477" s="3">
        <v>25.19</v>
      </c>
    </row>
    <row r="2478" spans="1:14">
      <c r="A2478" s="8" t="s">
        <v>2490</v>
      </c>
      <c r="B2478" s="2">
        <f>HYPERLINK("https://www.suredividend.com/sure-analysis-SBRA/","Sabra Healthcare REIT Inc")</f>
        <v>0</v>
      </c>
      <c r="C2478" s="1" t="s">
        <v>3183</v>
      </c>
      <c r="D2478" s="3">
        <v>13.99</v>
      </c>
      <c r="E2478" s="4">
        <v>0.08577555396711936</v>
      </c>
      <c r="F2478" s="4">
        <v>0</v>
      </c>
      <c r="G2478" s="4">
        <v>-0.07789208851827223</v>
      </c>
      <c r="H2478" s="3">
        <v>1.127152655862874</v>
      </c>
      <c r="I2478" s="5">
        <v>3238.623024</v>
      </c>
      <c r="J2478" s="6">
        <v>65.43069326019759</v>
      </c>
      <c r="K2478" s="4">
        <v>5.314251088462394</v>
      </c>
      <c r="L2478" s="7">
        <v>0.8539249042688001</v>
      </c>
      <c r="M2478" s="3">
        <v>14.67</v>
      </c>
      <c r="N2478" s="3">
        <v>9.76</v>
      </c>
    </row>
    <row r="2479" spans="1:14">
      <c r="A2479" s="8" t="s">
        <v>2491</v>
      </c>
      <c r="B2479" s="2">
        <f>HYPERLINK("https://www.suredividend.com/sure-analysis-SBSI/","Southside Bancshares Inc")</f>
        <v>0</v>
      </c>
      <c r="C2479" s="1" t="s">
        <v>3180</v>
      </c>
      <c r="D2479" s="3">
        <v>26.26</v>
      </c>
      <c r="E2479" s="4">
        <v>0.05483625285605483</v>
      </c>
      <c r="F2479" s="4">
        <v>0.02857142857142847</v>
      </c>
      <c r="G2479" s="4">
        <v>0.03035803310185115</v>
      </c>
      <c r="H2479" s="3">
        <v>1.381466424384914</v>
      </c>
      <c r="I2479" s="5">
        <v>795.276537</v>
      </c>
      <c r="J2479" s="6">
        <v>9.678547105599437</v>
      </c>
      <c r="K2479" s="4">
        <v>0.5116542312536718</v>
      </c>
      <c r="L2479" s="7">
        <v>0.8293549481470761</v>
      </c>
      <c r="M2479" s="3">
        <v>32.51</v>
      </c>
      <c r="N2479" s="3">
        <v>23.59</v>
      </c>
    </row>
    <row r="2480" spans="1:14">
      <c r="A2480" s="8" t="s">
        <v>2492</v>
      </c>
      <c r="B2480" s="2">
        <f>HYPERLINK("https://www.suredividend.com/sure-analysis-research-database/","Sterling Bancorp Inc")</f>
        <v>0</v>
      </c>
      <c r="C2480" s="1" t="s">
        <v>3180</v>
      </c>
      <c r="D2480" s="3">
        <v>4.85</v>
      </c>
      <c r="E2480" s="4">
        <v>0</v>
      </c>
      <c r="F2480" s="4" t="s">
        <v>3178</v>
      </c>
      <c r="G2480" s="4" t="s">
        <v>3178</v>
      </c>
      <c r="H2480" s="3">
        <v>0</v>
      </c>
      <c r="I2480" s="5">
        <v>252.326042</v>
      </c>
      <c r="J2480" s="6">
        <v>0</v>
      </c>
      <c r="K2480" s="4" t="s">
        <v>3178</v>
      </c>
      <c r="L2480" s="7">
        <v>0.486271565456813</v>
      </c>
      <c r="M2480" s="3">
        <v>6.26</v>
      </c>
      <c r="N2480" s="3">
        <v>4.55</v>
      </c>
    </row>
    <row r="2481" spans="1:14">
      <c r="A2481" s="8" t="s">
        <v>2493</v>
      </c>
      <c r="B2481" s="2">
        <f>HYPERLINK("https://www.suredividend.com/sure-analysis-SBUX/","Starbucks Corp.")</f>
        <v>0</v>
      </c>
      <c r="C2481" s="1" t="s">
        <v>3182</v>
      </c>
      <c r="D2481" s="3">
        <v>81.43000000000001</v>
      </c>
      <c r="E2481" s="4">
        <v>0.02799950878054771</v>
      </c>
      <c r="F2481" s="4">
        <v>0.07547169811320753</v>
      </c>
      <c r="G2481" s="4">
        <v>0.06811545670713715</v>
      </c>
      <c r="H2481" s="3">
        <v>2.196409745668486</v>
      </c>
      <c r="I2481" s="5">
        <v>92235.761</v>
      </c>
      <c r="J2481" s="6">
        <v>22.18378974457647</v>
      </c>
      <c r="K2481" s="4">
        <v>0.6050715552805747</v>
      </c>
      <c r="L2481" s="7">
        <v>0.7887229243745101</v>
      </c>
      <c r="M2481" s="3">
        <v>104.78</v>
      </c>
      <c r="N2481" s="3">
        <v>70.72</v>
      </c>
    </row>
    <row r="2482" spans="1:14">
      <c r="A2482" s="8" t="s">
        <v>2494</v>
      </c>
      <c r="B2482" s="2">
        <f>HYPERLINK("https://www.suredividend.com/sure-analysis-research-database/","Santander Consumer USA Holdings Inc")</f>
        <v>0</v>
      </c>
      <c r="C2482" s="1" t="s">
        <v>3180</v>
      </c>
      <c r="D2482" s="3">
        <v>41.6</v>
      </c>
      <c r="E2482" s="4">
        <v>0.021064617170041</v>
      </c>
      <c r="F2482" s="4" t="s">
        <v>3178</v>
      </c>
      <c r="G2482" s="4" t="s">
        <v>3178</v>
      </c>
      <c r="H2482" s="3">
        <v>0.876288074273708</v>
      </c>
      <c r="I2482" s="5">
        <v>12734.233366</v>
      </c>
      <c r="J2482" s="6">
        <v>4.128269460896921</v>
      </c>
      <c r="K2482" s="4">
        <v>0.08701966973919642</v>
      </c>
      <c r="L2482" s="7">
        <v>0.517602015906645</v>
      </c>
      <c r="M2482" s="3">
        <v>42.87</v>
      </c>
      <c r="N2482" s="3">
        <v>21.61</v>
      </c>
    </row>
    <row r="2483" spans="1:14">
      <c r="A2483" s="8" t="s">
        <v>2495</v>
      </c>
      <c r="B2483" s="2">
        <f>HYPERLINK("https://www.suredividend.com/sure-analysis-SCHL/","Scholastic Corp.")</f>
        <v>0</v>
      </c>
      <c r="C2483" s="1" t="s">
        <v>3187</v>
      </c>
      <c r="D2483" s="3">
        <v>34.73</v>
      </c>
      <c r="E2483" s="4">
        <v>0.02303484019579614</v>
      </c>
      <c r="F2483" s="4">
        <v>0</v>
      </c>
      <c r="G2483" s="4">
        <v>0.05922384104881218</v>
      </c>
      <c r="H2483" s="3">
        <v>0.78731886169511</v>
      </c>
      <c r="I2483" s="5">
        <v>964.715076</v>
      </c>
      <c r="J2483" s="6">
        <v>18.58795906666666</v>
      </c>
      <c r="K2483" s="4">
        <v>0.4830177065614172</v>
      </c>
      <c r="L2483" s="7">
        <v>0.511983306443735</v>
      </c>
      <c r="M2483" s="3">
        <v>44.13</v>
      </c>
      <c r="N2483" s="3">
        <v>31.48</v>
      </c>
    </row>
    <row r="2484" spans="1:14">
      <c r="A2484" s="8" t="s">
        <v>2496</v>
      </c>
      <c r="B2484" s="2">
        <f>HYPERLINK("https://www.suredividend.com/sure-analysis-SCHW/","Charles Schwab Corp.")</f>
        <v>0</v>
      </c>
      <c r="C2484" s="1" t="s">
        <v>3180</v>
      </c>
      <c r="D2484" s="3">
        <v>73.93000000000001</v>
      </c>
      <c r="E2484" s="4">
        <v>0.01352630867036386</v>
      </c>
      <c r="F2484" s="4">
        <v>0</v>
      </c>
      <c r="G2484" s="4">
        <v>0.0801851873035635</v>
      </c>
      <c r="H2484" s="3">
        <v>0.9944198566654221</v>
      </c>
      <c r="I2484" s="5">
        <v>131394.406805</v>
      </c>
      <c r="J2484" s="6">
        <v>30.08802537318984</v>
      </c>
      <c r="K2484" s="4">
        <v>0.4160752538349046</v>
      </c>
      <c r="L2484" s="7">
        <v>1.108914784549111</v>
      </c>
      <c r="M2484" s="3">
        <v>79.48999999999999</v>
      </c>
      <c r="N2484" s="3">
        <v>48.09</v>
      </c>
    </row>
    <row r="2485" spans="1:14">
      <c r="A2485" s="8" t="s">
        <v>2497</v>
      </c>
      <c r="B2485" s="2">
        <f>HYPERLINK("https://www.suredividend.com/sure-analysis-SCI/","Service Corp. International")</f>
        <v>0</v>
      </c>
      <c r="C2485" s="1" t="s">
        <v>3182</v>
      </c>
      <c r="D2485" s="3">
        <v>71.26000000000001</v>
      </c>
      <c r="E2485" s="4">
        <v>0.01683974179062588</v>
      </c>
      <c r="F2485" s="4">
        <v>0.1111111111111112</v>
      </c>
      <c r="G2485" s="4">
        <v>0.1075663432482901</v>
      </c>
      <c r="H2485" s="3">
        <v>1.142931820693035</v>
      </c>
      <c r="I2485" s="5">
        <v>10376.277842</v>
      </c>
      <c r="J2485" s="6">
        <v>19.80753804312262</v>
      </c>
      <c r="K2485" s="4">
        <v>0.3284286841071939</v>
      </c>
      <c r="L2485" s="7">
        <v>0.7361263242036651</v>
      </c>
      <c r="M2485" s="3">
        <v>75.67</v>
      </c>
      <c r="N2485" s="3">
        <v>52.45</v>
      </c>
    </row>
    <row r="2486" spans="1:14">
      <c r="A2486" s="8" t="s">
        <v>2498</v>
      </c>
      <c r="B2486" s="2">
        <f>HYPERLINK("https://www.suredividend.com/sure-analysis-SCL/","Stepan Co.")</f>
        <v>0</v>
      </c>
      <c r="C2486" s="1" t="s">
        <v>3177</v>
      </c>
      <c r="D2486" s="3">
        <v>84.16</v>
      </c>
      <c r="E2486" s="4">
        <v>0.01782319391634981</v>
      </c>
      <c r="F2486" s="4">
        <v>0.02739726027397271</v>
      </c>
      <c r="G2486" s="4">
        <v>0.08447177119769855</v>
      </c>
      <c r="H2486" s="3">
        <v>1.480299479983513</v>
      </c>
      <c r="I2486" s="5">
        <v>1891.488426</v>
      </c>
      <c r="J2486" s="6">
        <v>49.83502636279805</v>
      </c>
      <c r="K2486" s="4">
        <v>0.8971511999900079</v>
      </c>
      <c r="L2486" s="7">
        <v>0.9897431433758551</v>
      </c>
      <c r="M2486" s="3">
        <v>97.11</v>
      </c>
      <c r="N2486" s="3">
        <v>62.76</v>
      </c>
    </row>
    <row r="2487" spans="1:14">
      <c r="A2487" s="8" t="s">
        <v>2499</v>
      </c>
      <c r="B2487" s="2">
        <f>HYPERLINK("https://www.suredividend.com/sure-analysis-research-database/","Superconductor Technologies Inc.")</f>
        <v>0</v>
      </c>
      <c r="C2487" s="1" t="s">
        <v>3181</v>
      </c>
      <c r="D2487" s="3">
        <v>2.65</v>
      </c>
      <c r="E2487" s="4">
        <v>0</v>
      </c>
      <c r="F2487" s="4" t="s">
        <v>3178</v>
      </c>
      <c r="G2487" s="4" t="s">
        <v>3178</v>
      </c>
      <c r="H2487" s="3">
        <v>0</v>
      </c>
      <c r="I2487" s="5">
        <v>8.352217</v>
      </c>
      <c r="J2487" s="6">
        <v>0</v>
      </c>
      <c r="K2487" s="4" t="s">
        <v>3178</v>
      </c>
      <c r="M2487" s="3">
        <v>4</v>
      </c>
      <c r="N2487" s="3">
        <v>0.77</v>
      </c>
    </row>
    <row r="2488" spans="1:14">
      <c r="A2488" s="8" t="s">
        <v>2500</v>
      </c>
      <c r="B2488" s="2">
        <f>HYPERLINK("https://www.suredividend.com/sure-analysis-research-database/","Comscore Inc.")</f>
        <v>0</v>
      </c>
      <c r="C2488" s="1" t="s">
        <v>3187</v>
      </c>
      <c r="D2488" s="3">
        <v>13.33</v>
      </c>
      <c r="E2488" s="4">
        <v>0</v>
      </c>
      <c r="F2488" s="4" t="s">
        <v>3178</v>
      </c>
      <c r="G2488" s="4" t="s">
        <v>3178</v>
      </c>
      <c r="H2488" s="3">
        <v>0</v>
      </c>
      <c r="I2488" s="5">
        <v>64.434821</v>
      </c>
      <c r="J2488" s="6" t="s">
        <v>3178</v>
      </c>
      <c r="K2488" s="4">
        <v>-0</v>
      </c>
      <c r="L2488" s="7">
        <v>0.537703113170067</v>
      </c>
      <c r="M2488" s="3">
        <v>20.97</v>
      </c>
      <c r="N2488" s="3">
        <v>9.6</v>
      </c>
    </row>
    <row r="2489" spans="1:14">
      <c r="A2489" s="8" t="s">
        <v>2501</v>
      </c>
      <c r="B2489" s="2">
        <f>HYPERLINK("https://www.suredividend.com/sure-analysis-research-database/","Sciplay Corp")</f>
        <v>0</v>
      </c>
      <c r="C2489" s="1" t="s">
        <v>3187</v>
      </c>
      <c r="D2489" s="3">
        <v>22.94</v>
      </c>
      <c r="E2489" s="4">
        <v>0</v>
      </c>
      <c r="F2489" s="4" t="s">
        <v>3178</v>
      </c>
      <c r="G2489" s="4" t="s">
        <v>3178</v>
      </c>
      <c r="H2489" s="3">
        <v>0</v>
      </c>
      <c r="I2489" s="5">
        <v>0</v>
      </c>
      <c r="J2489" s="6">
        <v>0</v>
      </c>
      <c r="K2489" s="4">
        <v>0</v>
      </c>
    </row>
    <row r="2490" spans="1:14">
      <c r="A2490" s="8" t="s">
        <v>2502</v>
      </c>
      <c r="B2490" s="2">
        <f>HYPERLINK("https://www.suredividend.com/sure-analysis-research-database/","Steelcase, Inc.")</f>
        <v>0</v>
      </c>
      <c r="C2490" s="1" t="s">
        <v>3179</v>
      </c>
      <c r="D2490" s="3">
        <v>12.53</v>
      </c>
      <c r="E2490" s="4">
        <v>0.031550014663134</v>
      </c>
      <c r="F2490" s="4">
        <v>0</v>
      </c>
      <c r="G2490" s="4">
        <v>-0.07161866687692386</v>
      </c>
      <c r="H2490" s="3">
        <v>0.3953216837290771</v>
      </c>
      <c r="I2490" s="5">
        <v>1175.815563</v>
      </c>
      <c r="J2490" s="6">
        <v>15.07455850474359</v>
      </c>
      <c r="K2490" s="4">
        <v>0.5803313031842</v>
      </c>
      <c r="L2490" s="7">
        <v>0.8998644504670861</v>
      </c>
      <c r="M2490" s="3">
        <v>14.32</v>
      </c>
      <c r="N2490" s="3">
        <v>6.84</v>
      </c>
    </row>
    <row r="2491" spans="1:14">
      <c r="A2491" s="8" t="s">
        <v>2503</v>
      </c>
      <c r="B2491" s="2">
        <f>HYPERLINK("https://www.suredividend.com/sure-analysis-research-database/","Scansource, Inc.")</f>
        <v>0</v>
      </c>
      <c r="C2491" s="1" t="s">
        <v>3181</v>
      </c>
      <c r="D2491" s="3">
        <v>46.04</v>
      </c>
      <c r="E2491" s="4">
        <v>0</v>
      </c>
      <c r="F2491" s="4" t="s">
        <v>3178</v>
      </c>
      <c r="G2491" s="4" t="s">
        <v>3178</v>
      </c>
      <c r="H2491" s="3">
        <v>0</v>
      </c>
      <c r="I2491" s="5">
        <v>1137.611752</v>
      </c>
      <c r="J2491" s="6">
        <v>14.26007511231448</v>
      </c>
      <c r="K2491" s="4">
        <v>0</v>
      </c>
      <c r="L2491" s="7">
        <v>1.230163080332629</v>
      </c>
      <c r="M2491" s="3">
        <v>50.95</v>
      </c>
      <c r="N2491" s="3">
        <v>26.99</v>
      </c>
    </row>
    <row r="2492" spans="1:14">
      <c r="A2492" s="8" t="s">
        <v>2504</v>
      </c>
      <c r="B2492" s="2">
        <f>HYPERLINK("https://www.suredividend.com/sure-analysis-research-database/","Shoe Carnival, Inc.")</f>
        <v>0</v>
      </c>
      <c r="C2492" s="1" t="s">
        <v>3182</v>
      </c>
      <c r="D2492" s="3">
        <v>36.29</v>
      </c>
      <c r="E2492" s="4">
        <v>0.012938086263646</v>
      </c>
      <c r="F2492" s="4">
        <v>0.3500000000000001</v>
      </c>
      <c r="G2492" s="4">
        <v>0.09694024046466465</v>
      </c>
      <c r="H2492" s="3">
        <v>0.469523150507746</v>
      </c>
      <c r="I2492" s="5">
        <v>985.575505</v>
      </c>
      <c r="J2492" s="6">
        <v>13.4369785867372</v>
      </c>
      <c r="K2492" s="4">
        <v>0.1751952054133381</v>
      </c>
      <c r="L2492" s="7">
        <v>1.083764636094297</v>
      </c>
      <c r="M2492" s="3">
        <v>39.65</v>
      </c>
      <c r="N2492" s="3">
        <v>19.35</v>
      </c>
    </row>
    <row r="2493" spans="1:14">
      <c r="A2493" s="8" t="s">
        <v>2505</v>
      </c>
      <c r="B2493" s="2">
        <f>HYPERLINK("https://www.suredividend.com/sure-analysis-research-database/","SecureWorks Corp")</f>
        <v>0</v>
      </c>
      <c r="C2493" s="1" t="s">
        <v>3181</v>
      </c>
      <c r="D2493" s="3">
        <v>6.36</v>
      </c>
      <c r="E2493" s="4">
        <v>0</v>
      </c>
      <c r="F2493" s="4" t="s">
        <v>3178</v>
      </c>
      <c r="G2493" s="4" t="s">
        <v>3178</v>
      </c>
      <c r="H2493" s="3">
        <v>0</v>
      </c>
      <c r="I2493" s="5">
        <v>116.787701</v>
      </c>
      <c r="J2493" s="6" t="s">
        <v>3178</v>
      </c>
      <c r="K2493" s="4">
        <v>-0</v>
      </c>
      <c r="L2493" s="7">
        <v>0.564192332927951</v>
      </c>
      <c r="M2493" s="3">
        <v>8.199999999999999</v>
      </c>
      <c r="N2493" s="3">
        <v>5.4</v>
      </c>
    </row>
    <row r="2494" spans="1:14">
      <c r="A2494" s="8" t="s">
        <v>2506</v>
      </c>
      <c r="B2494" s="2">
        <f>HYPERLINK("https://www.suredividend.com/sure-analysis-research-database/","L.S. Starrett Co.")</f>
        <v>0</v>
      </c>
      <c r="C2494" s="1" t="s">
        <v>3179</v>
      </c>
      <c r="D2494" s="3">
        <v>16.18</v>
      </c>
      <c r="E2494" s="4">
        <v>0</v>
      </c>
      <c r="F2494" s="4" t="s">
        <v>3178</v>
      </c>
      <c r="G2494" s="4" t="s">
        <v>3178</v>
      </c>
      <c r="H2494" s="3">
        <v>0</v>
      </c>
      <c r="I2494" s="5">
        <v>113.384861</v>
      </c>
      <c r="J2494" s="6">
        <v>0</v>
      </c>
      <c r="K2494" s="4" t="s">
        <v>3178</v>
      </c>
      <c r="L2494" s="7">
        <v>0.454209033995542</v>
      </c>
      <c r="M2494" s="3">
        <v>16.19</v>
      </c>
      <c r="N2494" s="3">
        <v>8.550000000000001</v>
      </c>
    </row>
    <row r="2495" spans="1:14">
      <c r="A2495" s="8" t="s">
        <v>2507</v>
      </c>
      <c r="B2495" s="2">
        <f>HYPERLINK("https://www.suredividend.com/sure-analysis-research-database/","Scynexis Inc")</f>
        <v>0</v>
      </c>
      <c r="C2495" s="1" t="s">
        <v>3176</v>
      </c>
      <c r="D2495" s="3">
        <v>2.22</v>
      </c>
      <c r="E2495" s="4">
        <v>0</v>
      </c>
      <c r="F2495" s="4" t="s">
        <v>3178</v>
      </c>
      <c r="G2495" s="4" t="s">
        <v>3178</v>
      </c>
      <c r="H2495" s="3">
        <v>0</v>
      </c>
      <c r="I2495" s="5">
        <v>83.87114699999999</v>
      </c>
      <c r="J2495" s="6">
        <v>0.827719358124111</v>
      </c>
      <c r="K2495" s="4">
        <v>0</v>
      </c>
      <c r="L2495" s="7">
        <v>1.555893478367986</v>
      </c>
      <c r="M2495" s="3">
        <v>3.87</v>
      </c>
      <c r="N2495" s="3">
        <v>1.35</v>
      </c>
    </row>
    <row r="2496" spans="1:14">
      <c r="A2496" s="8" t="s">
        <v>2508</v>
      </c>
      <c r="B2496" s="2">
        <f>HYPERLINK("https://www.suredividend.com/sure-analysis-research-database/","Sandridge Energy Inc")</f>
        <v>0</v>
      </c>
      <c r="C2496" s="1" t="s">
        <v>3185</v>
      </c>
      <c r="D2496" s="3">
        <v>13.03</v>
      </c>
      <c r="E2496" s="4">
        <v>0.030315805288158</v>
      </c>
      <c r="F2496" s="4" t="s">
        <v>3178</v>
      </c>
      <c r="G2496" s="4" t="s">
        <v>3178</v>
      </c>
      <c r="H2496" s="3">
        <v>0.3950149429047</v>
      </c>
      <c r="I2496" s="5">
        <v>483.744614</v>
      </c>
      <c r="J2496" s="6">
        <v>0</v>
      </c>
      <c r="K2496" s="4" t="s">
        <v>3178</v>
      </c>
      <c r="L2496" s="7">
        <v>0.5331740276110281</v>
      </c>
      <c r="M2496" s="3">
        <v>15.19</v>
      </c>
      <c r="N2496" s="3">
        <v>11.33</v>
      </c>
    </row>
    <row r="2497" spans="1:14">
      <c r="A2497" s="8" t="s">
        <v>2509</v>
      </c>
      <c r="B2497" s="2">
        <f>HYPERLINK("https://www.suredividend.com/sure-analysis-research-database/","Superior Drilling Products Inc")</f>
        <v>0</v>
      </c>
      <c r="C2497" s="1" t="s">
        <v>3185</v>
      </c>
      <c r="D2497" s="3">
        <v>1.23</v>
      </c>
      <c r="E2497" s="4">
        <v>0</v>
      </c>
      <c r="F2497" s="4" t="s">
        <v>3178</v>
      </c>
      <c r="G2497" s="4" t="s">
        <v>3178</v>
      </c>
      <c r="H2497" s="3">
        <v>0</v>
      </c>
      <c r="I2497" s="5">
        <v>37.38123</v>
      </c>
      <c r="J2497" s="6">
        <v>9.116399301733132</v>
      </c>
      <c r="K2497" s="4">
        <v>0</v>
      </c>
      <c r="L2497" s="7">
        <v>0.487510193402276</v>
      </c>
      <c r="M2497" s="3">
        <v>2.21</v>
      </c>
      <c r="N2497" s="3">
        <v>0.58</v>
      </c>
    </row>
    <row r="2498" spans="1:14">
      <c r="A2498" s="8" t="s">
        <v>2510</v>
      </c>
      <c r="B2498" s="2">
        <f>HYPERLINK("https://www.suredividend.com/sure-analysis-research-database/","Seachange International Inc.")</f>
        <v>0</v>
      </c>
      <c r="C2498" s="1" t="s">
        <v>3181</v>
      </c>
      <c r="D2498" s="3">
        <v>5.82</v>
      </c>
      <c r="E2498" s="4">
        <v>0</v>
      </c>
      <c r="F2498" s="4" t="s">
        <v>3178</v>
      </c>
      <c r="G2498" s="4" t="s">
        <v>3178</v>
      </c>
      <c r="H2498" s="3">
        <v>0</v>
      </c>
      <c r="I2498" s="5">
        <v>0</v>
      </c>
      <c r="J2498" s="6">
        <v>0</v>
      </c>
      <c r="K2498" s="4">
        <v>-0</v>
      </c>
    </row>
    <row r="2499" spans="1:14">
      <c r="A2499" s="8" t="s">
        <v>2511</v>
      </c>
      <c r="B2499" s="2">
        <f>HYPERLINK("https://www.suredividend.com/sure-analysis-research-database/","Seaboard Corp.")</f>
        <v>0</v>
      </c>
      <c r="C2499" s="1" t="s">
        <v>3179</v>
      </c>
      <c r="D2499" s="3">
        <v>3197.26</v>
      </c>
      <c r="E2499" s="4">
        <v>0.002809788346324</v>
      </c>
      <c r="F2499" s="4">
        <v>0</v>
      </c>
      <c r="G2499" s="4">
        <v>0</v>
      </c>
      <c r="H2499" s="3">
        <v>8.983623888168005</v>
      </c>
      <c r="I2499" s="5">
        <v>3104.715309</v>
      </c>
      <c r="J2499" s="6">
        <v>11.7602852625</v>
      </c>
      <c r="K2499" s="4">
        <v>0.03641812829644886</v>
      </c>
      <c r="L2499" s="7">
        <v>0.109110450239723</v>
      </c>
      <c r="M2499" s="3">
        <v>3849.3</v>
      </c>
      <c r="N2499" s="3">
        <v>3043.98</v>
      </c>
    </row>
    <row r="2500" spans="1:14">
      <c r="A2500" s="8" t="s">
        <v>2512</v>
      </c>
      <c r="B2500" s="2">
        <f>HYPERLINK("https://www.suredividend.com/sure-analysis-research-database/","Solaredge Technologies Inc")</f>
        <v>0</v>
      </c>
      <c r="C2500" s="1" t="s">
        <v>3181</v>
      </c>
      <c r="D2500" s="3">
        <v>46.29</v>
      </c>
      <c r="E2500" s="4">
        <v>0</v>
      </c>
      <c r="F2500" s="4" t="s">
        <v>3178</v>
      </c>
      <c r="G2500" s="4" t="s">
        <v>3178</v>
      </c>
      <c r="H2500" s="3">
        <v>0</v>
      </c>
      <c r="I2500" s="5">
        <v>2652.389411</v>
      </c>
      <c r="J2500" s="6" t="s">
        <v>3178</v>
      </c>
      <c r="K2500" s="4">
        <v>-0</v>
      </c>
      <c r="L2500" s="7">
        <v>2.644492896110702</v>
      </c>
      <c r="M2500" s="3">
        <v>292.49</v>
      </c>
      <c r="N2500" s="3">
        <v>46.05</v>
      </c>
    </row>
    <row r="2501" spans="1:14">
      <c r="A2501" s="8" t="s">
        <v>2513</v>
      </c>
      <c r="B2501" s="2">
        <f>HYPERLINK("https://www.suredividend.com/sure-analysis-research-database/","Sealed Air Corp.")</f>
        <v>0</v>
      </c>
      <c r="C2501" s="1" t="s">
        <v>3182</v>
      </c>
      <c r="D2501" s="3">
        <v>38.68</v>
      </c>
      <c r="E2501" s="4">
        <v>0.015422726864618</v>
      </c>
      <c r="F2501" s="4" t="s">
        <v>3178</v>
      </c>
      <c r="G2501" s="4" t="s">
        <v>3178</v>
      </c>
      <c r="H2501" s="3">
        <v>0.5965510751234421</v>
      </c>
      <c r="I2501" s="5">
        <v>5632.375358</v>
      </c>
      <c r="J2501" s="6">
        <v>15.57195288426873</v>
      </c>
      <c r="K2501" s="4">
        <v>0.2395787450294948</v>
      </c>
      <c r="L2501" s="7">
        <v>1.27442530851526</v>
      </c>
      <c r="M2501" s="3">
        <v>46.31</v>
      </c>
      <c r="N2501" s="3">
        <v>28.17</v>
      </c>
    </row>
    <row r="2502" spans="1:14">
      <c r="A2502" s="8" t="s">
        <v>2514</v>
      </c>
      <c r="B2502" s="2">
        <f>HYPERLINK("https://www.suredividend.com/sure-analysis-research-database/","Seelos Therapeutics Inc")</f>
        <v>0</v>
      </c>
      <c r="C2502" s="1" t="s">
        <v>3176</v>
      </c>
      <c r="D2502" s="3">
        <v>1.07</v>
      </c>
      <c r="E2502" s="4">
        <v>0</v>
      </c>
      <c r="F2502" s="4" t="s">
        <v>3178</v>
      </c>
      <c r="G2502" s="4" t="s">
        <v>3178</v>
      </c>
      <c r="H2502" s="3">
        <v>0</v>
      </c>
      <c r="I2502" s="5">
        <v>18.601563</v>
      </c>
      <c r="J2502" s="6">
        <v>0</v>
      </c>
      <c r="K2502" s="4" t="s">
        <v>3178</v>
      </c>
      <c r="M2502" s="3">
        <v>398.4</v>
      </c>
      <c r="N2502" s="3">
        <v>1.06</v>
      </c>
    </row>
    <row r="2503" spans="1:14">
      <c r="A2503" s="8" t="s">
        <v>2515</v>
      </c>
      <c r="B2503" s="2">
        <f>HYPERLINK("https://www.suredividend.com/sure-analysis-SEIC/","SEI Investments Co.")</f>
        <v>0</v>
      </c>
      <c r="C2503" s="1" t="s">
        <v>3180</v>
      </c>
      <c r="D2503" s="3">
        <v>65.26000000000001</v>
      </c>
      <c r="E2503" s="4">
        <v>0.01409745632853203</v>
      </c>
      <c r="F2503" s="4" t="s">
        <v>3178</v>
      </c>
      <c r="G2503" s="4" t="s">
        <v>3178</v>
      </c>
      <c r="H2503" s="3">
        <v>0.8838942200183501</v>
      </c>
      <c r="I2503" s="5">
        <v>8574.410051000001</v>
      </c>
      <c r="J2503" s="6">
        <v>17.61950762924772</v>
      </c>
      <c r="K2503" s="4">
        <v>0.2415011530104781</v>
      </c>
      <c r="L2503" s="7">
        <v>0.928993596411241</v>
      </c>
      <c r="M2503" s="3">
        <v>72.54000000000001</v>
      </c>
      <c r="N2503" s="3">
        <v>51.45</v>
      </c>
    </row>
    <row r="2504" spans="1:14">
      <c r="A2504" s="8" t="s">
        <v>2516</v>
      </c>
      <c r="B2504" s="2">
        <f>HYPERLINK("https://www.suredividend.com/sure-analysis-research-database/","Selecta Biosciences Inc")</f>
        <v>0</v>
      </c>
      <c r="C2504" s="1" t="s">
        <v>3176</v>
      </c>
      <c r="D2504" s="3">
        <v>0.8812000000000001</v>
      </c>
      <c r="E2504" s="4">
        <v>0</v>
      </c>
      <c r="F2504" s="4" t="s">
        <v>3178</v>
      </c>
      <c r="G2504" s="4" t="s">
        <v>3178</v>
      </c>
      <c r="H2504" s="3">
        <v>0</v>
      </c>
      <c r="I2504" s="5">
        <v>136.765573</v>
      </c>
      <c r="J2504" s="6">
        <v>0</v>
      </c>
      <c r="K2504" s="4" t="s">
        <v>3178</v>
      </c>
      <c r="L2504" s="7">
        <v>1.356027901145532</v>
      </c>
      <c r="M2504" s="3">
        <v>1.99</v>
      </c>
      <c r="N2504" s="3">
        <v>0.8100000000000001</v>
      </c>
    </row>
    <row r="2505" spans="1:14">
      <c r="A2505" s="8" t="s">
        <v>2517</v>
      </c>
      <c r="B2505" s="2">
        <f>HYPERLINK("https://www.suredividend.com/sure-analysis-research-database/","Global Self Storage Inc")</f>
        <v>0</v>
      </c>
      <c r="C2505" s="1" t="s">
        <v>3183</v>
      </c>
      <c r="D2505" s="3">
        <v>4.8901</v>
      </c>
      <c r="E2505" s="4">
        <v>0.05651792832718101</v>
      </c>
      <c r="F2505" s="4">
        <v>0</v>
      </c>
      <c r="G2505" s="4">
        <v>0.0220800938152379</v>
      </c>
      <c r="H2505" s="3">
        <v>0.276378321312748</v>
      </c>
      <c r="I2505" s="5">
        <v>55.06189</v>
      </c>
      <c r="J2505" s="6">
        <v>0</v>
      </c>
      <c r="K2505" s="4" t="s">
        <v>3178</v>
      </c>
      <c r="L2505" s="7">
        <v>0.035212839994835</v>
      </c>
      <c r="M2505" s="3">
        <v>5.85</v>
      </c>
      <c r="N2505" s="3">
        <v>3.87</v>
      </c>
    </row>
    <row r="2506" spans="1:14">
      <c r="A2506" s="8" t="s">
        <v>2518</v>
      </c>
      <c r="B2506" s="2">
        <f>HYPERLINK("https://www.suredividend.com/sure-analysis-research-database/","Select Medical Holdings Corporation")</f>
        <v>0</v>
      </c>
      <c r="C2506" s="1" t="s">
        <v>3176</v>
      </c>
      <c r="D2506" s="3">
        <v>33.46</v>
      </c>
      <c r="E2506" s="4">
        <v>0.014846588949478</v>
      </c>
      <c r="F2506" s="4" t="s">
        <v>3178</v>
      </c>
      <c r="G2506" s="4" t="s">
        <v>3178</v>
      </c>
      <c r="H2506" s="3">
        <v>0.49676686624954</v>
      </c>
      <c r="I2506" s="5">
        <v>4350.856065</v>
      </c>
      <c r="J2506" s="6">
        <v>16.51912258771447</v>
      </c>
      <c r="K2506" s="4">
        <v>0.2354345337675545</v>
      </c>
      <c r="L2506" s="7">
        <v>0.9001008207609721</v>
      </c>
      <c r="M2506" s="3">
        <v>35.08</v>
      </c>
      <c r="N2506" s="3">
        <v>20.98</v>
      </c>
    </row>
    <row r="2507" spans="1:14">
      <c r="A2507" s="8" t="s">
        <v>2519</v>
      </c>
      <c r="B2507" s="2">
        <f>HYPERLINK("https://www.suredividend.com/sure-analysis-research-database/","Seneca Foods Corp.")</f>
        <v>0</v>
      </c>
      <c r="C2507" s="1" t="s">
        <v>3184</v>
      </c>
      <c r="D2507" s="3">
        <v>58.9</v>
      </c>
      <c r="E2507" s="4">
        <v>0</v>
      </c>
      <c r="F2507" s="4" t="s">
        <v>3178</v>
      </c>
      <c r="G2507" s="4" t="s">
        <v>3178</v>
      </c>
      <c r="H2507" s="3">
        <v>0</v>
      </c>
      <c r="I2507" s="5">
        <v>419.054773</v>
      </c>
      <c r="J2507" s="6">
        <v>12.87497764839621</v>
      </c>
      <c r="K2507" s="4">
        <v>0</v>
      </c>
      <c r="L2507" s="7">
        <v>0.370724913850568</v>
      </c>
      <c r="M2507" s="3">
        <v>63.37</v>
      </c>
      <c r="N2507" s="3">
        <v>32.5</v>
      </c>
    </row>
    <row r="2508" spans="1:14">
      <c r="A2508" s="8" t="s">
        <v>2520</v>
      </c>
      <c r="B2508" s="2">
        <f>HYPERLINK("https://www.suredividend.com/sure-analysis-research-database/","Seneca Foods Corp.")</f>
        <v>0</v>
      </c>
      <c r="C2508" s="1" t="s">
        <v>3184</v>
      </c>
      <c r="D2508" s="3">
        <v>60.2</v>
      </c>
      <c r="E2508" s="4">
        <v>0</v>
      </c>
      <c r="F2508" s="4" t="s">
        <v>3178</v>
      </c>
      <c r="G2508" s="4" t="s">
        <v>3178</v>
      </c>
      <c r="H2508" s="3">
        <v>0</v>
      </c>
      <c r="I2508" s="5">
        <v>419.054773</v>
      </c>
      <c r="J2508" s="6">
        <v>12.87497764839621</v>
      </c>
      <c r="K2508" s="4">
        <v>0</v>
      </c>
      <c r="M2508" s="3">
        <v>63.56</v>
      </c>
      <c r="N2508" s="3">
        <v>31.51</v>
      </c>
    </row>
    <row r="2509" spans="1:14">
      <c r="A2509" s="8" t="s">
        <v>2521</v>
      </c>
      <c r="B2509" s="2">
        <f>HYPERLINK("https://www.suredividend.com/sure-analysis-research-database/","Senseonics Holdings Inc")</f>
        <v>0</v>
      </c>
      <c r="C2509" s="1" t="s">
        <v>3176</v>
      </c>
      <c r="D2509" s="3">
        <v>0.41</v>
      </c>
      <c r="E2509" s="4">
        <v>0</v>
      </c>
      <c r="F2509" s="4" t="s">
        <v>3178</v>
      </c>
      <c r="G2509" s="4" t="s">
        <v>3178</v>
      </c>
      <c r="H2509" s="3">
        <v>0</v>
      </c>
      <c r="I2509" s="5">
        <v>217.663433</v>
      </c>
      <c r="J2509" s="6" t="s">
        <v>3178</v>
      </c>
      <c r="K2509" s="4">
        <v>-0</v>
      </c>
      <c r="L2509" s="7">
        <v>1.527783934310323</v>
      </c>
      <c r="M2509" s="3">
        <v>1.05</v>
      </c>
      <c r="N2509" s="3">
        <v>0.3838</v>
      </c>
    </row>
    <row r="2510" spans="1:14">
      <c r="A2510" s="8" t="s">
        <v>2522</v>
      </c>
      <c r="B2510" s="2">
        <f>HYPERLINK("https://www.suredividend.com/sure-analysis-research-database/","Serve Robotics Inc")</f>
        <v>0</v>
      </c>
      <c r="C2510" s="1" t="s">
        <v>3182</v>
      </c>
      <c r="D2510" s="3">
        <v>2.8</v>
      </c>
      <c r="E2510" s="4">
        <v>0</v>
      </c>
      <c r="F2510" s="4" t="s">
        <v>3178</v>
      </c>
      <c r="G2510" s="4" t="s">
        <v>3178</v>
      </c>
      <c r="H2510" s="3">
        <v>0</v>
      </c>
      <c r="I2510" s="5">
        <v>103.826008</v>
      </c>
      <c r="J2510" s="6">
        <v>0</v>
      </c>
      <c r="K2510" s="4" t="s">
        <v>3178</v>
      </c>
      <c r="L2510" s="7">
        <v>0.5184429520635401</v>
      </c>
      <c r="M2510" s="3">
        <v>4.96</v>
      </c>
      <c r="N2510" s="3">
        <v>1.77</v>
      </c>
    </row>
    <row r="2511" spans="1:14">
      <c r="A2511" s="8" t="s">
        <v>2523</v>
      </c>
      <c r="B2511" s="2">
        <f>HYPERLINK("https://www.suredividend.com/sure-analysis-research-database/","SES AI Corporation")</f>
        <v>0</v>
      </c>
      <c r="C2511" s="1" t="s">
        <v>3185</v>
      </c>
      <c r="D2511" s="3">
        <v>1.24</v>
      </c>
      <c r="E2511" s="4">
        <v>0</v>
      </c>
      <c r="F2511" s="4" t="s">
        <v>3178</v>
      </c>
      <c r="G2511" s="4" t="s">
        <v>3178</v>
      </c>
      <c r="H2511" s="3">
        <v>0</v>
      </c>
      <c r="I2511" s="5">
        <v>388.282198</v>
      </c>
      <c r="J2511" s="6">
        <v>0</v>
      </c>
      <c r="K2511" s="4" t="s">
        <v>3178</v>
      </c>
      <c r="L2511" s="7">
        <v>1.221054227599017</v>
      </c>
      <c r="M2511" s="3">
        <v>3.21</v>
      </c>
      <c r="N2511" s="3">
        <v>1.15</v>
      </c>
    </row>
    <row r="2512" spans="1:14">
      <c r="A2512" s="8" t="s">
        <v>2524</v>
      </c>
      <c r="B2512" s="2">
        <f>HYPERLINK("https://www.suredividend.com/sure-analysis-research-database/","Stifel Financial Corp.")</f>
        <v>0</v>
      </c>
      <c r="C2512" s="1" t="s">
        <v>3180</v>
      </c>
      <c r="D2512" s="3">
        <v>78.20999999999999</v>
      </c>
      <c r="E2512" s="4">
        <v>0.019793256427515</v>
      </c>
      <c r="F2512" s="4">
        <v>0.1666666666666667</v>
      </c>
      <c r="G2512" s="4">
        <v>0.2286596790831472</v>
      </c>
      <c r="H2512" s="3">
        <v>1.548030585195948</v>
      </c>
      <c r="I2512" s="5">
        <v>8039.676881</v>
      </c>
      <c r="J2512" s="6">
        <v>16.36438868332617</v>
      </c>
      <c r="K2512" s="4">
        <v>0.3534316404556959</v>
      </c>
      <c r="L2512" s="7">
        <v>1.080941463168389</v>
      </c>
      <c r="M2512" s="3">
        <v>83.79000000000001</v>
      </c>
      <c r="N2512" s="3">
        <v>53.9</v>
      </c>
    </row>
    <row r="2513" spans="1:14">
      <c r="A2513" s="8" t="s">
        <v>2525</v>
      </c>
      <c r="B2513" s="2">
        <f>HYPERLINK("https://www.suredividend.com/sure-analysis-research-database/","Sound Financial Bancorp Inc")</f>
        <v>0</v>
      </c>
      <c r="C2513" s="1" t="s">
        <v>3180</v>
      </c>
      <c r="D2513" s="3">
        <v>44.14</v>
      </c>
      <c r="E2513" s="4">
        <v>0.012782361071786</v>
      </c>
      <c r="F2513" s="4">
        <v>0</v>
      </c>
      <c r="G2513" s="4">
        <v>-0.01020621831301149</v>
      </c>
      <c r="H2513" s="3">
        <v>0.5642134177086691</v>
      </c>
      <c r="I2513" s="5">
        <v>112.887388</v>
      </c>
      <c r="J2513" s="6">
        <v>0</v>
      </c>
      <c r="K2513" s="4" t="s">
        <v>3178</v>
      </c>
      <c r="M2513" s="3">
        <v>44.14</v>
      </c>
      <c r="N2513" s="3">
        <v>32.25</v>
      </c>
    </row>
    <row r="2514" spans="1:14">
      <c r="A2514" s="8" t="s">
        <v>2526</v>
      </c>
      <c r="B2514" s="2">
        <f>HYPERLINK("https://www.suredividend.com/sure-analysis-research-database/","ServisFirst Bancshares Inc")</f>
        <v>0</v>
      </c>
      <c r="C2514" s="1" t="s">
        <v>3180</v>
      </c>
      <c r="D2514" s="3">
        <v>60</v>
      </c>
      <c r="E2514" s="4">
        <v>0.019203623752084</v>
      </c>
      <c r="F2514" s="4">
        <v>0.0714285714285714</v>
      </c>
      <c r="G2514" s="4">
        <v>0.1486983549970351</v>
      </c>
      <c r="H2514" s="3">
        <v>1.152217425125075</v>
      </c>
      <c r="I2514" s="5">
        <v>3270.55776</v>
      </c>
      <c r="J2514" s="6">
        <v>16.44769198274041</v>
      </c>
      <c r="K2514" s="4">
        <v>0.3156760068835822</v>
      </c>
      <c r="L2514" s="7">
        <v>1.357109000924336</v>
      </c>
      <c r="M2514" s="3">
        <v>70.52</v>
      </c>
      <c r="N2514" s="3">
        <v>38.72</v>
      </c>
    </row>
    <row r="2515" spans="1:14">
      <c r="A2515" s="8" t="s">
        <v>2527</v>
      </c>
      <c r="B2515" s="2">
        <f>HYPERLINK("https://www.suredividend.com/sure-analysis-research-database/","Safeguard Scientifics, Inc.")</f>
        <v>0</v>
      </c>
      <c r="C2515" s="1" t="s">
        <v>3180</v>
      </c>
      <c r="D2515" s="3">
        <v>0.455</v>
      </c>
      <c r="E2515" s="4">
        <v>0</v>
      </c>
      <c r="F2515" s="4" t="s">
        <v>3178</v>
      </c>
      <c r="G2515" s="4" t="s">
        <v>3178</v>
      </c>
      <c r="H2515" s="3">
        <v>0</v>
      </c>
      <c r="I2515" s="5">
        <v>0</v>
      </c>
      <c r="J2515" s="6">
        <v>0</v>
      </c>
      <c r="K2515" s="4" t="s">
        <v>3178</v>
      </c>
    </row>
    <row r="2516" spans="1:14">
      <c r="A2516" s="8" t="s">
        <v>2528</v>
      </c>
      <c r="B2516" s="2">
        <f>HYPERLINK("https://www.suredividend.com/sure-analysis-research-database/","Stitch Fix Inc")</f>
        <v>0</v>
      </c>
      <c r="C2516" s="1" t="s">
        <v>3182</v>
      </c>
      <c r="D2516" s="3">
        <v>3.725</v>
      </c>
      <c r="E2516" s="4">
        <v>0</v>
      </c>
      <c r="F2516" s="4" t="s">
        <v>3178</v>
      </c>
      <c r="G2516" s="4" t="s">
        <v>3178</v>
      </c>
      <c r="H2516" s="3">
        <v>0</v>
      </c>
      <c r="I2516" s="5">
        <v>370.584113</v>
      </c>
      <c r="J2516" s="6" t="s">
        <v>3178</v>
      </c>
      <c r="K2516" s="4">
        <v>-0</v>
      </c>
      <c r="L2516" s="7">
        <v>2.985621552596664</v>
      </c>
      <c r="M2516" s="3">
        <v>5.2</v>
      </c>
      <c r="N2516" s="3">
        <v>2.06</v>
      </c>
    </row>
    <row r="2517" spans="1:14">
      <c r="A2517" s="8" t="s">
        <v>2529</v>
      </c>
      <c r="B2517" s="2">
        <f>HYPERLINK("https://www.suredividend.com/sure-analysis-research-database/","Sprouts Farmers Market Inc")</f>
        <v>0</v>
      </c>
      <c r="C2517" s="1" t="s">
        <v>3184</v>
      </c>
      <c r="D2517" s="3">
        <v>77.03</v>
      </c>
      <c r="E2517" s="4">
        <v>0</v>
      </c>
      <c r="F2517" s="4" t="s">
        <v>3178</v>
      </c>
      <c r="G2517" s="4" t="s">
        <v>3178</v>
      </c>
      <c r="H2517" s="3">
        <v>0</v>
      </c>
      <c r="I2517" s="5">
        <v>7739.763569</v>
      </c>
      <c r="J2517" s="6">
        <v>26.07772196690656</v>
      </c>
      <c r="K2517" s="4">
        <v>0</v>
      </c>
      <c r="L2517" s="7">
        <v>0.5693609059939391</v>
      </c>
      <c r="M2517" s="3">
        <v>82.95999999999999</v>
      </c>
      <c r="N2517" s="3">
        <v>33.01</v>
      </c>
    </row>
    <row r="2518" spans="1:14">
      <c r="A2518" s="8" t="s">
        <v>2530</v>
      </c>
      <c r="B2518" s="2">
        <f>HYPERLINK("https://www.suredividend.com/sure-analysis-research-database/","Simmons First National Corp.")</f>
        <v>0</v>
      </c>
      <c r="C2518" s="1" t="s">
        <v>3180</v>
      </c>
      <c r="D2518" s="3">
        <v>16.74</v>
      </c>
      <c r="E2518" s="4">
        <v>0.046838906355581</v>
      </c>
      <c r="F2518" s="4">
        <v>0.04999999999999982</v>
      </c>
      <c r="G2518" s="4">
        <v>0.05589288248337687</v>
      </c>
      <c r="H2518" s="3">
        <v>0.78408329239243</v>
      </c>
      <c r="I2518" s="5">
        <v>2100.592819</v>
      </c>
      <c r="J2518" s="6">
        <v>12.47834915901841</v>
      </c>
      <c r="K2518" s="4">
        <v>0.5895363100694962</v>
      </c>
      <c r="L2518" s="7">
        <v>1.209981254877157</v>
      </c>
      <c r="M2518" s="3">
        <v>20.36</v>
      </c>
      <c r="N2518" s="3">
        <v>12.79</v>
      </c>
    </row>
    <row r="2519" spans="1:14">
      <c r="A2519" s="8" t="s">
        <v>2531</v>
      </c>
      <c r="B2519" s="2">
        <f>HYPERLINK("https://www.suredividend.com/sure-analysis-research-database/","Southern First Bancshares Inc")</f>
        <v>0</v>
      </c>
      <c r="C2519" s="1" t="s">
        <v>3180</v>
      </c>
      <c r="D2519" s="3">
        <v>26.27</v>
      </c>
      <c r="E2519" s="4">
        <v>0</v>
      </c>
      <c r="F2519" s="4" t="s">
        <v>3178</v>
      </c>
      <c r="G2519" s="4" t="s">
        <v>3178</v>
      </c>
      <c r="H2519" s="3">
        <v>0</v>
      </c>
      <c r="I2519" s="5">
        <v>214.260983</v>
      </c>
      <c r="J2519" s="6">
        <v>0</v>
      </c>
      <c r="K2519" s="4" t="s">
        <v>3178</v>
      </c>
      <c r="L2519" s="7">
        <v>0.840962729635455</v>
      </c>
      <c r="M2519" s="3">
        <v>39.36</v>
      </c>
      <c r="N2519" s="3">
        <v>23.7</v>
      </c>
    </row>
    <row r="2520" spans="1:14">
      <c r="A2520" s="8" t="s">
        <v>2532</v>
      </c>
      <c r="B2520" s="2">
        <f>HYPERLINK("https://www.suredividend.com/sure-analysis-research-database/","Saga Communications, Inc.")</f>
        <v>0</v>
      </c>
      <c r="C2520" s="1" t="s">
        <v>3187</v>
      </c>
      <c r="D2520" s="3">
        <v>17.06</v>
      </c>
      <c r="E2520" s="4">
        <v>0.050584861316653</v>
      </c>
      <c r="F2520" s="4">
        <v>0</v>
      </c>
      <c r="G2520" s="4">
        <v>-0.03580749599737276</v>
      </c>
      <c r="H2520" s="3">
        <v>0.8629777340621051</v>
      </c>
      <c r="I2520" s="5">
        <v>106.850806</v>
      </c>
      <c r="J2520" s="6">
        <v>11.42667160303711</v>
      </c>
      <c r="K2520" s="4">
        <v>0.5567598284271645</v>
      </c>
      <c r="L2520" s="7">
        <v>0.35745660492459</v>
      </c>
      <c r="M2520" s="3">
        <v>22.9</v>
      </c>
      <c r="N2520" s="3">
        <v>14.27</v>
      </c>
    </row>
    <row r="2521" spans="1:14">
      <c r="A2521" s="8" t="s">
        <v>2533</v>
      </c>
      <c r="B2521" s="2">
        <f>HYPERLINK("https://www.suredividend.com/sure-analysis-research-database/","Superior Group of Companies Inc..")</f>
        <v>0</v>
      </c>
      <c r="C2521" s="1" t="s">
        <v>3182</v>
      </c>
      <c r="D2521" s="3">
        <v>20.83</v>
      </c>
      <c r="E2521" s="4">
        <v>0.026192295904423</v>
      </c>
      <c r="F2521" s="4">
        <v>0</v>
      </c>
      <c r="G2521" s="4">
        <v>0.06961037572506878</v>
      </c>
      <c r="H2521" s="3">
        <v>0.545585523689136</v>
      </c>
      <c r="I2521" s="5">
        <v>348.802349</v>
      </c>
      <c r="J2521" s="6">
        <v>0</v>
      </c>
      <c r="K2521" s="4" t="s">
        <v>3178</v>
      </c>
      <c r="L2521" s="7">
        <v>0.6206275031853491</v>
      </c>
      <c r="M2521" s="3">
        <v>21.8</v>
      </c>
      <c r="N2521" s="3">
        <v>6.95</v>
      </c>
    </row>
    <row r="2522" spans="1:14">
      <c r="A2522" s="8" t="s">
        <v>2534</v>
      </c>
      <c r="B2522" s="2">
        <f>HYPERLINK("https://www.suredividend.com/sure-analysis-research-database/","Seagen Inc")</f>
        <v>0</v>
      </c>
      <c r="C2522" s="1" t="s">
        <v>3176</v>
      </c>
      <c r="D2522" s="3">
        <v>228.74</v>
      </c>
      <c r="E2522" s="4">
        <v>0</v>
      </c>
      <c r="F2522" s="4" t="s">
        <v>3178</v>
      </c>
      <c r="G2522" s="4" t="s">
        <v>3178</v>
      </c>
      <c r="H2522" s="3">
        <v>0</v>
      </c>
      <c r="I2522" s="5">
        <v>0</v>
      </c>
      <c r="J2522" s="6">
        <v>0</v>
      </c>
      <c r="K2522" s="4">
        <v>-0</v>
      </c>
    </row>
    <row r="2523" spans="1:14">
      <c r="A2523" s="8" t="s">
        <v>2535</v>
      </c>
      <c r="B2523" s="2">
        <f>HYPERLINK("https://www.suredividend.com/sure-analysis-research-database/","SMART Global Holdings Inc")</f>
        <v>0</v>
      </c>
      <c r="C2523" s="1" t="s">
        <v>3181</v>
      </c>
      <c r="D2523" s="3">
        <v>21.37</v>
      </c>
      <c r="E2523" s="4">
        <v>0</v>
      </c>
      <c r="F2523" s="4" t="s">
        <v>3178</v>
      </c>
      <c r="G2523" s="4" t="s">
        <v>3178</v>
      </c>
      <c r="H2523" s="3">
        <v>0</v>
      </c>
      <c r="I2523" s="5">
        <v>1117.587894</v>
      </c>
      <c r="J2523" s="6" t="s">
        <v>3178</v>
      </c>
      <c r="K2523" s="4">
        <v>-0</v>
      </c>
      <c r="L2523" s="7">
        <v>2.236520179402628</v>
      </c>
      <c r="M2523" s="3">
        <v>29.99</v>
      </c>
      <c r="N2523" s="3">
        <v>12.66</v>
      </c>
    </row>
    <row r="2524" spans="1:14">
      <c r="A2524" s="8" t="s">
        <v>2536</v>
      </c>
      <c r="B2524" s="2">
        <f>HYPERLINK("https://www.suredividend.com/sure-analysis-research-database/","Sigmatron International Inc.")</f>
        <v>0</v>
      </c>
      <c r="C2524" s="1" t="s">
        <v>3181</v>
      </c>
      <c r="D2524" s="3">
        <v>4.98</v>
      </c>
      <c r="E2524" s="4">
        <v>0</v>
      </c>
      <c r="F2524" s="4" t="s">
        <v>3178</v>
      </c>
      <c r="G2524" s="4" t="s">
        <v>3178</v>
      </c>
      <c r="H2524" s="3">
        <v>0</v>
      </c>
      <c r="I2524" s="5">
        <v>30.349554</v>
      </c>
      <c r="J2524" s="6">
        <v>0</v>
      </c>
      <c r="K2524" s="4" t="s">
        <v>3178</v>
      </c>
      <c r="L2524" s="7">
        <v>0.137261395262208</v>
      </c>
      <c r="M2524" s="3">
        <v>7.89</v>
      </c>
      <c r="N2524" s="3">
        <v>2.61</v>
      </c>
    </row>
    <row r="2525" spans="1:14">
      <c r="A2525" s="8" t="s">
        <v>2537</v>
      </c>
      <c r="B2525" s="2">
        <f>HYPERLINK("https://www.suredividend.com/sure-analysis-research-database/","Sangamo Therapeutics Inc")</f>
        <v>0</v>
      </c>
      <c r="C2525" s="1" t="s">
        <v>3176</v>
      </c>
      <c r="D2525" s="3">
        <v>0.5743</v>
      </c>
      <c r="E2525" s="4">
        <v>0</v>
      </c>
      <c r="F2525" s="4" t="s">
        <v>3178</v>
      </c>
      <c r="G2525" s="4" t="s">
        <v>3178</v>
      </c>
      <c r="H2525" s="3">
        <v>0</v>
      </c>
      <c r="I2525" s="5">
        <v>119.173037</v>
      </c>
      <c r="J2525" s="6" t="s">
        <v>3178</v>
      </c>
      <c r="K2525" s="4">
        <v>-0</v>
      </c>
      <c r="L2525" s="7">
        <v>1.957620747780796</v>
      </c>
      <c r="M2525" s="3">
        <v>1.67</v>
      </c>
      <c r="N2525" s="3">
        <v>0.2911</v>
      </c>
    </row>
    <row r="2526" spans="1:14">
      <c r="A2526" s="8" t="s">
        <v>2538</v>
      </c>
      <c r="B2526" s="2">
        <f>HYPERLINK("https://www.suredividend.com/sure-analysis-research-database/","Spar Group, Inc.")</f>
        <v>0</v>
      </c>
      <c r="C2526" s="1" t="s">
        <v>3179</v>
      </c>
      <c r="D2526" s="3">
        <v>2.17</v>
      </c>
      <c r="E2526" s="4">
        <v>0</v>
      </c>
      <c r="F2526" s="4" t="s">
        <v>3178</v>
      </c>
      <c r="G2526" s="4" t="s">
        <v>3178</v>
      </c>
      <c r="H2526" s="3">
        <v>0</v>
      </c>
      <c r="I2526" s="5">
        <v>52.802929</v>
      </c>
      <c r="J2526" s="6">
        <v>0</v>
      </c>
      <c r="K2526" s="4" t="s">
        <v>3178</v>
      </c>
      <c r="M2526" s="3">
        <v>3.12</v>
      </c>
      <c r="N2526" s="3">
        <v>0.7000000000000001</v>
      </c>
    </row>
    <row r="2527" spans="1:14">
      <c r="A2527" s="8" t="s">
        <v>2539</v>
      </c>
      <c r="B2527" s="2">
        <f>HYPERLINK("https://www.suredividend.com/sure-analysis-research-database/","Surgery Partners Inc")</f>
        <v>0</v>
      </c>
      <c r="C2527" s="1" t="s">
        <v>3176</v>
      </c>
      <c r="D2527" s="3">
        <v>25.46</v>
      </c>
      <c r="E2527" s="4">
        <v>0</v>
      </c>
      <c r="F2527" s="4" t="s">
        <v>3178</v>
      </c>
      <c r="G2527" s="4" t="s">
        <v>3178</v>
      </c>
      <c r="H2527" s="3">
        <v>0</v>
      </c>
      <c r="I2527" s="5">
        <v>3235.824672</v>
      </c>
      <c r="J2527" s="6">
        <v>5393.041119233334</v>
      </c>
      <c r="K2527" s="4">
        <v>0</v>
      </c>
      <c r="L2527" s="7">
        <v>1.903605462020768</v>
      </c>
      <c r="M2527" s="3">
        <v>45.79</v>
      </c>
      <c r="N2527" s="3">
        <v>22.05</v>
      </c>
    </row>
    <row r="2528" spans="1:14">
      <c r="A2528" s="8" t="s">
        <v>2540</v>
      </c>
      <c r="B2528" s="2">
        <f>HYPERLINK("https://www.suredividend.com/sure-analysis-research-database/","Shake Shack Inc")</f>
        <v>0</v>
      </c>
      <c r="C2528" s="1" t="s">
        <v>3182</v>
      </c>
      <c r="D2528" s="3">
        <v>92.18000000000001</v>
      </c>
      <c r="E2528" s="4">
        <v>0</v>
      </c>
      <c r="F2528" s="4" t="s">
        <v>3178</v>
      </c>
      <c r="G2528" s="4" t="s">
        <v>3178</v>
      </c>
      <c r="H2528" s="3">
        <v>0</v>
      </c>
      <c r="I2528" s="5">
        <v>3639.221508</v>
      </c>
      <c r="J2528" s="6">
        <v>152.6647163495259</v>
      </c>
      <c r="K2528" s="4">
        <v>0</v>
      </c>
      <c r="L2528" s="7">
        <v>1.561378143660229</v>
      </c>
      <c r="M2528" s="3">
        <v>111.29</v>
      </c>
      <c r="N2528" s="3">
        <v>52.79</v>
      </c>
    </row>
    <row r="2529" spans="1:14">
      <c r="A2529" s="8" t="s">
        <v>2541</v>
      </c>
      <c r="B2529" s="2">
        <f>HYPERLINK("https://www.suredividend.com/sure-analysis-research-database/","Shore Bancshares Inc.")</f>
        <v>0</v>
      </c>
      <c r="C2529" s="1" t="s">
        <v>3180</v>
      </c>
      <c r="D2529" s="3">
        <v>10.83</v>
      </c>
      <c r="E2529" s="4">
        <v>0.042928708724761</v>
      </c>
      <c r="F2529" s="4">
        <v>0</v>
      </c>
      <c r="G2529" s="4">
        <v>0</v>
      </c>
      <c r="H2529" s="3">
        <v>0.4649179154891621</v>
      </c>
      <c r="I2529" s="5">
        <v>359.81214</v>
      </c>
      <c r="J2529" s="6">
        <v>27.77399770976457</v>
      </c>
      <c r="K2529" s="4">
        <v>1.0729700334391</v>
      </c>
      <c r="L2529" s="7">
        <v>1.048597655559397</v>
      </c>
      <c r="M2529" s="3">
        <v>13.89</v>
      </c>
      <c r="N2529" s="3">
        <v>9.07</v>
      </c>
    </row>
    <row r="2530" spans="1:14">
      <c r="A2530" s="8" t="s">
        <v>2542</v>
      </c>
      <c r="B2530" s="2">
        <f>HYPERLINK("https://www.suredividend.com/sure-analysis-research-database/","Shenandoah Telecommunications Co.")</f>
        <v>0</v>
      </c>
      <c r="C2530" s="1" t="s">
        <v>3187</v>
      </c>
      <c r="D2530" s="3">
        <v>17.81</v>
      </c>
      <c r="E2530" s="4">
        <v>0.005053341020565</v>
      </c>
      <c r="F2530" s="4" t="s">
        <v>3178</v>
      </c>
      <c r="G2530" s="4" t="s">
        <v>3178</v>
      </c>
      <c r="H2530" s="3">
        <v>0.09000000357627801</v>
      </c>
      <c r="I2530" s="5">
        <v>971.483726</v>
      </c>
      <c r="J2530" s="6">
        <v>4.402467627068718</v>
      </c>
      <c r="K2530" s="4">
        <v>0.02073732801296728</v>
      </c>
      <c r="L2530" s="7">
        <v>0.4751678567864611</v>
      </c>
      <c r="M2530" s="3">
        <v>25.33</v>
      </c>
      <c r="N2530" s="3">
        <v>11.87</v>
      </c>
    </row>
    <row r="2531" spans="1:14">
      <c r="A2531" s="8" t="s">
        <v>2543</v>
      </c>
      <c r="B2531" s="2">
        <f>HYPERLINK("https://www.suredividend.com/sure-analysis-research-database/","Sunstone Hotel Investors Inc")</f>
        <v>0</v>
      </c>
      <c r="C2531" s="1" t="s">
        <v>3183</v>
      </c>
      <c r="D2531" s="3">
        <v>10.01</v>
      </c>
      <c r="E2531" s="4">
        <v>0.025739750829696</v>
      </c>
      <c r="F2531" s="4" t="s">
        <v>3178</v>
      </c>
      <c r="G2531" s="4" t="s">
        <v>3178</v>
      </c>
      <c r="H2531" s="3">
        <v>0.257654905805257</v>
      </c>
      <c r="I2531" s="5">
        <v>2038.780724</v>
      </c>
      <c r="J2531" s="6">
        <v>11.09317157350629</v>
      </c>
      <c r="K2531" s="4">
        <v>0.2870806749919298</v>
      </c>
      <c r="L2531" s="7">
        <v>0.9399418051903101</v>
      </c>
      <c r="M2531" s="3">
        <v>11.52</v>
      </c>
      <c r="N2531" s="3">
        <v>8.44</v>
      </c>
    </row>
    <row r="2532" spans="1:14">
      <c r="A2532" s="8" t="s">
        <v>2544</v>
      </c>
      <c r="B2532" s="2">
        <f>HYPERLINK("https://www.suredividend.com/sure-analysis-research-database/","Steven Madden Ltd.")</f>
        <v>0</v>
      </c>
      <c r="C2532" s="1" t="s">
        <v>3182</v>
      </c>
      <c r="D2532" s="3">
        <v>44.53</v>
      </c>
      <c r="E2532" s="4">
        <v>0.018565712491271</v>
      </c>
      <c r="F2532" s="4" t="s">
        <v>3178</v>
      </c>
      <c r="G2532" s="4" t="s">
        <v>3178</v>
      </c>
      <c r="H2532" s="3">
        <v>0.8267311772363191</v>
      </c>
      <c r="I2532" s="5">
        <v>3267.529376</v>
      </c>
      <c r="J2532" s="6">
        <v>18.27906653542778</v>
      </c>
      <c r="K2532" s="4">
        <v>0.3416244534034376</v>
      </c>
      <c r="L2532" s="7">
        <v>0.970595948527987</v>
      </c>
      <c r="M2532" s="3">
        <v>45.91</v>
      </c>
      <c r="N2532" s="3">
        <v>29.74</v>
      </c>
    </row>
    <row r="2533" spans="1:14">
      <c r="A2533" s="8" t="s">
        <v>2545</v>
      </c>
      <c r="B2533" s="2">
        <f>HYPERLINK("https://www.suredividend.com/sure-analysis-research-database/","SharpSpring Inc")</f>
        <v>0</v>
      </c>
      <c r="C2533" s="1" t="s">
        <v>3181</v>
      </c>
      <c r="D2533" s="3">
        <v>17.1</v>
      </c>
      <c r="E2533" s="4">
        <v>0</v>
      </c>
      <c r="F2533" s="4" t="s">
        <v>3178</v>
      </c>
      <c r="G2533" s="4" t="s">
        <v>3178</v>
      </c>
      <c r="H2533" s="3">
        <v>0</v>
      </c>
      <c r="I2533" s="5">
        <v>0</v>
      </c>
      <c r="J2533" s="6">
        <v>0</v>
      </c>
      <c r="K2533" s="4" t="s">
        <v>3178</v>
      </c>
    </row>
    <row r="2534" spans="1:14">
      <c r="A2534" s="8" t="s">
        <v>2546</v>
      </c>
      <c r="B2534" s="2">
        <f>HYPERLINK("https://www.suredividend.com/sure-analysis-SHW/","Sherwin-Williams Co.")</f>
        <v>0</v>
      </c>
      <c r="C2534" s="1" t="s">
        <v>3177</v>
      </c>
      <c r="D2534" s="3">
        <v>291.95</v>
      </c>
      <c r="E2534" s="4">
        <v>0.009796197979106011</v>
      </c>
      <c r="F2534" s="4">
        <v>0.1818181818181819</v>
      </c>
      <c r="G2534" s="4">
        <v>-0.08747342786586432</v>
      </c>
      <c r="H2534" s="3">
        <v>2.631581043938068</v>
      </c>
      <c r="I2534" s="5">
        <v>74023.644856</v>
      </c>
      <c r="J2534" s="6">
        <v>30.63131873522718</v>
      </c>
      <c r="K2534" s="4">
        <v>0.2802535723043736</v>
      </c>
      <c r="L2534" s="7">
        <v>1.033964042906192</v>
      </c>
      <c r="M2534" s="3">
        <v>347.59</v>
      </c>
      <c r="N2534" s="3">
        <v>230.49</v>
      </c>
    </row>
    <row r="2535" spans="1:14">
      <c r="A2535" s="8" t="s">
        <v>2547</v>
      </c>
      <c r="B2535" s="2">
        <f>HYPERLINK("https://www.suredividend.com/sure-analysis-research-database/","SI-BONE Inc")</f>
        <v>0</v>
      </c>
      <c r="C2535" s="1" t="s">
        <v>3176</v>
      </c>
      <c r="D2535" s="3">
        <v>13.28</v>
      </c>
      <c r="E2535" s="4">
        <v>0</v>
      </c>
      <c r="F2535" s="4" t="s">
        <v>3178</v>
      </c>
      <c r="G2535" s="4" t="s">
        <v>3178</v>
      </c>
      <c r="H2535" s="3">
        <v>0</v>
      </c>
      <c r="I2535" s="5">
        <v>547.199691</v>
      </c>
      <c r="J2535" s="6" t="s">
        <v>3178</v>
      </c>
      <c r="K2535" s="4">
        <v>-0</v>
      </c>
      <c r="L2535" s="7">
        <v>1.038689625514151</v>
      </c>
      <c r="M2535" s="3">
        <v>29.51</v>
      </c>
      <c r="N2535" s="3">
        <v>13.16</v>
      </c>
    </row>
    <row r="2536" spans="1:14">
      <c r="A2536" s="8" t="s">
        <v>2548</v>
      </c>
      <c r="B2536" s="2">
        <f>HYPERLINK("https://www.suredividend.com/sure-analysis-research-database/","Siebert Financial Corp.")</f>
        <v>0</v>
      </c>
      <c r="C2536" s="1" t="s">
        <v>3180</v>
      </c>
      <c r="D2536" s="3">
        <v>2.07</v>
      </c>
      <c r="E2536" s="4">
        <v>0</v>
      </c>
      <c r="F2536" s="4" t="s">
        <v>3178</v>
      </c>
      <c r="G2536" s="4" t="s">
        <v>3178</v>
      </c>
      <c r="H2536" s="3">
        <v>0</v>
      </c>
      <c r="I2536" s="5">
        <v>82.553538</v>
      </c>
      <c r="J2536" s="6">
        <v>0</v>
      </c>
      <c r="K2536" s="4" t="s">
        <v>3178</v>
      </c>
      <c r="L2536" s="7">
        <v>0.815867188940212</v>
      </c>
      <c r="M2536" s="3">
        <v>2.66</v>
      </c>
      <c r="N2536" s="3">
        <v>1.46</v>
      </c>
    </row>
    <row r="2537" spans="1:14">
      <c r="A2537" s="8" t="s">
        <v>2549</v>
      </c>
      <c r="B2537" s="2">
        <f>HYPERLINK("https://www.suredividend.com/sure-analysis-research-database/","Sientra Inc")</f>
        <v>0</v>
      </c>
      <c r="C2537" s="1" t="s">
        <v>3176</v>
      </c>
      <c r="D2537" s="3">
        <v>0.174</v>
      </c>
      <c r="E2537" s="4">
        <v>0</v>
      </c>
      <c r="F2537" s="4" t="s">
        <v>3178</v>
      </c>
      <c r="G2537" s="4" t="s">
        <v>3178</v>
      </c>
      <c r="H2537" s="3">
        <v>0</v>
      </c>
      <c r="I2537" s="5">
        <v>0</v>
      </c>
      <c r="J2537" s="6">
        <v>0</v>
      </c>
      <c r="K2537" s="4">
        <v>-0</v>
      </c>
    </row>
    <row r="2538" spans="1:14">
      <c r="A2538" s="8" t="s">
        <v>2550</v>
      </c>
      <c r="B2538" s="2">
        <f>HYPERLINK("https://www.suredividend.com/sure-analysis-research-database/","SIFCO Industries Inc.")</f>
        <v>0</v>
      </c>
      <c r="C2538" s="1" t="s">
        <v>3179</v>
      </c>
      <c r="D2538" s="3">
        <v>3.2</v>
      </c>
      <c r="E2538" s="4">
        <v>0</v>
      </c>
      <c r="F2538" s="4" t="s">
        <v>3178</v>
      </c>
      <c r="G2538" s="4" t="s">
        <v>3178</v>
      </c>
      <c r="H2538" s="3">
        <v>0</v>
      </c>
      <c r="I2538" s="5">
        <v>19.807091</v>
      </c>
      <c r="J2538" s="6">
        <v>0</v>
      </c>
      <c r="K2538" s="4" t="s">
        <v>3178</v>
      </c>
      <c r="M2538" s="3">
        <v>4.95</v>
      </c>
      <c r="N2538" s="3">
        <v>2.34</v>
      </c>
    </row>
    <row r="2539" spans="1:14">
      <c r="A2539" s="8" t="s">
        <v>2551</v>
      </c>
      <c r="B2539" s="2">
        <f>HYPERLINK("https://www.suredividend.com/sure-analysis-research-database/","Signet Jewelers Ltd")</f>
        <v>0</v>
      </c>
      <c r="C2539" s="1" t="s">
        <v>3182</v>
      </c>
      <c r="D2539" s="3">
        <v>105.73</v>
      </c>
      <c r="E2539" s="4">
        <v>0.009232400182062001</v>
      </c>
      <c r="F2539" s="4" t="s">
        <v>3178</v>
      </c>
      <c r="G2539" s="4" t="s">
        <v>3178</v>
      </c>
      <c r="H2539" s="3">
        <v>0.9761416712494161</v>
      </c>
      <c r="I2539" s="5">
        <v>4721.499497</v>
      </c>
      <c r="J2539" s="6">
        <v>6.085190742814796</v>
      </c>
      <c r="K2539" s="4">
        <v>0.06792913509042561</v>
      </c>
      <c r="L2539" s="7">
        <v>1.247193446965745</v>
      </c>
      <c r="M2539" s="3">
        <v>112.06</v>
      </c>
      <c r="N2539" s="3">
        <v>56.44</v>
      </c>
    </row>
    <row r="2540" spans="1:14">
      <c r="A2540" s="8" t="s">
        <v>2552</v>
      </c>
      <c r="B2540" s="2">
        <f>HYPERLINK("https://www.suredividend.com/sure-analysis-research-database/","SIGA Technologies Inc")</f>
        <v>0</v>
      </c>
      <c r="C2540" s="1" t="s">
        <v>3176</v>
      </c>
      <c r="D2540" s="3">
        <v>7.68</v>
      </c>
      <c r="E2540" s="4">
        <v>0</v>
      </c>
      <c r="F2540" s="4" t="s">
        <v>3178</v>
      </c>
      <c r="G2540" s="4" t="s">
        <v>3178</v>
      </c>
      <c r="H2540" s="3">
        <v>0</v>
      </c>
      <c r="I2540" s="5">
        <v>546.220923</v>
      </c>
      <c r="J2540" s="6">
        <v>6.891123608661697</v>
      </c>
      <c r="K2540" s="4">
        <v>0</v>
      </c>
      <c r="L2540" s="7">
        <v>1.020511423676052</v>
      </c>
      <c r="M2540" s="3">
        <v>10.83</v>
      </c>
      <c r="N2540" s="3">
        <v>3.66</v>
      </c>
    </row>
    <row r="2541" spans="1:14">
      <c r="A2541" s="8" t="s">
        <v>2553</v>
      </c>
      <c r="B2541" s="2">
        <f>HYPERLINK("https://www.suredividend.com/sure-analysis-research-database/","Selective Insurance Group Inc.")</f>
        <v>0</v>
      </c>
      <c r="C2541" s="1" t="s">
        <v>3180</v>
      </c>
      <c r="D2541" s="3">
        <v>94.20999999999999</v>
      </c>
      <c r="E2541" s="4">
        <v>0.0141848122725</v>
      </c>
      <c r="F2541" s="4">
        <v>0.1666666666666665</v>
      </c>
      <c r="G2541" s="4">
        <v>0.1184269147201447</v>
      </c>
      <c r="H2541" s="3">
        <v>1.336351164192233</v>
      </c>
      <c r="I2541" s="5">
        <v>5727.216581</v>
      </c>
      <c r="J2541" s="6">
        <v>16.55351024342307</v>
      </c>
      <c r="K2541" s="4">
        <v>0.2356880360127395</v>
      </c>
      <c r="L2541" s="7">
        <v>0.118014263049483</v>
      </c>
      <c r="M2541" s="3">
        <v>108.79</v>
      </c>
      <c r="N2541" s="3">
        <v>89.78</v>
      </c>
    </row>
    <row r="2542" spans="1:14">
      <c r="A2542" s="8" t="s">
        <v>2554</v>
      </c>
      <c r="B2542" s="2">
        <f>HYPERLINK("https://www.suredividend.com/sure-analysis-research-database/","Silk Road Medical Inc")</f>
        <v>0</v>
      </c>
      <c r="C2542" s="1" t="s">
        <v>3176</v>
      </c>
      <c r="D2542" s="3">
        <v>20.83</v>
      </c>
      <c r="E2542" s="4">
        <v>0</v>
      </c>
      <c r="F2542" s="4" t="s">
        <v>3178</v>
      </c>
      <c r="G2542" s="4" t="s">
        <v>3178</v>
      </c>
      <c r="H2542" s="3">
        <v>0</v>
      </c>
      <c r="I2542" s="5">
        <v>821.61577</v>
      </c>
      <c r="J2542" s="6" t="s">
        <v>3178</v>
      </c>
      <c r="K2542" s="4">
        <v>-0</v>
      </c>
      <c r="L2542" s="7">
        <v>1.421984621835385</v>
      </c>
      <c r="M2542" s="3">
        <v>34.13</v>
      </c>
      <c r="N2542" s="3">
        <v>6.08</v>
      </c>
    </row>
    <row r="2543" spans="1:14">
      <c r="A2543" s="8" t="s">
        <v>2555</v>
      </c>
      <c r="B2543" s="2">
        <f>HYPERLINK("https://www.suredividend.com/sure-analysis-research-database/","SINTX Technologies Inc")</f>
        <v>0</v>
      </c>
      <c r="C2543" s="1" t="s">
        <v>3176</v>
      </c>
      <c r="D2543" s="3">
        <v>5.15</v>
      </c>
      <c r="E2543" s="4">
        <v>0</v>
      </c>
      <c r="F2543" s="4" t="s">
        <v>3178</v>
      </c>
      <c r="G2543" s="4" t="s">
        <v>3178</v>
      </c>
      <c r="H2543" s="3">
        <v>0</v>
      </c>
      <c r="I2543" s="5">
        <v>631.897038</v>
      </c>
      <c r="J2543" s="6">
        <v>0</v>
      </c>
      <c r="K2543" s="4" t="s">
        <v>3178</v>
      </c>
      <c r="M2543" s="3">
        <v>364</v>
      </c>
      <c r="N2543" s="3">
        <v>4.12</v>
      </c>
    </row>
    <row r="2544" spans="1:14">
      <c r="A2544" s="8" t="s">
        <v>2556</v>
      </c>
      <c r="B2544" s="2">
        <f>HYPERLINK("https://www.suredividend.com/sure-analysis-research-database/","Sirius XM Holdings Inc")</f>
        <v>0</v>
      </c>
      <c r="C2544" s="1" t="s">
        <v>3187</v>
      </c>
      <c r="D2544" s="3">
        <v>2.56</v>
      </c>
      <c r="E2544" s="4">
        <v>0.039903091698214</v>
      </c>
      <c r="F2544" s="4">
        <v>0.09917355371900816</v>
      </c>
      <c r="G2544" s="4">
        <v>0.1485256962856409</v>
      </c>
      <c r="H2544" s="3">
        <v>0.102151914747429</v>
      </c>
      <c r="I2544" s="5">
        <v>9847.377136999999</v>
      </c>
      <c r="J2544" s="6">
        <v>7.63362568731783</v>
      </c>
      <c r="K2544" s="4">
        <v>0.3063944653492172</v>
      </c>
      <c r="L2544" s="7">
        <v>1.300102413416537</v>
      </c>
      <c r="M2544" s="3">
        <v>7.61</v>
      </c>
      <c r="N2544" s="3">
        <v>2.52</v>
      </c>
    </row>
    <row r="2545" spans="1:14">
      <c r="A2545" s="8" t="s">
        <v>2557</v>
      </c>
      <c r="B2545" s="2">
        <f>HYPERLINK("https://www.suredividend.com/sure-analysis-research-database/","SITE Centers Corp")</f>
        <v>0</v>
      </c>
      <c r="C2545" s="1" t="s">
        <v>3183</v>
      </c>
      <c r="D2545" s="3">
        <v>14.65</v>
      </c>
      <c r="E2545" s="4">
        <v>0.034689895006248</v>
      </c>
      <c r="F2545" s="4" t="s">
        <v>3178</v>
      </c>
      <c r="G2545" s="4" t="s">
        <v>3178</v>
      </c>
      <c r="H2545" s="3">
        <v>0.508206961841547</v>
      </c>
      <c r="I2545" s="5">
        <v>3069.806503</v>
      </c>
      <c r="J2545" s="6">
        <v>14.27279258930356</v>
      </c>
      <c r="K2545" s="4">
        <v>0.4934048173218903</v>
      </c>
      <c r="L2545" s="7">
        <v>0.9998122894914551</v>
      </c>
      <c r="M2545" s="3">
        <v>14.71</v>
      </c>
      <c r="N2545" s="3">
        <v>10.55</v>
      </c>
    </row>
    <row r="2546" spans="1:14">
      <c r="A2546" s="8" t="s">
        <v>2558</v>
      </c>
      <c r="B2546" s="2">
        <f>HYPERLINK("https://www.suredividend.com/sure-analysis-research-database/","SiteOne Landscape Supply Inc")</f>
        <v>0</v>
      </c>
      <c r="C2546" s="1" t="s">
        <v>3179</v>
      </c>
      <c r="D2546" s="3">
        <v>128.14</v>
      </c>
      <c r="E2546" s="4">
        <v>0</v>
      </c>
      <c r="F2546" s="4" t="s">
        <v>3178</v>
      </c>
      <c r="G2546" s="4" t="s">
        <v>3178</v>
      </c>
      <c r="H2546" s="3">
        <v>0</v>
      </c>
      <c r="I2546" s="5">
        <v>5793.477213</v>
      </c>
      <c r="J2546" s="6">
        <v>36.52886010466582</v>
      </c>
      <c r="K2546" s="4">
        <v>0</v>
      </c>
      <c r="L2546" s="7">
        <v>1.712793467477458</v>
      </c>
      <c r="M2546" s="3">
        <v>188.01</v>
      </c>
      <c r="N2546" s="3">
        <v>116.81</v>
      </c>
    </row>
    <row r="2547" spans="1:14">
      <c r="A2547" s="8" t="s">
        <v>2559</v>
      </c>
      <c r="B2547" s="2">
        <f>HYPERLINK("https://www.suredividend.com/sure-analysis-research-database/","SVB Financial Group")</f>
        <v>0</v>
      </c>
      <c r="C2547" s="1" t="s">
        <v>3180</v>
      </c>
      <c r="D2547" s="3">
        <v>106.04</v>
      </c>
      <c r="E2547" s="4">
        <v>0</v>
      </c>
      <c r="F2547" s="4" t="s">
        <v>3178</v>
      </c>
      <c r="G2547" s="4" t="s">
        <v>3178</v>
      </c>
      <c r="H2547" s="3">
        <v>0</v>
      </c>
      <c r="I2547" s="5">
        <v>0</v>
      </c>
      <c r="J2547" s="6">
        <v>0</v>
      </c>
      <c r="K2547" s="4" t="s">
        <v>3178</v>
      </c>
    </row>
    <row r="2548" spans="1:14">
      <c r="A2548" s="8" t="s">
        <v>2560</v>
      </c>
      <c r="B2548" s="2">
        <f>HYPERLINK("https://www.suredividend.com/sure-analysis-research-database/","Six Flags Entertainment Corp")</f>
        <v>0</v>
      </c>
      <c r="C2548" s="1" t="s">
        <v>3182</v>
      </c>
      <c r="D2548" s="3">
        <v>26.45</v>
      </c>
      <c r="E2548" s="4">
        <v>0</v>
      </c>
      <c r="F2548" s="4" t="s">
        <v>3178</v>
      </c>
      <c r="G2548" s="4" t="s">
        <v>3178</v>
      </c>
      <c r="H2548" s="3">
        <v>0</v>
      </c>
      <c r="I2548" s="5">
        <v>2228.9488</v>
      </c>
      <c r="J2548" s="6">
        <v>85.29575999540792</v>
      </c>
      <c r="K2548" s="4">
        <v>0</v>
      </c>
      <c r="L2548" s="7">
        <v>1.795142659308215</v>
      </c>
      <c r="M2548" s="3">
        <v>28.91</v>
      </c>
      <c r="N2548" s="3">
        <v>18.29</v>
      </c>
    </row>
    <row r="2549" spans="1:14">
      <c r="A2549" s="8" t="s">
        <v>2561</v>
      </c>
      <c r="B2549" s="2">
        <f>HYPERLINK("https://www.suredividend.com/sure-analysis-research-database/","South Jersey Industries Inc.")</f>
        <v>0</v>
      </c>
      <c r="C2549" s="1" t="s">
        <v>3186</v>
      </c>
      <c r="D2549" s="3">
        <v>36.09</v>
      </c>
      <c r="E2549" s="4">
        <v>0.033904996328676</v>
      </c>
      <c r="F2549" s="4" t="s">
        <v>3178</v>
      </c>
      <c r="G2549" s="4" t="s">
        <v>3178</v>
      </c>
      <c r="H2549" s="3">
        <v>1.22363131750192</v>
      </c>
      <c r="I2549" s="5">
        <v>4417.68404</v>
      </c>
      <c r="J2549" s="6">
        <v>28.54778470942894</v>
      </c>
      <c r="K2549" s="4">
        <v>0.948551408916217</v>
      </c>
      <c r="L2549" s="7">
        <v>0.245539126377827</v>
      </c>
      <c r="M2549" s="3">
        <v>36.13</v>
      </c>
      <c r="N2549" s="3">
        <v>22.33</v>
      </c>
    </row>
    <row r="2550" spans="1:14">
      <c r="A2550" s="8" t="s">
        <v>2562</v>
      </c>
      <c r="B2550" s="2">
        <f>HYPERLINK("https://www.suredividend.com/sure-analysis-SJM/","J.M. Smucker Co.")</f>
        <v>0</v>
      </c>
      <c r="C2550" s="1" t="s">
        <v>3184</v>
      </c>
      <c r="D2550" s="3">
        <v>114.98</v>
      </c>
      <c r="E2550" s="4">
        <v>0.03687597843103149</v>
      </c>
      <c r="F2550" s="4">
        <v>0.03921568627450989</v>
      </c>
      <c r="G2550" s="4">
        <v>0.03792181163298758</v>
      </c>
      <c r="H2550" s="3">
        <v>4.18286723861914</v>
      </c>
      <c r="I2550" s="5">
        <v>12208.064739</v>
      </c>
      <c r="J2550" s="6" t="s">
        <v>3178</v>
      </c>
      <c r="K2550" s="4" t="s">
        <v>3178</v>
      </c>
      <c r="L2550" s="7">
        <v>0.157749211444963</v>
      </c>
      <c r="M2550" s="3">
        <v>149.07</v>
      </c>
      <c r="N2550" s="3">
        <v>104.44</v>
      </c>
    </row>
    <row r="2551" spans="1:14">
      <c r="A2551" s="8" t="s">
        <v>2563</v>
      </c>
      <c r="B2551" s="2">
        <f>HYPERLINK("https://www.suredividend.com/sure-analysis-SJW/","SJW Group")</f>
        <v>0</v>
      </c>
      <c r="C2551" s="1" t="s">
        <v>3186</v>
      </c>
      <c r="D2551" s="3">
        <v>52.67</v>
      </c>
      <c r="E2551" s="4">
        <v>0.03037782418834251</v>
      </c>
      <c r="F2551" s="4">
        <v>0.05263157894736836</v>
      </c>
      <c r="G2551" s="4">
        <v>0.05922384104881218</v>
      </c>
      <c r="H2551" s="3">
        <v>1.544390715873377</v>
      </c>
      <c r="I2551" s="5">
        <v>1697.789272</v>
      </c>
      <c r="J2551" s="6">
        <v>19.93740043625816</v>
      </c>
      <c r="K2551" s="4">
        <v>0.5784234890911524</v>
      </c>
      <c r="L2551" s="7">
        <v>0.7023989015143041</v>
      </c>
      <c r="M2551" s="3">
        <v>73.81</v>
      </c>
      <c r="N2551" s="3">
        <v>50.99</v>
      </c>
    </row>
    <row r="2552" spans="1:14">
      <c r="A2552" s="8" t="s">
        <v>2564</v>
      </c>
      <c r="B2552" s="2">
        <f>HYPERLINK("https://www.suredividend.com/sure-analysis-SKT/","Tanger Inc.")</f>
        <v>0</v>
      </c>
      <c r="C2552" s="1" t="s">
        <v>3183</v>
      </c>
      <c r="D2552" s="3">
        <v>26.8</v>
      </c>
      <c r="E2552" s="4">
        <v>0.04104477611940299</v>
      </c>
      <c r="F2552" s="4" t="s">
        <v>3178</v>
      </c>
      <c r="G2552" s="4" t="s">
        <v>3178</v>
      </c>
      <c r="H2552" s="3">
        <v>1.025171867307061</v>
      </c>
      <c r="I2552" s="5">
        <v>2930.650645</v>
      </c>
      <c r="J2552" s="6">
        <v>30.27375285160891</v>
      </c>
      <c r="K2552" s="4">
        <v>1.112020682619656</v>
      </c>
      <c r="L2552" s="7">
        <v>0.9961495492585151</v>
      </c>
      <c r="M2552" s="3">
        <v>29.69</v>
      </c>
      <c r="N2552" s="3">
        <v>19.51</v>
      </c>
    </row>
    <row r="2553" spans="1:14">
      <c r="A2553" s="8" t="s">
        <v>2565</v>
      </c>
      <c r="B2553" s="2">
        <f>HYPERLINK("https://www.suredividend.com/sure-analysis-research-database/","Skechers U S A, Inc.")</f>
        <v>0</v>
      </c>
      <c r="C2553" s="1" t="s">
        <v>3182</v>
      </c>
      <c r="D2553" s="3">
        <v>72.87</v>
      </c>
      <c r="E2553" s="4">
        <v>0</v>
      </c>
      <c r="F2553" s="4" t="s">
        <v>3178</v>
      </c>
      <c r="G2553" s="4" t="s">
        <v>3178</v>
      </c>
      <c r="H2553" s="3">
        <v>0</v>
      </c>
      <c r="I2553" s="5">
        <v>9647.641795</v>
      </c>
      <c r="J2553" s="6">
        <v>16.29729786348479</v>
      </c>
      <c r="K2553" s="4">
        <v>0</v>
      </c>
      <c r="L2553" s="7">
        <v>1.128484499686272</v>
      </c>
      <c r="M2553" s="3">
        <v>73.84</v>
      </c>
      <c r="N2553" s="3">
        <v>45.58</v>
      </c>
    </row>
    <row r="2554" spans="1:14">
      <c r="A2554" s="8" t="s">
        <v>2566</v>
      </c>
      <c r="B2554" s="2">
        <f>HYPERLINK("https://www.suredividend.com/sure-analysis-research-database/","Skyline Champion Corp")</f>
        <v>0</v>
      </c>
      <c r="C2554" s="1" t="s">
        <v>3182</v>
      </c>
      <c r="D2554" s="3">
        <v>66.73</v>
      </c>
      <c r="E2554" s="4">
        <v>0</v>
      </c>
      <c r="F2554" s="4" t="s">
        <v>3178</v>
      </c>
      <c r="G2554" s="4" t="s">
        <v>3178</v>
      </c>
      <c r="H2554" s="3">
        <v>0</v>
      </c>
      <c r="I2554" s="5">
        <v>3861.105435</v>
      </c>
      <c r="J2554" s="6">
        <v>26.32045478738344</v>
      </c>
      <c r="K2554" s="4">
        <v>0</v>
      </c>
      <c r="L2554" s="7">
        <v>1.905738503287563</v>
      </c>
      <c r="M2554" s="3">
        <v>86.70999999999999</v>
      </c>
      <c r="N2554" s="3">
        <v>52.12</v>
      </c>
    </row>
    <row r="2555" spans="1:14">
      <c r="A2555" s="8" t="s">
        <v>2567</v>
      </c>
      <c r="B2555" s="2">
        <f>HYPERLINK("https://www.suredividend.com/sure-analysis-research-database/","Skywest Inc.")</f>
        <v>0</v>
      </c>
      <c r="C2555" s="1" t="s">
        <v>3179</v>
      </c>
      <c r="D2555" s="3">
        <v>78.59</v>
      </c>
      <c r="E2555" s="4">
        <v>0</v>
      </c>
      <c r="F2555" s="4" t="s">
        <v>3178</v>
      </c>
      <c r="G2555" s="4" t="s">
        <v>3178</v>
      </c>
      <c r="H2555" s="3">
        <v>0</v>
      </c>
      <c r="I2555" s="5">
        <v>3163.991983</v>
      </c>
      <c r="J2555" s="6">
        <v>27.10962962419995</v>
      </c>
      <c r="K2555" s="4">
        <v>0</v>
      </c>
      <c r="L2555" s="7">
        <v>1.321186631714523</v>
      </c>
      <c r="M2555" s="3">
        <v>84.58</v>
      </c>
      <c r="N2555" s="3">
        <v>33.98</v>
      </c>
    </row>
    <row r="2556" spans="1:14">
      <c r="A2556" s="8" t="s">
        <v>2568</v>
      </c>
      <c r="B2556" s="2">
        <f>HYPERLINK("https://www.suredividend.com/sure-analysis-research-database/","Silicon Laboratories Inc")</f>
        <v>0</v>
      </c>
      <c r="C2556" s="1" t="s">
        <v>3181</v>
      </c>
      <c r="D2556" s="3">
        <v>119.15</v>
      </c>
      <c r="E2556" s="4">
        <v>0</v>
      </c>
      <c r="F2556" s="4" t="s">
        <v>3178</v>
      </c>
      <c r="G2556" s="4" t="s">
        <v>3178</v>
      </c>
      <c r="H2556" s="3">
        <v>0</v>
      </c>
      <c r="I2556" s="5">
        <v>3803.794166</v>
      </c>
      <c r="J2556" s="6" t="s">
        <v>3178</v>
      </c>
      <c r="K2556" s="4">
        <v>-0</v>
      </c>
      <c r="L2556" s="7">
        <v>1.923782432680824</v>
      </c>
      <c r="M2556" s="3">
        <v>166.94</v>
      </c>
      <c r="N2556" s="3">
        <v>74.56</v>
      </c>
    </row>
    <row r="2557" spans="1:14">
      <c r="A2557" s="8" t="s">
        <v>2569</v>
      </c>
      <c r="B2557" s="2">
        <f>HYPERLINK("https://www.suredividend.com/sure-analysis-SLB/","Schlumberger Ltd.")</f>
        <v>0</v>
      </c>
      <c r="C2557" s="1" t="s">
        <v>3185</v>
      </c>
      <c r="D2557" s="3">
        <v>44.55</v>
      </c>
      <c r="E2557" s="4">
        <v>0.02469135802469136</v>
      </c>
      <c r="F2557" s="4">
        <v>0.1000000000000001</v>
      </c>
      <c r="G2557" s="4">
        <v>-0.112695798633674</v>
      </c>
      <c r="H2557" s="3">
        <v>1.041089248079939</v>
      </c>
      <c r="I2557" s="5">
        <v>63676.995604</v>
      </c>
      <c r="J2557" s="6">
        <v>14.68226783587733</v>
      </c>
      <c r="K2557" s="4">
        <v>0.3458768266046309</v>
      </c>
      <c r="L2557" s="7">
        <v>0.6454991667738921</v>
      </c>
      <c r="M2557" s="3">
        <v>61.08</v>
      </c>
      <c r="N2557" s="3">
        <v>42.68</v>
      </c>
    </row>
    <row r="2558" spans="1:14">
      <c r="A2558" s="8" t="s">
        <v>2570</v>
      </c>
      <c r="B2558" s="2">
        <f>HYPERLINK("https://www.suredividend.com/sure-analysis-research-database/","U.S. Silica Holdings Inc")</f>
        <v>0</v>
      </c>
      <c r="C2558" s="1" t="s">
        <v>3185</v>
      </c>
      <c r="D2558" s="3">
        <v>15.51</v>
      </c>
      <c r="E2558" s="4">
        <v>0</v>
      </c>
      <c r="F2558" s="4" t="s">
        <v>3178</v>
      </c>
      <c r="G2558" s="4" t="s">
        <v>3178</v>
      </c>
      <c r="H2558" s="3">
        <v>0</v>
      </c>
      <c r="I2558" s="5">
        <v>1211.845963</v>
      </c>
      <c r="J2558" s="6">
        <v>10.45010100478593</v>
      </c>
      <c r="K2558" s="4">
        <v>0</v>
      </c>
      <c r="L2558" s="7">
        <v>0.5719879453222151</v>
      </c>
      <c r="M2558" s="3">
        <v>16.03</v>
      </c>
      <c r="N2558" s="3">
        <v>10.09</v>
      </c>
    </row>
    <row r="2559" spans="1:14">
      <c r="A2559" s="8" t="s">
        <v>2571</v>
      </c>
      <c r="B2559" s="2">
        <f>HYPERLINK("https://www.suredividend.com/sure-analysis-research-database/","Select Bancorp Inc")</f>
        <v>0</v>
      </c>
      <c r="C2559" s="1" t="s">
        <v>3180</v>
      </c>
      <c r="D2559" s="3">
        <v>18.88</v>
      </c>
      <c r="E2559" s="4">
        <v>0</v>
      </c>
      <c r="F2559" s="4" t="s">
        <v>3178</v>
      </c>
      <c r="G2559" s="4" t="s">
        <v>3178</v>
      </c>
      <c r="H2559" s="3">
        <v>0</v>
      </c>
      <c r="I2559" s="5">
        <v>0</v>
      </c>
      <c r="J2559" s="6">
        <v>0</v>
      </c>
      <c r="K2559" s="4" t="s">
        <v>3178</v>
      </c>
    </row>
    <row r="2560" spans="1:14">
      <c r="A2560" s="8" t="s">
        <v>2572</v>
      </c>
      <c r="B2560" s="2">
        <f>HYPERLINK("https://www.suredividend.com/sure-analysis-research-database/","Solid Biosciences Inc")</f>
        <v>0</v>
      </c>
      <c r="C2560" s="1" t="s">
        <v>3176</v>
      </c>
      <c r="D2560" s="3">
        <v>8.06</v>
      </c>
      <c r="E2560" s="4">
        <v>0</v>
      </c>
      <c r="F2560" s="4" t="s">
        <v>3178</v>
      </c>
      <c r="G2560" s="4" t="s">
        <v>3178</v>
      </c>
      <c r="H2560" s="3">
        <v>0</v>
      </c>
      <c r="I2560" s="5">
        <v>309.338069</v>
      </c>
      <c r="J2560" s="6">
        <v>0</v>
      </c>
      <c r="K2560" s="4" t="s">
        <v>3178</v>
      </c>
      <c r="L2560" s="7">
        <v>2.588979751700478</v>
      </c>
      <c r="M2560" s="3">
        <v>15.05</v>
      </c>
      <c r="N2560" s="3">
        <v>1.81</v>
      </c>
    </row>
    <row r="2561" spans="1:14">
      <c r="A2561" s="8" t="s">
        <v>2573</v>
      </c>
      <c r="B2561" s="2">
        <f>HYPERLINK("https://www.suredividend.com/sure-analysis-SLG/","SL Green Realty Corp.")</f>
        <v>0</v>
      </c>
      <c r="C2561" s="1" t="s">
        <v>3183</v>
      </c>
      <c r="D2561" s="3">
        <v>54.05</v>
      </c>
      <c r="E2561" s="4">
        <v>0.05550416281221092</v>
      </c>
      <c r="F2561" s="4">
        <v>0</v>
      </c>
      <c r="G2561" s="4">
        <v>-0.0426035788526643</v>
      </c>
      <c r="H2561" s="3">
        <v>3.026287375533678</v>
      </c>
      <c r="I2561" s="5">
        <v>3559.669762</v>
      </c>
      <c r="J2561" s="6" t="s">
        <v>3178</v>
      </c>
      <c r="K2561" s="4" t="s">
        <v>3178</v>
      </c>
      <c r="L2561" s="7">
        <v>2.430470676473259</v>
      </c>
      <c r="M2561" s="3">
        <v>57.06</v>
      </c>
      <c r="N2561" s="3">
        <v>21.45</v>
      </c>
    </row>
    <row r="2562" spans="1:14">
      <c r="A2562" s="8" t="s">
        <v>2574</v>
      </c>
      <c r="B2562" s="2">
        <f>HYPERLINK("https://www.suredividend.com/sure-analysis-SLGN/","Silgan Holdings Inc.")</f>
        <v>0</v>
      </c>
      <c r="C2562" s="1" t="s">
        <v>3182</v>
      </c>
      <c r="D2562" s="3">
        <v>45.94</v>
      </c>
      <c r="E2562" s="4">
        <v>0.01654331737048324</v>
      </c>
      <c r="F2562" s="4">
        <v>0.05555555555555558</v>
      </c>
      <c r="G2562" s="4">
        <v>0.115506700140541</v>
      </c>
      <c r="H2562" s="3">
        <v>0.7354839230026591</v>
      </c>
      <c r="I2562" s="5">
        <v>4905.249656</v>
      </c>
      <c r="J2562" s="6">
        <v>15.86945860873504</v>
      </c>
      <c r="K2562" s="4">
        <v>0.2580645343868979</v>
      </c>
      <c r="L2562" s="7">
        <v>0.6145545899509071</v>
      </c>
      <c r="M2562" s="3">
        <v>49.52</v>
      </c>
      <c r="N2562" s="3">
        <v>37.63</v>
      </c>
    </row>
    <row r="2563" spans="1:14">
      <c r="A2563" s="8" t="s">
        <v>2575</v>
      </c>
      <c r="B2563" s="2">
        <f>HYPERLINK("https://www.suredividend.com/sure-analysis-research-database/","SLM Corp.")</f>
        <v>0</v>
      </c>
      <c r="C2563" s="1" t="s">
        <v>3180</v>
      </c>
      <c r="D2563" s="3">
        <v>20.57</v>
      </c>
      <c r="E2563" s="4">
        <v>0.021034385254748</v>
      </c>
      <c r="F2563" s="4">
        <v>0</v>
      </c>
      <c r="G2563" s="4">
        <v>0.2967441161096582</v>
      </c>
      <c r="H2563" s="3">
        <v>0.432677304690177</v>
      </c>
      <c r="I2563" s="5">
        <v>4519.555631</v>
      </c>
      <c r="J2563" s="6">
        <v>6.153165762475341</v>
      </c>
      <c r="K2563" s="4">
        <v>0.134790437598186</v>
      </c>
      <c r="L2563" s="7">
        <v>1.006992019535467</v>
      </c>
      <c r="M2563" s="3">
        <v>22.5</v>
      </c>
      <c r="N2563" s="3">
        <v>11.83</v>
      </c>
    </row>
    <row r="2564" spans="1:14">
      <c r="A2564" s="8" t="s">
        <v>2576</v>
      </c>
      <c r="B2564" s="2">
        <f>HYPERLINK("https://www.suredividend.com/sure-analysis-research-database/","Stabilis Solutions Inc")</f>
        <v>0</v>
      </c>
      <c r="C2564" s="1" t="s">
        <v>3185</v>
      </c>
      <c r="D2564" s="3">
        <v>4.21</v>
      </c>
      <c r="E2564" s="4">
        <v>0</v>
      </c>
      <c r="F2564" s="4" t="s">
        <v>3178</v>
      </c>
      <c r="G2564" s="4" t="s">
        <v>3178</v>
      </c>
      <c r="H2564" s="3">
        <v>0</v>
      </c>
      <c r="I2564" s="5">
        <v>78.242909</v>
      </c>
      <c r="J2564" s="6">
        <v>0</v>
      </c>
      <c r="K2564" s="4" t="s">
        <v>3178</v>
      </c>
      <c r="M2564" s="3">
        <v>6.4</v>
      </c>
      <c r="N2564" s="3">
        <v>3.85</v>
      </c>
    </row>
    <row r="2565" spans="1:14">
      <c r="A2565" s="8" t="s">
        <v>2577</v>
      </c>
      <c r="B2565" s="2">
        <f>HYPERLINK("https://www.suredividend.com/sure-analysis-research-database/","Soleno Therapeutics Inc")</f>
        <v>0</v>
      </c>
      <c r="C2565" s="1" t="s">
        <v>3176</v>
      </c>
      <c r="D2565" s="3">
        <v>45.56</v>
      </c>
      <c r="E2565" s="4">
        <v>0</v>
      </c>
      <c r="F2565" s="4" t="s">
        <v>3178</v>
      </c>
      <c r="G2565" s="4" t="s">
        <v>3178</v>
      </c>
      <c r="H2565" s="3">
        <v>0</v>
      </c>
      <c r="I2565" s="5">
        <v>1522.220149</v>
      </c>
      <c r="J2565" s="6">
        <v>0</v>
      </c>
      <c r="K2565" s="4" t="s">
        <v>3178</v>
      </c>
      <c r="L2565" s="7">
        <v>-4.932381460691865</v>
      </c>
      <c r="M2565" s="3">
        <v>53.82</v>
      </c>
      <c r="N2565" s="3">
        <v>3.69</v>
      </c>
    </row>
    <row r="2566" spans="1:14">
      <c r="A2566" s="8" t="s">
        <v>2578</v>
      </c>
      <c r="B2566" s="2">
        <f>HYPERLINK("https://www.suredividend.com/sure-analysis-research-database/","Simulations Plus Inc.")</f>
        <v>0</v>
      </c>
      <c r="C2566" s="1" t="s">
        <v>3176</v>
      </c>
      <c r="D2566" s="3">
        <v>46.22</v>
      </c>
      <c r="E2566" s="4">
        <v>0.005169757220667001</v>
      </c>
      <c r="F2566" s="4">
        <v>0</v>
      </c>
      <c r="G2566" s="4">
        <v>0</v>
      </c>
      <c r="H2566" s="3">
        <v>0.238946178739272</v>
      </c>
      <c r="I2566" s="5">
        <v>923.704158</v>
      </c>
      <c r="J2566" s="6">
        <v>87.83797621719286</v>
      </c>
      <c r="K2566" s="4">
        <v>0.4606635410435165</v>
      </c>
      <c r="L2566" s="7">
        <v>1.010559846238482</v>
      </c>
      <c r="M2566" s="3">
        <v>52.2</v>
      </c>
      <c r="N2566" s="3">
        <v>32.5</v>
      </c>
    </row>
    <row r="2567" spans="1:14">
      <c r="A2567" s="8" t="s">
        <v>2579</v>
      </c>
      <c r="B2567" s="2">
        <f>HYPERLINK("https://www.suredividend.com/sure-analysis-research-database/","Salarius Pharmaceuticals Inc")</f>
        <v>0</v>
      </c>
      <c r="C2567" s="1" t="s">
        <v>3176</v>
      </c>
      <c r="D2567" s="3">
        <v>0.411</v>
      </c>
      <c r="E2567" s="4">
        <v>0</v>
      </c>
      <c r="F2567" s="4" t="s">
        <v>3178</v>
      </c>
      <c r="G2567" s="4" t="s">
        <v>3178</v>
      </c>
      <c r="H2567" s="3">
        <v>0</v>
      </c>
      <c r="I2567" s="5">
        <v>1.963114</v>
      </c>
      <c r="J2567" s="6">
        <v>0</v>
      </c>
      <c r="K2567" s="4" t="s">
        <v>3178</v>
      </c>
      <c r="L2567" s="7">
        <v>-0.475211828818123</v>
      </c>
      <c r="M2567" s="3">
        <v>1.81</v>
      </c>
      <c r="N2567" s="3">
        <v>0.411</v>
      </c>
    </row>
    <row r="2568" spans="1:14">
      <c r="A2568" s="8" t="s">
        <v>2580</v>
      </c>
      <c r="B2568" s="2">
        <f>HYPERLINK("https://www.suredividend.com/sure-analysis-research-database/","SELLAS Life Sciences Group Inc")</f>
        <v>0</v>
      </c>
      <c r="C2568" s="1" t="s">
        <v>3176</v>
      </c>
      <c r="D2568" s="3">
        <v>1.45</v>
      </c>
      <c r="E2568" s="4">
        <v>0</v>
      </c>
      <c r="F2568" s="4" t="s">
        <v>3178</v>
      </c>
      <c r="G2568" s="4" t="s">
        <v>3178</v>
      </c>
      <c r="H2568" s="3">
        <v>0</v>
      </c>
      <c r="I2568" s="5">
        <v>83.744646</v>
      </c>
      <c r="J2568" s="6" t="s">
        <v>3178</v>
      </c>
      <c r="K2568" s="4">
        <v>-0</v>
      </c>
      <c r="L2568" s="7">
        <v>0.8453479700529281</v>
      </c>
      <c r="M2568" s="3">
        <v>1.91</v>
      </c>
      <c r="N2568" s="3">
        <v>0.4986</v>
      </c>
    </row>
    <row r="2569" spans="1:14">
      <c r="A2569" s="8" t="s">
        <v>2581</v>
      </c>
      <c r="B2569" s="2">
        <f>HYPERLINK("https://www.suredividend.com/sure-analysis-research-database/","SM Energy Co")</f>
        <v>0</v>
      </c>
      <c r="C2569" s="1" t="s">
        <v>3185</v>
      </c>
      <c r="D2569" s="3">
        <v>47.02</v>
      </c>
      <c r="E2569" s="4">
        <v>0.013956156028206</v>
      </c>
      <c r="F2569" s="4" t="s">
        <v>3178</v>
      </c>
      <c r="G2569" s="4" t="s">
        <v>3178</v>
      </c>
      <c r="H2569" s="3">
        <v>0.6562184564462801</v>
      </c>
      <c r="I2569" s="5">
        <v>5407.3</v>
      </c>
      <c r="J2569" s="6">
        <v>7.204670851281834</v>
      </c>
      <c r="K2569" s="4">
        <v>0.1030170261297143</v>
      </c>
      <c r="L2569" s="7">
        <v>0.7344501003856171</v>
      </c>
      <c r="M2569" s="3">
        <v>53.07</v>
      </c>
      <c r="N2569" s="3">
        <v>26.92</v>
      </c>
    </row>
    <row r="2570" spans="1:14">
      <c r="A2570" s="8" t="s">
        <v>2582</v>
      </c>
      <c r="B2570" s="2">
        <f>HYPERLINK("https://www.suredividend.com/sure-analysis-research-database/","Smartsheet Inc")</f>
        <v>0</v>
      </c>
      <c r="C2570" s="1" t="s">
        <v>3181</v>
      </c>
      <c r="D2570" s="3">
        <v>44.29</v>
      </c>
      <c r="E2570" s="4">
        <v>0</v>
      </c>
      <c r="F2570" s="4" t="s">
        <v>3178</v>
      </c>
      <c r="G2570" s="4" t="s">
        <v>3178</v>
      </c>
      <c r="H2570" s="3">
        <v>0</v>
      </c>
      <c r="I2570" s="5">
        <v>6127.156152</v>
      </c>
      <c r="J2570" s="6" t="s">
        <v>3178</v>
      </c>
      <c r="K2570" s="4">
        <v>-0</v>
      </c>
      <c r="L2570" s="7">
        <v>1.784625111699813</v>
      </c>
      <c r="M2570" s="3">
        <v>49.42</v>
      </c>
      <c r="N2570" s="3">
        <v>35.52</v>
      </c>
    </row>
    <row r="2571" spans="1:14">
      <c r="A2571" s="8" t="s">
        <v>2583</v>
      </c>
      <c r="B2571" s="2">
        <f>HYPERLINK("https://www.suredividend.com/sure-analysis-research-database/","Southern Missouri Bancorp, Inc.")</f>
        <v>0</v>
      </c>
      <c r="C2571" s="1" t="s">
        <v>3180</v>
      </c>
      <c r="D2571" s="3">
        <v>41.23</v>
      </c>
      <c r="E2571" s="4">
        <v>0.02007008915025</v>
      </c>
      <c r="F2571" s="4">
        <v>0</v>
      </c>
      <c r="G2571" s="4">
        <v>0.06961037572506878</v>
      </c>
      <c r="H2571" s="3">
        <v>0.8274897756648271</v>
      </c>
      <c r="I2571" s="5">
        <v>468.177617</v>
      </c>
      <c r="J2571" s="6">
        <v>0</v>
      </c>
      <c r="K2571" s="4" t="s">
        <v>3178</v>
      </c>
      <c r="L2571" s="7">
        <v>1.139017781426075</v>
      </c>
      <c r="M2571" s="3">
        <v>54.35</v>
      </c>
      <c r="N2571" s="3">
        <v>36.13</v>
      </c>
    </row>
    <row r="2572" spans="1:14">
      <c r="A2572" s="8" t="s">
        <v>2584</v>
      </c>
      <c r="B2572" s="2">
        <f>HYPERLINK("https://www.suredividend.com/sure-analysis-research-database/","SmartFinancial Inc")</f>
        <v>0</v>
      </c>
      <c r="C2572" s="1" t="s">
        <v>3180</v>
      </c>
      <c r="D2572" s="3">
        <v>22.05</v>
      </c>
      <c r="E2572" s="4">
        <v>0.007243218149724001</v>
      </c>
      <c r="F2572" s="4">
        <v>0</v>
      </c>
      <c r="G2572" s="4">
        <v>0.09856054330611763</v>
      </c>
      <c r="H2572" s="3">
        <v>0.159712960201415</v>
      </c>
      <c r="I2572" s="5">
        <v>376.232623</v>
      </c>
      <c r="J2572" s="6">
        <v>0</v>
      </c>
      <c r="K2572" s="4" t="s">
        <v>3178</v>
      </c>
      <c r="L2572" s="7">
        <v>1.014539390565434</v>
      </c>
      <c r="M2572" s="3">
        <v>25.74</v>
      </c>
      <c r="N2572" s="3">
        <v>18.93</v>
      </c>
    </row>
    <row r="2573" spans="1:14">
      <c r="A2573" s="8" t="s">
        <v>2585</v>
      </c>
      <c r="B2573" s="2">
        <f>HYPERLINK("https://www.suredividend.com/sure-analysis-research-database/","Sharps Compliance Corp.")</f>
        <v>0</v>
      </c>
      <c r="C2573" s="1" t="s">
        <v>3179</v>
      </c>
      <c r="D2573" s="3">
        <v>8.75</v>
      </c>
      <c r="E2573" s="4">
        <v>0</v>
      </c>
      <c r="F2573" s="4" t="s">
        <v>3178</v>
      </c>
      <c r="G2573" s="4" t="s">
        <v>3178</v>
      </c>
      <c r="H2573" s="3">
        <v>0</v>
      </c>
      <c r="I2573" s="5">
        <v>0</v>
      </c>
      <c r="J2573" s="6">
        <v>0</v>
      </c>
      <c r="K2573" s="4" t="s">
        <v>3178</v>
      </c>
    </row>
    <row r="2574" spans="1:14">
      <c r="A2574" s="8" t="s">
        <v>2586</v>
      </c>
      <c r="B2574" s="2">
        <f>HYPERLINK("https://www.suredividend.com/sure-analysis-SMG/","Scotts Miracle-Gro Company")</f>
        <v>0</v>
      </c>
      <c r="C2574" s="1" t="s">
        <v>3177</v>
      </c>
      <c r="D2574" s="3">
        <v>68.20999999999999</v>
      </c>
      <c r="E2574" s="4">
        <v>0.03870400234569712</v>
      </c>
      <c r="F2574" s="4">
        <v>0</v>
      </c>
      <c r="G2574" s="4">
        <v>0.02617915477537269</v>
      </c>
      <c r="H2574" s="3">
        <v>2.597674438042596</v>
      </c>
      <c r="I2574" s="5">
        <v>3874.265929</v>
      </c>
      <c r="J2574" s="6" t="s">
        <v>3178</v>
      </c>
      <c r="K2574" s="4" t="s">
        <v>3178</v>
      </c>
      <c r="L2574" s="7">
        <v>1.825303213899944</v>
      </c>
      <c r="M2574" s="3">
        <v>77.18000000000001</v>
      </c>
      <c r="N2574" s="3">
        <v>42.24</v>
      </c>
    </row>
    <row r="2575" spans="1:14">
      <c r="A2575" s="8" t="s">
        <v>2587</v>
      </c>
      <c r="B2575" s="2">
        <f>HYPERLINK("https://www.suredividend.com/sure-analysis-research-database/","SEACOR Marine Holdings Inc")</f>
        <v>0</v>
      </c>
      <c r="C2575" s="1" t="s">
        <v>3179</v>
      </c>
      <c r="D2575" s="3">
        <v>11.83</v>
      </c>
      <c r="E2575" s="4">
        <v>0</v>
      </c>
      <c r="F2575" s="4" t="s">
        <v>3178</v>
      </c>
      <c r="G2575" s="4" t="s">
        <v>3178</v>
      </c>
      <c r="H2575" s="3">
        <v>0</v>
      </c>
      <c r="I2575" s="5">
        <v>326.508</v>
      </c>
      <c r="J2575" s="6" t="s">
        <v>3178</v>
      </c>
      <c r="K2575" s="4">
        <v>-0</v>
      </c>
      <c r="L2575" s="7">
        <v>0.8998474354797271</v>
      </c>
      <c r="M2575" s="3">
        <v>15.24</v>
      </c>
      <c r="N2575" s="3">
        <v>9.369999999999999</v>
      </c>
    </row>
    <row r="2576" spans="1:14">
      <c r="A2576" s="8" t="s">
        <v>2588</v>
      </c>
      <c r="B2576" s="2">
        <f>HYPERLINK("https://www.suredividend.com/sure-analysis-research-database/","Schmitt Industries Inc")</f>
        <v>0</v>
      </c>
      <c r="C2576" s="1" t="s">
        <v>3181</v>
      </c>
      <c r="D2576" s="3">
        <v>0.0101</v>
      </c>
      <c r="E2576" s="4">
        <v>0</v>
      </c>
      <c r="F2576" s="4" t="s">
        <v>3178</v>
      </c>
      <c r="G2576" s="4" t="s">
        <v>3178</v>
      </c>
      <c r="H2576" s="3">
        <v>0</v>
      </c>
      <c r="I2576" s="5">
        <v>0.038244</v>
      </c>
      <c r="J2576" s="6">
        <v>0</v>
      </c>
      <c r="K2576" s="4" t="s">
        <v>3178</v>
      </c>
      <c r="M2576" s="3">
        <v>0.2398</v>
      </c>
      <c r="N2576" s="3">
        <v>0.0051</v>
      </c>
    </row>
    <row r="2577" spans="1:14">
      <c r="A2577" s="8" t="s">
        <v>2589</v>
      </c>
      <c r="B2577" s="2">
        <f>HYPERLINK("https://www.suredividend.com/sure-analysis-research-database/","Summit Financial Group Inc")</f>
        <v>0</v>
      </c>
      <c r="C2577" s="1" t="s">
        <v>3180</v>
      </c>
      <c r="D2577" s="3">
        <v>25.7</v>
      </c>
      <c r="E2577" s="4">
        <v>0</v>
      </c>
      <c r="F2577" s="4">
        <v>0.09999999999999987</v>
      </c>
      <c r="G2577" s="4">
        <v>0.0796084730466029</v>
      </c>
      <c r="H2577" s="3">
        <v>0.839223293025931</v>
      </c>
      <c r="I2577" s="5">
        <v>0</v>
      </c>
      <c r="J2577" s="6">
        <v>0</v>
      </c>
      <c r="K2577" s="4" t="s">
        <v>3178</v>
      </c>
    </row>
    <row r="2578" spans="1:14">
      <c r="A2578" s="8" t="s">
        <v>2590</v>
      </c>
      <c r="B2578" s="2">
        <f>HYPERLINK("https://www.suredividend.com/sure-analysis-research-database/","Standard Motor Products, Inc.")</f>
        <v>0</v>
      </c>
      <c r="C2578" s="1" t="s">
        <v>3182</v>
      </c>
      <c r="D2578" s="3">
        <v>29.46</v>
      </c>
      <c r="E2578" s="4">
        <v>0.038890186078174</v>
      </c>
      <c r="F2578" s="4" t="s">
        <v>3178</v>
      </c>
      <c r="G2578" s="4" t="s">
        <v>3178</v>
      </c>
      <c r="H2578" s="3">
        <v>1.145704881863013</v>
      </c>
      <c r="I2578" s="5">
        <v>642.660267</v>
      </c>
      <c r="J2578" s="6">
        <v>20.69492711341534</v>
      </c>
      <c r="K2578" s="4">
        <v>0.8183606299021523</v>
      </c>
      <c r="L2578" s="7">
        <v>0.5659146191588731</v>
      </c>
      <c r="M2578" s="3">
        <v>41.03</v>
      </c>
      <c r="N2578" s="3">
        <v>29.25</v>
      </c>
    </row>
    <row r="2579" spans="1:14">
      <c r="A2579" s="8" t="s">
        <v>2591</v>
      </c>
      <c r="B2579" s="2">
        <f>HYPERLINK("https://www.suredividend.com/sure-analysis-research-database/","Simply Good Foods Co")</f>
        <v>0</v>
      </c>
      <c r="C2579" s="1" t="s">
        <v>3184</v>
      </c>
      <c r="D2579" s="3">
        <v>37.18</v>
      </c>
      <c r="E2579" s="4">
        <v>0</v>
      </c>
      <c r="F2579" s="4" t="s">
        <v>3178</v>
      </c>
      <c r="G2579" s="4" t="s">
        <v>3178</v>
      </c>
      <c r="H2579" s="3">
        <v>0</v>
      </c>
      <c r="I2579" s="5">
        <v>3717.589756</v>
      </c>
      <c r="J2579" s="6">
        <v>26.41140231661658</v>
      </c>
      <c r="K2579" s="4">
        <v>0</v>
      </c>
      <c r="L2579" s="7">
        <v>0.4134117710240151</v>
      </c>
      <c r="M2579" s="3">
        <v>43</v>
      </c>
      <c r="N2579" s="3">
        <v>30</v>
      </c>
    </row>
    <row r="2580" spans="1:14">
      <c r="A2580" s="8" t="s">
        <v>2592</v>
      </c>
      <c r="B2580" s="2">
        <f>HYPERLINK("https://www.suredividend.com/sure-analysis-research-database/","SmartRent Inc")</f>
        <v>0</v>
      </c>
      <c r="C2580" s="1" t="s">
        <v>3182</v>
      </c>
      <c r="D2580" s="3">
        <v>2.35</v>
      </c>
      <c r="E2580" s="4">
        <v>0</v>
      </c>
      <c r="F2580" s="4" t="s">
        <v>3178</v>
      </c>
      <c r="G2580" s="4" t="s">
        <v>3178</v>
      </c>
      <c r="H2580" s="3">
        <v>0</v>
      </c>
      <c r="I2580" s="5">
        <v>474.295847</v>
      </c>
      <c r="J2580" s="6" t="s">
        <v>3178</v>
      </c>
      <c r="K2580" s="4">
        <v>-0</v>
      </c>
      <c r="L2580" s="7">
        <v>1.893089554613025</v>
      </c>
      <c r="M2580" s="3">
        <v>4.12</v>
      </c>
      <c r="N2580" s="3">
        <v>2.2</v>
      </c>
    </row>
    <row r="2581" spans="1:14">
      <c r="A2581" s="8" t="s">
        <v>2593</v>
      </c>
      <c r="B2581" s="2">
        <f>HYPERLINK("https://www.suredividend.com/sure-analysis-research-database/","Smith Micro Software, Inc.")</f>
        <v>0</v>
      </c>
      <c r="C2581" s="1" t="s">
        <v>3181</v>
      </c>
      <c r="D2581" s="3">
        <v>2.16</v>
      </c>
      <c r="E2581" s="4">
        <v>0</v>
      </c>
      <c r="F2581" s="4" t="s">
        <v>3178</v>
      </c>
      <c r="G2581" s="4" t="s">
        <v>3178</v>
      </c>
      <c r="H2581" s="3">
        <v>0</v>
      </c>
      <c r="I2581" s="5">
        <v>20.739417</v>
      </c>
      <c r="J2581" s="6" t="s">
        <v>3178</v>
      </c>
      <c r="K2581" s="4">
        <v>-0</v>
      </c>
      <c r="M2581" s="3">
        <v>14.96</v>
      </c>
      <c r="N2581" s="3">
        <v>1.88</v>
      </c>
    </row>
    <row r="2582" spans="1:14">
      <c r="A2582" s="8" t="s">
        <v>2594</v>
      </c>
      <c r="B2582" s="2">
        <f>HYPERLINK("https://www.suredividend.com/sure-analysis-research-database/","Semtech Corp.")</f>
        <v>0</v>
      </c>
      <c r="C2582" s="1" t="s">
        <v>3181</v>
      </c>
      <c r="D2582" s="3">
        <v>31.18</v>
      </c>
      <c r="E2582" s="4">
        <v>0</v>
      </c>
      <c r="F2582" s="4" t="s">
        <v>3178</v>
      </c>
      <c r="G2582" s="4" t="s">
        <v>3178</v>
      </c>
      <c r="H2582" s="3">
        <v>0</v>
      </c>
      <c r="I2582" s="5">
        <v>2015.893324</v>
      </c>
      <c r="J2582" s="6" t="s">
        <v>3178</v>
      </c>
      <c r="K2582" s="4">
        <v>-0</v>
      </c>
      <c r="L2582" s="7">
        <v>2.329064779379413</v>
      </c>
      <c r="M2582" s="3">
        <v>46.86</v>
      </c>
      <c r="N2582" s="3">
        <v>13.13</v>
      </c>
    </row>
    <row r="2583" spans="1:14">
      <c r="A2583" s="8" t="s">
        <v>2595</v>
      </c>
      <c r="B2583" s="2">
        <f>HYPERLINK("https://www.suredividend.com/sure-analysis-SNA/","Snap-on, Inc.")</f>
        <v>0</v>
      </c>
      <c r="C2583" s="1" t="s">
        <v>3179</v>
      </c>
      <c r="D2583" s="3">
        <v>268.19</v>
      </c>
      <c r="E2583" s="4">
        <v>0.0277415265296991</v>
      </c>
      <c r="F2583" s="4">
        <v>0.1481481481481479</v>
      </c>
      <c r="G2583" s="4">
        <v>0.1438204786909698</v>
      </c>
      <c r="H2583" s="3">
        <v>7.129712386447109</v>
      </c>
      <c r="I2583" s="5">
        <v>14138.587656</v>
      </c>
      <c r="J2583" s="6">
        <v>13.78164310001949</v>
      </c>
      <c r="K2583" s="4">
        <v>0.3738706023307346</v>
      </c>
      <c r="L2583" s="7">
        <v>0.8090638513385301</v>
      </c>
      <c r="M2583" s="3">
        <v>296.48</v>
      </c>
      <c r="N2583" s="3">
        <v>244.81</v>
      </c>
    </row>
    <row r="2584" spans="1:14">
      <c r="A2584" s="8" t="s">
        <v>2596</v>
      </c>
      <c r="B2584" s="2">
        <f>HYPERLINK("https://www.suredividend.com/sure-analysis-research-database/","Snap Inc")</f>
        <v>0</v>
      </c>
      <c r="C2584" s="1" t="s">
        <v>3187</v>
      </c>
      <c r="D2584" s="3">
        <v>15.59</v>
      </c>
      <c r="E2584" s="4">
        <v>0</v>
      </c>
      <c r="F2584" s="4" t="s">
        <v>3178</v>
      </c>
      <c r="G2584" s="4" t="s">
        <v>3178</v>
      </c>
      <c r="H2584" s="3">
        <v>0</v>
      </c>
      <c r="I2584" s="5">
        <v>21621.515963</v>
      </c>
      <c r="J2584" s="6" t="s">
        <v>3178</v>
      </c>
      <c r="K2584" s="4">
        <v>-0</v>
      </c>
      <c r="L2584" s="7">
        <v>1.776147975526747</v>
      </c>
      <c r="M2584" s="3">
        <v>17.9</v>
      </c>
      <c r="N2584" s="3">
        <v>8.279999999999999</v>
      </c>
    </row>
    <row r="2585" spans="1:14">
      <c r="A2585" s="8" t="s">
        <v>2597</v>
      </c>
      <c r="B2585" s="2">
        <f>HYPERLINK("https://www.suredividend.com/sure-analysis-research-database/","Sleep Number Corp")</f>
        <v>0</v>
      </c>
      <c r="C2585" s="1" t="s">
        <v>3182</v>
      </c>
      <c r="D2585" s="3">
        <v>14.32</v>
      </c>
      <c r="E2585" s="4">
        <v>0</v>
      </c>
      <c r="F2585" s="4" t="s">
        <v>3178</v>
      </c>
      <c r="G2585" s="4" t="s">
        <v>3178</v>
      </c>
      <c r="H2585" s="3">
        <v>0</v>
      </c>
      <c r="I2585" s="5">
        <v>319.70832</v>
      </c>
      <c r="J2585" s="6" t="s">
        <v>3178</v>
      </c>
      <c r="K2585" s="4">
        <v>-0</v>
      </c>
      <c r="L2585" s="7">
        <v>1.856376020739959</v>
      </c>
      <c r="M2585" s="3">
        <v>39.98</v>
      </c>
      <c r="N2585" s="3">
        <v>9</v>
      </c>
    </row>
    <row r="2586" spans="1:14">
      <c r="A2586" s="8" t="s">
        <v>2598</v>
      </c>
      <c r="B2586" s="2">
        <f>HYPERLINK("https://www.suredividend.com/sure-analysis-research-database/","Synchronoss Technologies Inc")</f>
        <v>0</v>
      </c>
      <c r="C2586" s="1" t="s">
        <v>3181</v>
      </c>
      <c r="D2586" s="3">
        <v>8.74</v>
      </c>
      <c r="E2586" s="4">
        <v>0</v>
      </c>
      <c r="F2586" s="4" t="s">
        <v>3178</v>
      </c>
      <c r="G2586" s="4" t="s">
        <v>3178</v>
      </c>
      <c r="H2586" s="3">
        <v>0</v>
      </c>
      <c r="I2586" s="5">
        <v>94.323618</v>
      </c>
      <c r="J2586" s="6" t="s">
        <v>3178</v>
      </c>
      <c r="K2586" s="4">
        <v>-0</v>
      </c>
      <c r="L2586" s="7">
        <v>1.312983381554288</v>
      </c>
      <c r="M2586" s="3">
        <v>13.97</v>
      </c>
      <c r="N2586" s="3">
        <v>2.7</v>
      </c>
    </row>
    <row r="2587" spans="1:14">
      <c r="A2587" s="8" t="s">
        <v>2599</v>
      </c>
      <c r="B2587" s="2">
        <f>HYPERLINK("https://www.suredividend.com/sure-analysis-research-database/","Smart Sand Inc")</f>
        <v>0</v>
      </c>
      <c r="C2587" s="1" t="s">
        <v>3185</v>
      </c>
      <c r="D2587" s="3">
        <v>2.08</v>
      </c>
      <c r="E2587" s="4">
        <v>0</v>
      </c>
      <c r="F2587" s="4" t="s">
        <v>3178</v>
      </c>
      <c r="G2587" s="4" t="s">
        <v>3178</v>
      </c>
      <c r="H2587" s="3">
        <v>0</v>
      </c>
      <c r="I2587" s="5">
        <v>88.555892</v>
      </c>
      <c r="J2587" s="6">
        <v>11.02538494023904</v>
      </c>
      <c r="K2587" s="4">
        <v>0</v>
      </c>
      <c r="L2587" s="7">
        <v>0.727353277121193</v>
      </c>
      <c r="M2587" s="3">
        <v>2.48</v>
      </c>
      <c r="N2587" s="3">
        <v>1.5</v>
      </c>
    </row>
    <row r="2588" spans="1:14">
      <c r="A2588" s="8" t="s">
        <v>2600</v>
      </c>
      <c r="B2588" s="2">
        <f>HYPERLINK("https://www.suredividend.com/sure-analysis-research-database/","Schneider National Inc")</f>
        <v>0</v>
      </c>
      <c r="C2588" s="1" t="s">
        <v>3179</v>
      </c>
      <c r="D2588" s="3">
        <v>22.43</v>
      </c>
      <c r="E2588" s="4">
        <v>0.016395725275032</v>
      </c>
      <c r="F2588" s="4">
        <v>0.05555555555555558</v>
      </c>
      <c r="G2588" s="4">
        <v>0.09626227935295417</v>
      </c>
      <c r="H2588" s="3">
        <v>0.3677561179189781</v>
      </c>
      <c r="I2588" s="5">
        <v>2075.804492</v>
      </c>
      <c r="J2588" s="6">
        <v>13.05537416440252</v>
      </c>
      <c r="K2588" s="4">
        <v>0.4107171296839156</v>
      </c>
      <c r="L2588" s="7">
        <v>0.7084854852200441</v>
      </c>
      <c r="M2588" s="3">
        <v>31.25</v>
      </c>
      <c r="N2588" s="3">
        <v>20.41</v>
      </c>
    </row>
    <row r="2589" spans="1:14">
      <c r="A2589" s="8" t="s">
        <v>2601</v>
      </c>
      <c r="B2589" s="2">
        <f>HYPERLINK("https://www.suredividend.com/sure-analysis-research-database/","Syndax Pharmaceuticals Inc")</f>
        <v>0</v>
      </c>
      <c r="C2589" s="1" t="s">
        <v>3176</v>
      </c>
      <c r="D2589" s="3">
        <v>19.5</v>
      </c>
      <c r="E2589" s="4">
        <v>0</v>
      </c>
      <c r="F2589" s="4" t="s">
        <v>3178</v>
      </c>
      <c r="G2589" s="4" t="s">
        <v>3178</v>
      </c>
      <c r="H2589" s="3">
        <v>0</v>
      </c>
      <c r="I2589" s="5">
        <v>1657.24767</v>
      </c>
      <c r="J2589" s="6" t="s">
        <v>3178</v>
      </c>
      <c r="K2589" s="4">
        <v>-0</v>
      </c>
      <c r="L2589" s="7">
        <v>1.343916391480809</v>
      </c>
      <c r="M2589" s="3">
        <v>25.34</v>
      </c>
      <c r="N2589" s="3">
        <v>11.22</v>
      </c>
    </row>
    <row r="2590" spans="1:14">
      <c r="A2590" s="8" t="s">
        <v>2602</v>
      </c>
      <c r="B2590" s="2">
        <f>HYPERLINK("https://www.suredividend.com/sure-analysis-research-database/","Security National Financial Corp.")</f>
        <v>0</v>
      </c>
      <c r="C2590" s="1" t="s">
        <v>3180</v>
      </c>
      <c r="D2590" s="3">
        <v>8.02</v>
      </c>
      <c r="E2590" s="4">
        <v>0</v>
      </c>
      <c r="F2590" s="4" t="s">
        <v>3178</v>
      </c>
      <c r="G2590" s="4" t="s">
        <v>3178</v>
      </c>
      <c r="H2590" s="3">
        <v>0</v>
      </c>
      <c r="I2590" s="5">
        <v>160.863837</v>
      </c>
      <c r="J2590" s="6">
        <v>0</v>
      </c>
      <c r="K2590" s="4" t="s">
        <v>3178</v>
      </c>
      <c r="L2590" s="7">
        <v>1.069441555162209</v>
      </c>
      <c r="M2590" s="3">
        <v>9.75</v>
      </c>
      <c r="N2590" s="3">
        <v>6.5</v>
      </c>
    </row>
    <row r="2591" spans="1:14">
      <c r="A2591" s="8" t="s">
        <v>2603</v>
      </c>
      <c r="B2591" s="2">
        <f>HYPERLINK("https://www.suredividend.com/sure-analysis-research-database/","Sonoma Pharmaceuticals Inc.")</f>
        <v>0</v>
      </c>
      <c r="C2591" s="1" t="s">
        <v>3176</v>
      </c>
      <c r="D2591" s="3">
        <v>0.205</v>
      </c>
      <c r="E2591" s="4">
        <v>0</v>
      </c>
      <c r="F2591" s="4" t="s">
        <v>3178</v>
      </c>
      <c r="G2591" s="4" t="s">
        <v>3178</v>
      </c>
      <c r="H2591" s="3">
        <v>0</v>
      </c>
      <c r="I2591" s="5">
        <v>3.199524</v>
      </c>
      <c r="J2591" s="6">
        <v>0</v>
      </c>
      <c r="K2591" s="4" t="s">
        <v>3178</v>
      </c>
      <c r="L2591" s="7">
        <v>0.163260186693742</v>
      </c>
      <c r="M2591" s="3">
        <v>1.38</v>
      </c>
      <c r="N2591" s="3">
        <v>0.1159</v>
      </c>
    </row>
    <row r="2592" spans="1:14">
      <c r="A2592" s="8" t="s">
        <v>2604</v>
      </c>
      <c r="B2592" s="2">
        <f>HYPERLINK("https://www.suredividend.com/sure-analysis-research-database/","Synopsys, Inc.")</f>
        <v>0</v>
      </c>
      <c r="C2592" s="1" t="s">
        <v>3181</v>
      </c>
      <c r="D2592" s="3">
        <v>571.45</v>
      </c>
      <c r="E2592" s="4">
        <v>0</v>
      </c>
      <c r="F2592" s="4" t="s">
        <v>3178</v>
      </c>
      <c r="G2592" s="4" t="s">
        <v>3178</v>
      </c>
      <c r="H2592" s="3">
        <v>0</v>
      </c>
      <c r="I2592" s="5">
        <v>87555.336345</v>
      </c>
      <c r="J2592" s="6">
        <v>61.37080662108938</v>
      </c>
      <c r="K2592" s="4">
        <v>0</v>
      </c>
      <c r="L2592" s="7">
        <v>1.536190996195809</v>
      </c>
      <c r="M2592" s="3">
        <v>629.38</v>
      </c>
      <c r="N2592" s="3">
        <v>416.87</v>
      </c>
    </row>
    <row r="2593" spans="1:14">
      <c r="A2593" s="8" t="s">
        <v>2605</v>
      </c>
      <c r="B2593" s="2">
        <f>HYPERLINK("https://www.suredividend.com/sure-analysis-research-database/","New Senior Investment Group Inc")</f>
        <v>0</v>
      </c>
      <c r="C2593" s="1" t="s">
        <v>3183</v>
      </c>
      <c r="D2593" s="3">
        <v>8.82</v>
      </c>
      <c r="E2593" s="4">
        <v>0.021896297765001</v>
      </c>
      <c r="F2593" s="4" t="s">
        <v>3178</v>
      </c>
      <c r="G2593" s="4" t="s">
        <v>3178</v>
      </c>
      <c r="H2593" s="3">
        <v>0.193125346287316</v>
      </c>
      <c r="I2593" s="5">
        <v>741.437265</v>
      </c>
      <c r="J2593" s="6" t="s">
        <v>3178</v>
      </c>
      <c r="K2593" s="4" t="s">
        <v>3178</v>
      </c>
      <c r="L2593" s="7">
        <v>1.252124396730207</v>
      </c>
      <c r="M2593" s="3">
        <v>9.44</v>
      </c>
      <c r="N2593" s="3">
        <v>3.45</v>
      </c>
    </row>
    <row r="2594" spans="1:14">
      <c r="A2594" s="8" t="s">
        <v>2606</v>
      </c>
      <c r="B2594" s="2">
        <f>HYPERLINK("https://www.suredividend.com/sure-analysis-SNV/","Synovus Financial Corp.")</f>
        <v>0</v>
      </c>
      <c r="C2594" s="1" t="s">
        <v>3180</v>
      </c>
      <c r="D2594" s="3">
        <v>37.47</v>
      </c>
      <c r="E2594" s="4">
        <v>0.04056578596210302</v>
      </c>
      <c r="F2594" s="4">
        <v>0</v>
      </c>
      <c r="G2594" s="4">
        <v>0.04841317128472133</v>
      </c>
      <c r="H2594" s="3">
        <v>1.49632899678341</v>
      </c>
      <c r="I2594" s="5">
        <v>5487.102491</v>
      </c>
      <c r="J2594" s="6">
        <v>12.7991306246195</v>
      </c>
      <c r="K2594" s="4">
        <v>0.5124414372545926</v>
      </c>
      <c r="L2594" s="7">
        <v>1.432064156448524</v>
      </c>
      <c r="M2594" s="3">
        <v>40.69</v>
      </c>
      <c r="N2594" s="3">
        <v>23.92</v>
      </c>
    </row>
    <row r="2595" spans="1:14">
      <c r="A2595" s="8" t="s">
        <v>2607</v>
      </c>
      <c r="B2595" s="2">
        <f>HYPERLINK("https://www.suredividend.com/sure-analysis-research-database/","TD Synnex Corp")</f>
        <v>0</v>
      </c>
      <c r="C2595" s="1" t="s">
        <v>3181</v>
      </c>
      <c r="D2595" s="3">
        <v>128.84</v>
      </c>
      <c r="E2595" s="4">
        <v>0.011581926689484</v>
      </c>
      <c r="F2595" s="4" t="s">
        <v>3178</v>
      </c>
      <c r="G2595" s="4" t="s">
        <v>3178</v>
      </c>
      <c r="H2595" s="3">
        <v>1.492215434673228</v>
      </c>
      <c r="I2595" s="5">
        <v>11479.644</v>
      </c>
      <c r="J2595" s="6">
        <v>18.16344761787225</v>
      </c>
      <c r="K2595" s="4">
        <v>0.2156380685943971</v>
      </c>
      <c r="L2595" s="7">
        <v>0.7241355698088451</v>
      </c>
      <c r="M2595" s="3">
        <v>132.06</v>
      </c>
      <c r="N2595" s="3">
        <v>86.40000000000001</v>
      </c>
    </row>
    <row r="2596" spans="1:14">
      <c r="A2596" s="8" t="s">
        <v>2608</v>
      </c>
      <c r="B2596" s="2">
        <f>HYPERLINK("https://www.suredividend.com/sure-analysis-SO/","Southern Company")</f>
        <v>0</v>
      </c>
      <c r="C2596" s="1" t="s">
        <v>3186</v>
      </c>
      <c r="D2596" s="3">
        <v>77.94</v>
      </c>
      <c r="E2596" s="4">
        <v>0.03695150115473441</v>
      </c>
      <c r="F2596" s="4">
        <v>0.02857142857142847</v>
      </c>
      <c r="G2596" s="4">
        <v>0.03035803310185115</v>
      </c>
      <c r="H2596" s="3">
        <v>2.779584130671491</v>
      </c>
      <c r="I2596" s="5">
        <v>85221.631091</v>
      </c>
      <c r="J2596" s="6">
        <v>20.08523004745227</v>
      </c>
      <c r="K2596" s="4">
        <v>0.7200995157180029</v>
      </c>
      <c r="L2596" s="7">
        <v>0.371572109255333</v>
      </c>
      <c r="M2596" s="3">
        <v>80.84</v>
      </c>
      <c r="N2596" s="3">
        <v>59.76</v>
      </c>
    </row>
    <row r="2597" spans="1:14">
      <c r="A2597" s="8" t="s">
        <v>2609</v>
      </c>
      <c r="B2597" s="2">
        <f>HYPERLINK("https://www.suredividend.com/sure-analysis-research-database/","Sotherly Hotels Inc")</f>
        <v>0</v>
      </c>
      <c r="C2597" s="1" t="s">
        <v>3183</v>
      </c>
      <c r="D2597" s="3">
        <v>1.3</v>
      </c>
      <c r="E2597" s="4">
        <v>0</v>
      </c>
      <c r="F2597" s="4" t="s">
        <v>3178</v>
      </c>
      <c r="G2597" s="4" t="s">
        <v>3178</v>
      </c>
      <c r="H2597" s="3">
        <v>0</v>
      </c>
      <c r="I2597" s="5">
        <v>25.803915</v>
      </c>
      <c r="J2597" s="6">
        <v>0</v>
      </c>
      <c r="K2597" s="4" t="s">
        <v>3178</v>
      </c>
      <c r="L2597" s="7">
        <v>0.7098336340285361</v>
      </c>
      <c r="M2597" s="3">
        <v>2.5</v>
      </c>
      <c r="N2597" s="3">
        <v>1.13</v>
      </c>
    </row>
    <row r="2598" spans="1:14">
      <c r="A2598" s="8" t="s">
        <v>2610</v>
      </c>
      <c r="B2598" s="2">
        <f>HYPERLINK("https://www.suredividend.com/sure-analysis-research-database/","Solaris Oilfield Infrastructure Inc")</f>
        <v>0</v>
      </c>
      <c r="C2598" s="1" t="s">
        <v>3185</v>
      </c>
      <c r="D2598" s="3">
        <v>8.34</v>
      </c>
      <c r="E2598" s="4">
        <v>0.055182708203286</v>
      </c>
      <c r="F2598" s="4">
        <v>0.09090909090909083</v>
      </c>
      <c r="G2598" s="4">
        <v>0.03713728933664817</v>
      </c>
      <c r="H2598" s="3">
        <v>0.4602237864154121</v>
      </c>
      <c r="I2598" s="5">
        <v>253.123454</v>
      </c>
      <c r="J2598" s="6">
        <v>12.88947212343416</v>
      </c>
      <c r="K2598" s="4">
        <v>0.6805024196590449</v>
      </c>
      <c r="L2598" s="7">
        <v>1.044051035393226</v>
      </c>
      <c r="M2598" s="3">
        <v>10.73</v>
      </c>
      <c r="N2598" s="3">
        <v>6.4</v>
      </c>
    </row>
    <row r="2599" spans="1:14">
      <c r="A2599" s="8" t="s">
        <v>2611</v>
      </c>
      <c r="B2599" s="2">
        <f>HYPERLINK("https://www.suredividend.com/sure-analysis-research-database/","Soliton Inc")</f>
        <v>0</v>
      </c>
      <c r="C2599" s="1" t="s">
        <v>3176</v>
      </c>
      <c r="D2599" s="3">
        <v>22.58</v>
      </c>
      <c r="E2599" s="4">
        <v>0</v>
      </c>
      <c r="F2599" s="4" t="s">
        <v>3178</v>
      </c>
      <c r="G2599" s="4" t="s">
        <v>3178</v>
      </c>
      <c r="H2599" s="3">
        <v>0</v>
      </c>
      <c r="I2599" s="5">
        <v>0</v>
      </c>
      <c r="J2599" s="6">
        <v>0</v>
      </c>
      <c r="K2599" s="4" t="s">
        <v>3178</v>
      </c>
    </row>
    <row r="2600" spans="1:14">
      <c r="A2600" s="8" t="s">
        <v>2612</v>
      </c>
      <c r="B2600" s="2">
        <f>HYPERLINK("https://www.suredividend.com/sure-analysis-SON/","Sonoco Products Co.")</f>
        <v>0</v>
      </c>
      <c r="C2600" s="1" t="s">
        <v>3182</v>
      </c>
      <c r="D2600" s="3">
        <v>59.7</v>
      </c>
      <c r="E2600" s="4">
        <v>0.03484087102177554</v>
      </c>
      <c r="F2600" s="4">
        <v>0.01960784313725483</v>
      </c>
      <c r="G2600" s="4">
        <v>0.03874029125428868</v>
      </c>
      <c r="H2600" s="3">
        <v>2.022716156690172</v>
      </c>
      <c r="I2600" s="5">
        <v>5865.872394</v>
      </c>
      <c r="J2600" s="6">
        <v>14.97094917857061</v>
      </c>
      <c r="K2600" s="4">
        <v>0.5107869082550939</v>
      </c>
      <c r="L2600" s="7">
        <v>0.7358459026416141</v>
      </c>
      <c r="M2600" s="3">
        <v>61.73</v>
      </c>
      <c r="N2600" s="3">
        <v>48.64</v>
      </c>
    </row>
    <row r="2601" spans="1:14">
      <c r="A2601" s="8" t="s">
        <v>2613</v>
      </c>
      <c r="B2601" s="2">
        <f>HYPERLINK("https://www.suredividend.com/sure-analysis-research-database/","Sonos Inc")</f>
        <v>0</v>
      </c>
      <c r="C2601" s="1" t="s">
        <v>3181</v>
      </c>
      <c r="D2601" s="3">
        <v>15.67</v>
      </c>
      <c r="E2601" s="4">
        <v>0</v>
      </c>
      <c r="F2601" s="4" t="s">
        <v>3178</v>
      </c>
      <c r="G2601" s="4" t="s">
        <v>3178</v>
      </c>
      <c r="H2601" s="3">
        <v>0</v>
      </c>
      <c r="I2601" s="5">
        <v>1925.85599</v>
      </c>
      <c r="J2601" s="6" t="s">
        <v>3178</v>
      </c>
      <c r="K2601" s="4">
        <v>-0</v>
      </c>
      <c r="L2601" s="7">
        <v>1.661404594177071</v>
      </c>
      <c r="M2601" s="3">
        <v>19.76</v>
      </c>
      <c r="N2601" s="3">
        <v>9.779999999999999</v>
      </c>
    </row>
    <row r="2602" spans="1:14">
      <c r="A2602" s="8" t="s">
        <v>2614</v>
      </c>
      <c r="B2602" s="2">
        <f>HYPERLINK("https://www.suredividend.com/sure-analysis-research-database/","SP Plus Corp")</f>
        <v>0</v>
      </c>
      <c r="C2602" s="1" t="s">
        <v>3179</v>
      </c>
      <c r="D2602" s="3">
        <v>53.99</v>
      </c>
      <c r="E2602" s="4">
        <v>0</v>
      </c>
      <c r="F2602" s="4" t="s">
        <v>3178</v>
      </c>
      <c r="G2602" s="4" t="s">
        <v>3178</v>
      </c>
      <c r="H2602" s="3">
        <v>0</v>
      </c>
      <c r="I2602" s="5">
        <v>0</v>
      </c>
      <c r="J2602" s="6">
        <v>0</v>
      </c>
      <c r="K2602" s="4">
        <v>0</v>
      </c>
    </row>
    <row r="2603" spans="1:14">
      <c r="A2603" s="8" t="s">
        <v>2615</v>
      </c>
      <c r="B2603" s="2">
        <f>HYPERLINK("https://www.suredividend.com/sure-analysis-research-database/","Spectrum Brands Holdings Inc.")</f>
        <v>0</v>
      </c>
      <c r="C2603" s="1" t="s">
        <v>3184</v>
      </c>
      <c r="D2603" s="3">
        <v>90.33</v>
      </c>
      <c r="E2603" s="4">
        <v>0.018461469619748</v>
      </c>
      <c r="F2603" s="4">
        <v>0</v>
      </c>
      <c r="G2603" s="4">
        <v>0</v>
      </c>
      <c r="H2603" s="3">
        <v>1.667624550751919</v>
      </c>
      <c r="I2603" s="5">
        <v>2633.182189</v>
      </c>
      <c r="J2603" s="6">
        <v>1.339428347840683</v>
      </c>
      <c r="K2603" s="4">
        <v>0.02981628018508706</v>
      </c>
      <c r="L2603" s="7">
        <v>0.68218814289354</v>
      </c>
      <c r="M2603" s="3">
        <v>96.3</v>
      </c>
      <c r="N2603" s="3">
        <v>64.26000000000001</v>
      </c>
    </row>
    <row r="2604" spans="1:14">
      <c r="A2604" s="8" t="s">
        <v>2616</v>
      </c>
      <c r="B2604" s="2">
        <f>HYPERLINK("https://www.suredividend.com/sure-analysis-SPG/","Simon Property Group, Inc.")</f>
        <v>0</v>
      </c>
      <c r="C2604" s="1" t="s">
        <v>3183</v>
      </c>
      <c r="D2604" s="3">
        <v>151.79</v>
      </c>
      <c r="E2604" s="4">
        <v>0.05270439422886884</v>
      </c>
      <c r="F2604" s="4">
        <v>0.08108108108108092</v>
      </c>
      <c r="G2604" s="4">
        <v>-0.009710577713137658</v>
      </c>
      <c r="H2604" s="3">
        <v>7.600500269216174</v>
      </c>
      <c r="I2604" s="5">
        <v>49473.799029</v>
      </c>
      <c r="J2604" s="6">
        <v>19.32823957696792</v>
      </c>
      <c r="K2604" s="4">
        <v>0.9694515649510427</v>
      </c>
      <c r="L2604" s="7">
        <v>0.9881381577093251</v>
      </c>
      <c r="M2604" s="3">
        <v>155.77</v>
      </c>
      <c r="N2604" s="3">
        <v>98.06</v>
      </c>
    </row>
    <row r="2605" spans="1:14">
      <c r="A2605" s="8" t="s">
        <v>2617</v>
      </c>
      <c r="B2605" s="2">
        <f>HYPERLINK("https://www.suredividend.com/sure-analysis-SPGI/","S&amp;P Global Inc")</f>
        <v>0</v>
      </c>
      <c r="C2605" s="1" t="s">
        <v>3180</v>
      </c>
      <c r="D2605" s="3">
        <v>428.74</v>
      </c>
      <c r="E2605" s="4">
        <v>0.008489993935718617</v>
      </c>
      <c r="F2605" s="4">
        <v>0.01111111111111107</v>
      </c>
      <c r="G2605" s="4">
        <v>0.09807829529611101</v>
      </c>
      <c r="H2605" s="3">
        <v>3.608605345153535</v>
      </c>
      <c r="I2605" s="5">
        <v>142770.42</v>
      </c>
      <c r="J2605" s="6">
        <v>47.53818072289157</v>
      </c>
      <c r="K2605" s="4">
        <v>0.4050062115772766</v>
      </c>
      <c r="L2605" s="7">
        <v>1.003443831281927</v>
      </c>
      <c r="M2605" s="3">
        <v>459.23</v>
      </c>
      <c r="N2605" s="3">
        <v>338.33</v>
      </c>
    </row>
    <row r="2606" spans="1:14">
      <c r="A2606" s="8" t="s">
        <v>2618</v>
      </c>
      <c r="B2606" s="2">
        <f>HYPERLINK("https://www.suredividend.com/sure-analysis-research-database/","Splunk Inc")</f>
        <v>0</v>
      </c>
      <c r="C2606" s="1" t="s">
        <v>3181</v>
      </c>
      <c r="D2606" s="3">
        <v>156.9</v>
      </c>
      <c r="E2606" s="4">
        <v>0</v>
      </c>
      <c r="F2606" s="4" t="s">
        <v>3178</v>
      </c>
      <c r="G2606" s="4" t="s">
        <v>3178</v>
      </c>
      <c r="H2606" s="3">
        <v>0</v>
      </c>
      <c r="I2606" s="5">
        <v>0</v>
      </c>
      <c r="J2606" s="6">
        <v>0</v>
      </c>
      <c r="K2606" s="4">
        <v>0</v>
      </c>
    </row>
    <row r="2607" spans="1:14">
      <c r="A2607" s="8" t="s">
        <v>2619</v>
      </c>
      <c r="B2607" s="2">
        <f>HYPERLINK("https://www.suredividend.com/sure-analysis-research-database/","SeaSpine Holdings Corp")</f>
        <v>0</v>
      </c>
      <c r="C2607" s="1" t="s">
        <v>3176</v>
      </c>
      <c r="D2607" s="3">
        <v>9.539999999999999</v>
      </c>
      <c r="E2607" s="4">
        <v>0</v>
      </c>
      <c r="F2607" s="4" t="s">
        <v>3178</v>
      </c>
      <c r="G2607" s="4" t="s">
        <v>3178</v>
      </c>
      <c r="H2607" s="3">
        <v>0</v>
      </c>
      <c r="I2607" s="5">
        <v>0</v>
      </c>
      <c r="J2607" s="6">
        <v>0</v>
      </c>
      <c r="K2607" s="4" t="s">
        <v>3178</v>
      </c>
    </row>
    <row r="2608" spans="1:14">
      <c r="A2608" s="8" t="s">
        <v>2620</v>
      </c>
      <c r="B2608" s="2">
        <f>HYPERLINK("https://www.suredividend.com/sure-analysis-research-database/","Spok Holdings Inc")</f>
        <v>0</v>
      </c>
      <c r="C2608" s="1" t="s">
        <v>3187</v>
      </c>
      <c r="D2608" s="3">
        <v>14.77</v>
      </c>
      <c r="E2608" s="4">
        <v>0.080687067017412</v>
      </c>
      <c r="F2608" s="4">
        <v>0</v>
      </c>
      <c r="G2608" s="4">
        <v>0.2011244339814313</v>
      </c>
      <c r="H2608" s="3">
        <v>1.191747979847176</v>
      </c>
      <c r="I2608" s="5">
        <v>299.028723</v>
      </c>
      <c r="J2608" s="6">
        <v>17.81523521834972</v>
      </c>
      <c r="K2608" s="4">
        <v>1.449109897674095</v>
      </c>
      <c r="L2608" s="7">
        <v>1.02246569022252</v>
      </c>
      <c r="M2608" s="3">
        <v>17.13</v>
      </c>
      <c r="N2608" s="3">
        <v>9.279999999999999</v>
      </c>
    </row>
    <row r="2609" spans="1:14">
      <c r="A2609" s="8" t="s">
        <v>2621</v>
      </c>
      <c r="B2609" s="2">
        <f>HYPERLINK("https://www.suredividend.com/sure-analysis-research-database/","Spectrum Pharmaceuticals, Inc.")</f>
        <v>0</v>
      </c>
      <c r="C2609" s="1" t="s">
        <v>3176</v>
      </c>
      <c r="D2609" s="3">
        <v>1.03</v>
      </c>
      <c r="E2609" s="4">
        <v>0</v>
      </c>
      <c r="F2609" s="4" t="s">
        <v>3178</v>
      </c>
      <c r="G2609" s="4" t="s">
        <v>3178</v>
      </c>
      <c r="H2609" s="3">
        <v>0</v>
      </c>
      <c r="I2609" s="5">
        <v>0</v>
      </c>
      <c r="J2609" s="6">
        <v>0</v>
      </c>
      <c r="K2609" s="4">
        <v>-0</v>
      </c>
    </row>
    <row r="2610" spans="1:14">
      <c r="A2610" s="8" t="s">
        <v>2622</v>
      </c>
      <c r="B2610" s="2">
        <f>HYPERLINK("https://www.suredividend.com/sure-analysis-research-database/","Spirit Aerosystems Holdings Inc")</f>
        <v>0</v>
      </c>
      <c r="C2610" s="1" t="s">
        <v>3179</v>
      </c>
      <c r="D2610" s="3">
        <v>29.95</v>
      </c>
      <c r="E2610" s="4">
        <v>0</v>
      </c>
      <c r="F2610" s="4" t="s">
        <v>3178</v>
      </c>
      <c r="G2610" s="4" t="s">
        <v>3178</v>
      </c>
      <c r="H2610" s="3">
        <v>0</v>
      </c>
      <c r="I2610" s="5">
        <v>3490.73848</v>
      </c>
      <c r="J2610" s="6" t="s">
        <v>3178</v>
      </c>
      <c r="K2610" s="4">
        <v>-0</v>
      </c>
      <c r="L2610" s="7">
        <v>0.7684554416467531</v>
      </c>
      <c r="M2610" s="3">
        <v>36.34</v>
      </c>
      <c r="N2610" s="3">
        <v>14.65</v>
      </c>
    </row>
    <row r="2611" spans="1:14">
      <c r="A2611" s="8" t="s">
        <v>2623</v>
      </c>
      <c r="B2611" s="2">
        <f>HYPERLINK("https://www.suredividend.com/sure-analysis-research-database/","Spero Therapeutics Inc")</f>
        <v>0</v>
      </c>
      <c r="C2611" s="1" t="s">
        <v>3176</v>
      </c>
      <c r="D2611" s="3">
        <v>1.405</v>
      </c>
      <c r="E2611" s="4">
        <v>0</v>
      </c>
      <c r="F2611" s="4" t="s">
        <v>3178</v>
      </c>
      <c r="G2611" s="4" t="s">
        <v>3178</v>
      </c>
      <c r="H2611" s="3">
        <v>0</v>
      </c>
      <c r="I2611" s="5">
        <v>75.85122800000001</v>
      </c>
      <c r="J2611" s="6">
        <v>0</v>
      </c>
      <c r="K2611" s="4" t="s">
        <v>3178</v>
      </c>
      <c r="L2611" s="7">
        <v>1.006012688296234</v>
      </c>
      <c r="M2611" s="3">
        <v>1.89</v>
      </c>
      <c r="N2611" s="3">
        <v>0.99</v>
      </c>
    </row>
    <row r="2612" spans="1:14">
      <c r="A2612" s="8" t="s">
        <v>2624</v>
      </c>
      <c r="B2612" s="2">
        <f>HYPERLINK("https://www.suredividend.com/sure-analysis-research-database/","Support.com Inc")</f>
        <v>0</v>
      </c>
      <c r="C2612" s="1" t="s">
        <v>3181</v>
      </c>
      <c r="D2612" s="3">
        <v>11.8</v>
      </c>
      <c r="E2612" s="4">
        <v>0</v>
      </c>
      <c r="F2612" s="4" t="s">
        <v>3178</v>
      </c>
      <c r="G2612" s="4" t="s">
        <v>3178</v>
      </c>
      <c r="H2612" s="3">
        <v>0</v>
      </c>
      <c r="I2612" s="5">
        <v>0</v>
      </c>
      <c r="J2612" s="6">
        <v>0</v>
      </c>
      <c r="K2612" s="4">
        <v>-0</v>
      </c>
    </row>
    <row r="2613" spans="1:14">
      <c r="A2613" s="8" t="s">
        <v>2625</v>
      </c>
      <c r="B2613" s="2">
        <f>HYPERLINK("https://www.suredividend.com/sure-analysis-research-database/","SPS Commerce Inc.")</f>
        <v>0</v>
      </c>
      <c r="C2613" s="1" t="s">
        <v>3181</v>
      </c>
      <c r="D2613" s="3">
        <v>183.63</v>
      </c>
      <c r="E2613" s="4">
        <v>0</v>
      </c>
      <c r="F2613" s="4" t="s">
        <v>3178</v>
      </c>
      <c r="G2613" s="4" t="s">
        <v>3178</v>
      </c>
      <c r="H2613" s="3">
        <v>0</v>
      </c>
      <c r="I2613" s="5">
        <v>6800.18616</v>
      </c>
      <c r="J2613" s="6">
        <v>99.21775015319967</v>
      </c>
      <c r="K2613" s="4">
        <v>0</v>
      </c>
      <c r="L2613" s="7">
        <v>1.678399786628433</v>
      </c>
      <c r="M2613" s="3">
        <v>218.74</v>
      </c>
      <c r="N2613" s="3">
        <v>151.96</v>
      </c>
    </row>
    <row r="2614" spans="1:14">
      <c r="A2614" s="8" t="s">
        <v>2626</v>
      </c>
      <c r="B2614" s="2">
        <f>HYPERLINK("https://www.suredividend.com/sure-analysis-SPTN/","SpartanNash Co")</f>
        <v>0</v>
      </c>
      <c r="C2614" s="1" t="s">
        <v>3184</v>
      </c>
      <c r="D2614" s="3">
        <v>19.29</v>
      </c>
      <c r="E2614" s="4">
        <v>0.04510108864696735</v>
      </c>
      <c r="F2614" s="4">
        <v>0.01162790697674421</v>
      </c>
      <c r="G2614" s="4">
        <v>0.02740371572479905</v>
      </c>
      <c r="H2614" s="3">
        <v>0.8365776747238061</v>
      </c>
      <c r="I2614" s="5">
        <v>653.772243</v>
      </c>
      <c r="J2614" s="6">
        <v>12.22849902362382</v>
      </c>
      <c r="K2614" s="4">
        <v>0.5432322563141597</v>
      </c>
      <c r="L2614" s="7">
        <v>0.04973770937639301</v>
      </c>
      <c r="M2614" s="3">
        <v>23.98</v>
      </c>
      <c r="N2614" s="3">
        <v>18.57</v>
      </c>
    </row>
    <row r="2615" spans="1:14">
      <c r="A2615" s="8" t="s">
        <v>2627</v>
      </c>
      <c r="B2615" s="2">
        <f>HYPERLINK("https://www.suredividend.com/sure-analysis-research-database/","Sportsman`s Warehouse Holdings Inc")</f>
        <v>0</v>
      </c>
      <c r="C2615" s="1" t="s">
        <v>3182</v>
      </c>
      <c r="D2615" s="3">
        <v>3.08</v>
      </c>
      <c r="E2615" s="4">
        <v>0</v>
      </c>
      <c r="F2615" s="4" t="s">
        <v>3178</v>
      </c>
      <c r="G2615" s="4" t="s">
        <v>3178</v>
      </c>
      <c r="H2615" s="3">
        <v>0</v>
      </c>
      <c r="I2615" s="5">
        <v>116.262716</v>
      </c>
      <c r="J2615" s="6" t="s">
        <v>3178</v>
      </c>
      <c r="K2615" s="4">
        <v>-0</v>
      </c>
      <c r="L2615" s="7">
        <v>0.5772306233724041</v>
      </c>
      <c r="M2615" s="3">
        <v>6.34</v>
      </c>
      <c r="N2615" s="3">
        <v>2.74</v>
      </c>
    </row>
    <row r="2616" spans="1:14">
      <c r="A2616" s="8" t="s">
        <v>2628</v>
      </c>
      <c r="B2616" s="2">
        <f>HYPERLINK("https://www.suredividend.com/sure-analysis-research-database/","Sunpower Corp")</f>
        <v>0</v>
      </c>
      <c r="C2616" s="1" t="s">
        <v>3181</v>
      </c>
      <c r="D2616" s="3">
        <v>3.315</v>
      </c>
      <c r="E2616" s="4">
        <v>0</v>
      </c>
      <c r="F2616" s="4" t="s">
        <v>3178</v>
      </c>
      <c r="G2616" s="4" t="s">
        <v>3178</v>
      </c>
      <c r="H2616" s="3">
        <v>0</v>
      </c>
      <c r="I2616" s="5">
        <v>581.70714</v>
      </c>
      <c r="J2616" s="6">
        <v>13.5757459941889</v>
      </c>
      <c r="K2616" s="4">
        <v>0</v>
      </c>
      <c r="L2616" s="7">
        <v>2.819468302844012</v>
      </c>
      <c r="M2616" s="3">
        <v>12.18</v>
      </c>
      <c r="N2616" s="3">
        <v>1.77</v>
      </c>
    </row>
    <row r="2617" spans="1:14">
      <c r="A2617" s="8" t="s">
        <v>2629</v>
      </c>
      <c r="B2617" s="2">
        <f>HYPERLINK("https://www.suredividend.com/sure-analysis-research-database/","SPX Technologies Inc")</f>
        <v>0</v>
      </c>
      <c r="C2617" s="1" t="s">
        <v>3179</v>
      </c>
      <c r="D2617" s="3">
        <v>132.71</v>
      </c>
      <c r="E2617" s="4">
        <v>0</v>
      </c>
      <c r="F2617" s="4" t="s">
        <v>3178</v>
      </c>
      <c r="G2617" s="4" t="s">
        <v>3178</v>
      </c>
      <c r="H2617" s="3">
        <v>0</v>
      </c>
      <c r="I2617" s="5">
        <v>6135.268633</v>
      </c>
      <c r="J2617" s="6">
        <v>0</v>
      </c>
      <c r="K2617" s="4" t="s">
        <v>3178</v>
      </c>
      <c r="L2617" s="7">
        <v>1.088705142852466</v>
      </c>
      <c r="M2617" s="3">
        <v>145.65</v>
      </c>
      <c r="N2617" s="3">
        <v>76.61</v>
      </c>
    </row>
    <row r="2618" spans="1:14">
      <c r="A2618" s="8" t="s">
        <v>2630</v>
      </c>
      <c r="B2618" s="2">
        <f>HYPERLINK("https://www.suredividend.com/sure-analysis-research-database/","Block Inc")</f>
        <v>0</v>
      </c>
      <c r="C2618" s="1" t="s">
        <v>3181</v>
      </c>
      <c r="D2618" s="3">
        <v>65.09999999999999</v>
      </c>
      <c r="E2618" s="4">
        <v>0</v>
      </c>
      <c r="F2618" s="4" t="s">
        <v>3178</v>
      </c>
      <c r="G2618" s="4" t="s">
        <v>3178</v>
      </c>
      <c r="H2618" s="3">
        <v>0</v>
      </c>
      <c r="I2618" s="5">
        <v>36231.0795</v>
      </c>
      <c r="J2618" s="6">
        <v>72.6634367197136</v>
      </c>
      <c r="K2618" s="4">
        <v>0</v>
      </c>
      <c r="L2618" s="7">
        <v>2.527648772456856</v>
      </c>
      <c r="M2618" s="3">
        <v>87.52</v>
      </c>
      <c r="N2618" s="3">
        <v>38.85</v>
      </c>
    </row>
    <row r="2619" spans="1:14">
      <c r="A2619" s="8" t="s">
        <v>2631</v>
      </c>
      <c r="B2619" s="2">
        <f>HYPERLINK("https://www.suredividend.com/sure-analysis-research-database/","Sequential Brands Group Inc.")</f>
        <v>0</v>
      </c>
      <c r="C2619" s="1" t="s">
        <v>3182</v>
      </c>
      <c r="D2619" s="3">
        <v>6.24</v>
      </c>
      <c r="E2619" s="4">
        <v>0</v>
      </c>
      <c r="F2619" s="4" t="s">
        <v>3178</v>
      </c>
      <c r="G2619" s="4" t="s">
        <v>3178</v>
      </c>
      <c r="H2619" s="3">
        <v>0</v>
      </c>
      <c r="I2619" s="5">
        <v>0</v>
      </c>
      <c r="J2619" s="6">
        <v>0</v>
      </c>
      <c r="K2619" s="4" t="s">
        <v>3178</v>
      </c>
    </row>
    <row r="2620" spans="1:14">
      <c r="A2620" s="8" t="s">
        <v>2632</v>
      </c>
      <c r="B2620" s="2">
        <f>HYPERLINK("https://www.suredividend.com/sure-analysis-SR/","Spire Inc.")</f>
        <v>0</v>
      </c>
      <c r="C2620" s="1" t="s">
        <v>3186</v>
      </c>
      <c r="D2620" s="3">
        <v>59.74</v>
      </c>
      <c r="E2620" s="4">
        <v>0.05055239370605959</v>
      </c>
      <c r="F2620" s="4">
        <v>0.04861111111111116</v>
      </c>
      <c r="G2620" s="4">
        <v>0.04966742431336924</v>
      </c>
      <c r="H2620" s="3">
        <v>2.897574977585698</v>
      </c>
      <c r="I2620" s="5">
        <v>3449.864206</v>
      </c>
      <c r="J2620" s="6">
        <v>15.56095717510149</v>
      </c>
      <c r="K2620" s="4">
        <v>0.7015920042580384</v>
      </c>
      <c r="L2620" s="7">
        <v>0.521795593321011</v>
      </c>
      <c r="M2620" s="3">
        <v>65.66</v>
      </c>
      <c r="N2620" s="3">
        <v>52.48</v>
      </c>
    </row>
    <row r="2621" spans="1:14">
      <c r="A2621" s="8" t="s">
        <v>2633</v>
      </c>
      <c r="B2621" s="2">
        <f>HYPERLINK("https://www.suredividend.com/sure-analysis-research-database/","Spirit Realty Capital Inc")</f>
        <v>0</v>
      </c>
      <c r="C2621" s="1" t="s">
        <v>3183</v>
      </c>
      <c r="D2621" s="3">
        <v>45.03</v>
      </c>
      <c r="E2621" s="4">
        <v>0.06140470170816301</v>
      </c>
      <c r="F2621" s="4" t="s">
        <v>3178</v>
      </c>
      <c r="G2621" s="4" t="s">
        <v>3178</v>
      </c>
      <c r="H2621" s="3">
        <v>2.5980329292724</v>
      </c>
      <c r="I2621" s="5">
        <v>5979.723834</v>
      </c>
      <c r="J2621" s="6">
        <v>24.0986714231366</v>
      </c>
      <c r="K2621" s="4">
        <v>1.476155073450227</v>
      </c>
      <c r="L2621" s="7">
        <v>0.9155429602517781</v>
      </c>
      <c r="M2621" s="3">
        <v>45.6</v>
      </c>
      <c r="N2621" s="3">
        <v>31.73</v>
      </c>
    </row>
    <row r="2622" spans="1:14">
      <c r="A2622" s="8" t="s">
        <v>2634</v>
      </c>
      <c r="B2622" s="2">
        <f>HYPERLINK("https://www.suredividend.com/sure-analysis-SRCE/","1st Source Corp.")</f>
        <v>0</v>
      </c>
      <c r="C2622" s="1" t="s">
        <v>3180</v>
      </c>
      <c r="D2622" s="3">
        <v>50.73</v>
      </c>
      <c r="E2622" s="4">
        <v>0.02680859452000789</v>
      </c>
      <c r="F2622" s="4">
        <v>0.0625</v>
      </c>
      <c r="G2622" s="4">
        <v>0.04718407860618323</v>
      </c>
      <c r="H2622" s="3">
        <v>1.313506360913016</v>
      </c>
      <c r="I2622" s="5">
        <v>1242.362177</v>
      </c>
      <c r="J2622" s="6">
        <v>10.17945837323632</v>
      </c>
      <c r="K2622" s="4">
        <v>0.2642869941474881</v>
      </c>
      <c r="L2622" s="7">
        <v>0.774334512010278</v>
      </c>
      <c r="M2622" s="3">
        <v>55.1</v>
      </c>
      <c r="N2622" s="3">
        <v>39.1</v>
      </c>
    </row>
    <row r="2623" spans="1:14">
      <c r="A2623" s="8" t="s">
        <v>2635</v>
      </c>
      <c r="B2623" s="2">
        <f>HYPERLINK("https://www.suredividend.com/sure-analysis-research-database/","Stericycle Inc.")</f>
        <v>0</v>
      </c>
      <c r="C2623" s="1" t="s">
        <v>3179</v>
      </c>
      <c r="D2623" s="3">
        <v>58.97</v>
      </c>
      <c r="E2623" s="4">
        <v>0</v>
      </c>
      <c r="F2623" s="4" t="s">
        <v>3178</v>
      </c>
      <c r="G2623" s="4" t="s">
        <v>3178</v>
      </c>
      <c r="H2623" s="3">
        <v>0</v>
      </c>
      <c r="I2623" s="5">
        <v>5471.550026</v>
      </c>
      <c r="J2623" s="6" t="s">
        <v>3178</v>
      </c>
      <c r="K2623" s="4">
        <v>-0</v>
      </c>
      <c r="L2623" s="7">
        <v>1.077404561112467</v>
      </c>
      <c r="M2623" s="3">
        <v>59.45</v>
      </c>
      <c r="N2623" s="3">
        <v>37.78</v>
      </c>
    </row>
    <row r="2624" spans="1:14">
      <c r="A2624" s="8" t="s">
        <v>2636</v>
      </c>
      <c r="B2624" s="2">
        <f>HYPERLINK("https://www.suredividend.com/sure-analysis-research-database/","Surmodics, Inc.")</f>
        <v>0</v>
      </c>
      <c r="C2624" s="1" t="s">
        <v>3176</v>
      </c>
      <c r="D2624" s="3">
        <v>41.95</v>
      </c>
      <c r="E2624" s="4">
        <v>0</v>
      </c>
      <c r="F2624" s="4" t="s">
        <v>3178</v>
      </c>
      <c r="G2624" s="4" t="s">
        <v>3178</v>
      </c>
      <c r="H2624" s="3">
        <v>0</v>
      </c>
      <c r="I2624" s="5">
        <v>598.207</v>
      </c>
      <c r="J2624" s="6">
        <v>44.30834752981261</v>
      </c>
      <c r="K2624" s="4">
        <v>0</v>
      </c>
      <c r="L2624" s="7">
        <v>0.7316160604873201</v>
      </c>
      <c r="M2624" s="3">
        <v>42.36</v>
      </c>
      <c r="N2624" s="3">
        <v>22.15</v>
      </c>
    </row>
    <row r="2625" spans="1:14">
      <c r="A2625" s="8" t="s">
        <v>2637</v>
      </c>
      <c r="B2625" s="2">
        <f>HYPERLINK("https://www.suredividend.com/sure-analysis-SRE/","Sempra")</f>
        <v>0</v>
      </c>
      <c r="C2625" s="1" t="s">
        <v>3186</v>
      </c>
      <c r="D2625" s="3">
        <v>75.33</v>
      </c>
      <c r="E2625" s="4">
        <v>0.03292181069958848</v>
      </c>
      <c r="F2625" s="4">
        <v>-0.4789915966386554</v>
      </c>
      <c r="G2625" s="4">
        <v>-0.08515368482668806</v>
      </c>
      <c r="H2625" s="3">
        <v>2.374935609330219</v>
      </c>
      <c r="I2625" s="5">
        <v>47468.581643</v>
      </c>
      <c r="J2625" s="6">
        <v>16.58580770207547</v>
      </c>
      <c r="K2625" s="4">
        <v>0.5254282321527034</v>
      </c>
      <c r="L2625" s="7">
        <v>0.514751894334601</v>
      </c>
      <c r="M2625" s="3">
        <v>78.83</v>
      </c>
      <c r="N2625" s="3">
        <v>62.68</v>
      </c>
    </row>
    <row r="2626" spans="1:14">
      <c r="A2626" s="8" t="s">
        <v>2638</v>
      </c>
      <c r="B2626" s="2">
        <f>HYPERLINK("https://www.suredividend.com/sure-analysis-research-database/","ServiceSource International Inc")</f>
        <v>0</v>
      </c>
      <c r="C2626" s="1" t="s">
        <v>3181</v>
      </c>
      <c r="D2626" s="3">
        <v>1.5</v>
      </c>
      <c r="E2626" s="4">
        <v>0</v>
      </c>
      <c r="F2626" s="4" t="s">
        <v>3178</v>
      </c>
      <c r="G2626" s="4" t="s">
        <v>3178</v>
      </c>
      <c r="H2626" s="3">
        <v>0</v>
      </c>
      <c r="I2626" s="5">
        <v>0</v>
      </c>
      <c r="J2626" s="6">
        <v>0</v>
      </c>
      <c r="K2626" s="4">
        <v>-0</v>
      </c>
    </row>
    <row r="2627" spans="1:14">
      <c r="A2627" s="8" t="s">
        <v>2639</v>
      </c>
      <c r="B2627" s="2">
        <f>HYPERLINK("https://www.suredividend.com/sure-analysis-research-database/","Seritage Growth Properties")</f>
        <v>0</v>
      </c>
      <c r="C2627" s="1" t="s">
        <v>3183</v>
      </c>
      <c r="D2627" s="3">
        <v>5.25</v>
      </c>
      <c r="E2627" s="4">
        <v>0</v>
      </c>
      <c r="F2627" s="4" t="s">
        <v>3178</v>
      </c>
      <c r="G2627" s="4" t="s">
        <v>3178</v>
      </c>
      <c r="H2627" s="3">
        <v>0</v>
      </c>
      <c r="I2627" s="5">
        <v>295.408664</v>
      </c>
      <c r="J2627" s="6" t="s">
        <v>3178</v>
      </c>
      <c r="K2627" s="4">
        <v>-0</v>
      </c>
      <c r="L2627" s="7">
        <v>0.7880697405051951</v>
      </c>
      <c r="M2627" s="3">
        <v>9.92</v>
      </c>
      <c r="N2627" s="3">
        <v>5.05</v>
      </c>
    </row>
    <row r="2628" spans="1:14">
      <c r="A2628" s="8" t="s">
        <v>2640</v>
      </c>
      <c r="B2628" s="2">
        <f>HYPERLINK("https://www.suredividend.com/sure-analysis-research-database/","Stoneridge Inc.")</f>
        <v>0</v>
      </c>
      <c r="C2628" s="1" t="s">
        <v>3182</v>
      </c>
      <c r="D2628" s="3">
        <v>15.25</v>
      </c>
      <c r="E2628" s="4">
        <v>0</v>
      </c>
      <c r="F2628" s="4" t="s">
        <v>3178</v>
      </c>
      <c r="G2628" s="4" t="s">
        <v>3178</v>
      </c>
      <c r="H2628" s="3">
        <v>0</v>
      </c>
      <c r="I2628" s="5">
        <v>421.986273</v>
      </c>
      <c r="J2628" s="6" t="s">
        <v>3178</v>
      </c>
      <c r="K2628" s="4">
        <v>-0</v>
      </c>
      <c r="L2628" s="7">
        <v>1.370061070007207</v>
      </c>
      <c r="M2628" s="3">
        <v>24.51</v>
      </c>
      <c r="N2628" s="3">
        <v>14.63</v>
      </c>
    </row>
    <row r="2629" spans="1:14">
      <c r="A2629" s="8" t="s">
        <v>2641</v>
      </c>
      <c r="B2629" s="2">
        <f>HYPERLINK("https://www.suredividend.com/sure-analysis-research-database/","Sorrento Therapeutics Inc")</f>
        <v>0</v>
      </c>
      <c r="C2629" s="1" t="s">
        <v>3176</v>
      </c>
      <c r="D2629" s="3">
        <v>0.01</v>
      </c>
      <c r="E2629" s="4">
        <v>0</v>
      </c>
      <c r="F2629" s="4" t="s">
        <v>3178</v>
      </c>
      <c r="G2629" s="4" t="s">
        <v>3178</v>
      </c>
      <c r="H2629" s="3">
        <v>0</v>
      </c>
      <c r="I2629" s="5">
        <v>0</v>
      </c>
      <c r="J2629" s="6">
        <v>0</v>
      </c>
      <c r="K2629" s="4" t="s">
        <v>3178</v>
      </c>
    </row>
    <row r="2630" spans="1:14">
      <c r="A2630" s="8" t="s">
        <v>2642</v>
      </c>
      <c r="B2630" s="2">
        <f>HYPERLINK("https://www.suredividend.com/sure-analysis-research-database/","Sarepta Therapeutics Inc")</f>
        <v>0</v>
      </c>
      <c r="C2630" s="1" t="s">
        <v>3176</v>
      </c>
      <c r="D2630" s="3">
        <v>123.32</v>
      </c>
      <c r="E2630" s="4">
        <v>0</v>
      </c>
      <c r="F2630" s="4" t="s">
        <v>3178</v>
      </c>
      <c r="G2630" s="4" t="s">
        <v>3178</v>
      </c>
      <c r="H2630" s="3">
        <v>0</v>
      </c>
      <c r="I2630" s="5">
        <v>11656.670823</v>
      </c>
      <c r="J2630" s="6">
        <v>689.8662971604426</v>
      </c>
      <c r="K2630" s="4">
        <v>0</v>
      </c>
      <c r="L2630" s="7">
        <v>0.6176756603075321</v>
      </c>
      <c r="M2630" s="3">
        <v>146.68</v>
      </c>
      <c r="N2630" s="3">
        <v>55.25</v>
      </c>
    </row>
    <row r="2631" spans="1:14">
      <c r="A2631" s="8" t="s">
        <v>2643</v>
      </c>
      <c r="B2631" s="2">
        <f>HYPERLINK("https://www.suredividend.com/sure-analysis-research-database/","Scholar Rock Holding Corp")</f>
        <v>0</v>
      </c>
      <c r="C2631" s="1" t="s">
        <v>3176</v>
      </c>
      <c r="D2631" s="3">
        <v>9.51</v>
      </c>
      <c r="E2631" s="4">
        <v>0</v>
      </c>
      <c r="F2631" s="4" t="s">
        <v>3178</v>
      </c>
      <c r="G2631" s="4" t="s">
        <v>3178</v>
      </c>
      <c r="H2631" s="3">
        <v>0</v>
      </c>
      <c r="I2631" s="5">
        <v>758.461158</v>
      </c>
      <c r="J2631" s="6">
        <v>0</v>
      </c>
      <c r="K2631" s="4" t="s">
        <v>3178</v>
      </c>
      <c r="L2631" s="7">
        <v>1.458479897525321</v>
      </c>
      <c r="M2631" s="3">
        <v>21.17</v>
      </c>
      <c r="N2631" s="3">
        <v>5.93</v>
      </c>
    </row>
    <row r="2632" spans="1:14">
      <c r="A2632" s="8" t="s">
        <v>2644</v>
      </c>
      <c r="B2632" s="2">
        <f>HYPERLINK("https://www.suredividend.com/sure-analysis-research-database/","Startek, Inc.")</f>
        <v>0</v>
      </c>
      <c r="C2632" s="1" t="s">
        <v>3179</v>
      </c>
      <c r="D2632" s="3">
        <v>4.42</v>
      </c>
      <c r="E2632" s="4">
        <v>0</v>
      </c>
      <c r="F2632" s="4" t="s">
        <v>3178</v>
      </c>
      <c r="G2632" s="4" t="s">
        <v>3178</v>
      </c>
      <c r="H2632" s="3">
        <v>0</v>
      </c>
      <c r="I2632" s="5">
        <v>178.328573</v>
      </c>
      <c r="J2632" s="6" t="s">
        <v>3178</v>
      </c>
      <c r="K2632" s="4">
        <v>-0</v>
      </c>
      <c r="L2632" s="7">
        <v>0.7891913639277021</v>
      </c>
      <c r="M2632" s="3">
        <v>4.53</v>
      </c>
      <c r="N2632" s="3">
        <v>2.64</v>
      </c>
    </row>
    <row r="2633" spans="1:14">
      <c r="A2633" s="8" t="s">
        <v>2645</v>
      </c>
      <c r="B2633" s="2">
        <f>HYPERLINK("https://www.suredividend.com/sure-analysis-research-database/","Sensus Healthcare Inc")</f>
        <v>0</v>
      </c>
      <c r="C2633" s="1" t="s">
        <v>3176</v>
      </c>
      <c r="D2633" s="3">
        <v>5.51</v>
      </c>
      <c r="E2633" s="4">
        <v>0</v>
      </c>
      <c r="F2633" s="4" t="s">
        <v>3178</v>
      </c>
      <c r="G2633" s="4" t="s">
        <v>3178</v>
      </c>
      <c r="H2633" s="3">
        <v>0</v>
      </c>
      <c r="I2633" s="5">
        <v>90.323617</v>
      </c>
      <c r="J2633" s="6">
        <v>186.2342622886597</v>
      </c>
      <c r="K2633" s="4">
        <v>0</v>
      </c>
      <c r="L2633" s="7">
        <v>0.5554180731746799</v>
      </c>
      <c r="M2633" s="3">
        <v>6.55</v>
      </c>
      <c r="N2633" s="3">
        <v>1.79</v>
      </c>
    </row>
    <row r="2634" spans="1:14">
      <c r="A2634" s="8" t="s">
        <v>2646</v>
      </c>
      <c r="B2634" s="2">
        <f>HYPERLINK("https://www.suredividend.com/sure-analysis-research-database/","SouthState Corporation")</f>
        <v>0</v>
      </c>
      <c r="C2634" s="1" t="s">
        <v>3180</v>
      </c>
      <c r="D2634" s="3">
        <v>73.84</v>
      </c>
      <c r="E2634" s="4">
        <v>0.014039197748855</v>
      </c>
      <c r="F2634" s="4">
        <v>0.04000000000000004</v>
      </c>
      <c r="G2634" s="4">
        <v>0.02482356331085978</v>
      </c>
      <c r="H2634" s="3">
        <v>1.036654361775467</v>
      </c>
      <c r="I2634" s="5">
        <v>5625.788671</v>
      </c>
      <c r="J2634" s="6">
        <v>11.98409304606785</v>
      </c>
      <c r="K2634" s="4">
        <v>0.1691116413989343</v>
      </c>
      <c r="L2634" s="7">
        <v>1.230750236358776</v>
      </c>
      <c r="M2634" s="3">
        <v>86.08</v>
      </c>
      <c r="N2634" s="3">
        <v>60.87</v>
      </c>
    </row>
    <row r="2635" spans="1:14">
      <c r="A2635" s="8" t="s">
        <v>2647</v>
      </c>
      <c r="B2635" s="2">
        <f>HYPERLINK("https://www.suredividend.com/sure-analysis-research-database/","Summit State Bank")</f>
        <v>0</v>
      </c>
      <c r="C2635" s="1" t="s">
        <v>3180</v>
      </c>
      <c r="D2635" s="3">
        <v>8.800000000000001</v>
      </c>
      <c r="E2635" s="4">
        <v>0.05290324574607701</v>
      </c>
      <c r="F2635" s="4">
        <v>0</v>
      </c>
      <c r="G2635" s="4">
        <v>0</v>
      </c>
      <c r="H2635" s="3">
        <v>0.465548562565483</v>
      </c>
      <c r="I2635" s="5">
        <v>42.379744</v>
      </c>
      <c r="J2635" s="6">
        <v>0</v>
      </c>
      <c r="K2635" s="4" t="s">
        <v>3178</v>
      </c>
      <c r="M2635" s="3">
        <v>17.57</v>
      </c>
      <c r="N2635" s="3">
        <v>8.66</v>
      </c>
    </row>
    <row r="2636" spans="1:14">
      <c r="A2636" s="8" t="s">
        <v>2648</v>
      </c>
      <c r="B2636" s="2">
        <f>HYPERLINK("https://www.suredividend.com/sure-analysis-research-database/","Simpson Manufacturing Co., Inc.")</f>
        <v>0</v>
      </c>
      <c r="C2636" s="1" t="s">
        <v>3179</v>
      </c>
      <c r="D2636" s="3">
        <v>161</v>
      </c>
      <c r="E2636" s="4">
        <v>0.006693392285041001</v>
      </c>
      <c r="F2636" s="4">
        <v>0.03846153846153855</v>
      </c>
      <c r="G2636" s="4">
        <v>0.03258826616987576</v>
      </c>
      <c r="H2636" s="3">
        <v>1.077636157891668</v>
      </c>
      <c r="I2636" s="5">
        <v>6787.424959</v>
      </c>
      <c r="J2636" s="6">
        <v>19.87748294544357</v>
      </c>
      <c r="K2636" s="4">
        <v>0.1350421250490812</v>
      </c>
      <c r="L2636" s="7">
        <v>1.182655901529053</v>
      </c>
      <c r="M2636" s="3">
        <v>218.08</v>
      </c>
      <c r="N2636" s="3">
        <v>123.59</v>
      </c>
    </row>
    <row r="2637" spans="1:14">
      <c r="A2637" s="8" t="s">
        <v>2649</v>
      </c>
      <c r="B2637" s="2">
        <f>HYPERLINK("https://www.suredividend.com/sure-analysis-research-database/","STRATA Skin Sciences Inc")</f>
        <v>0</v>
      </c>
      <c r="C2637" s="1" t="s">
        <v>3176</v>
      </c>
      <c r="D2637" s="3">
        <v>3.06</v>
      </c>
      <c r="E2637" s="4">
        <v>0</v>
      </c>
      <c r="F2637" s="4" t="s">
        <v>3178</v>
      </c>
      <c r="G2637" s="4" t="s">
        <v>3178</v>
      </c>
      <c r="H2637" s="3">
        <v>0</v>
      </c>
      <c r="I2637" s="5">
        <v>105.533369</v>
      </c>
      <c r="J2637" s="6" t="s">
        <v>3178</v>
      </c>
      <c r="K2637" s="4">
        <v>-0</v>
      </c>
      <c r="L2637" s="7">
        <v>-0.5026499096728201</v>
      </c>
      <c r="M2637" s="3">
        <v>10.8</v>
      </c>
      <c r="N2637" s="3">
        <v>2.62</v>
      </c>
    </row>
    <row r="2638" spans="1:14">
      <c r="A2638" s="8" t="s">
        <v>2650</v>
      </c>
      <c r="B2638" s="2">
        <f>HYPERLINK("https://www.suredividend.com/sure-analysis-research-database/","SS&amp;C Technologies Holdings Inc")</f>
        <v>0</v>
      </c>
      <c r="C2638" s="1" t="s">
        <v>3181</v>
      </c>
      <c r="D2638" s="3">
        <v>61.64</v>
      </c>
      <c r="E2638" s="4">
        <v>0.015392960747363</v>
      </c>
      <c r="F2638" s="4">
        <v>0.2</v>
      </c>
      <c r="G2638" s="4">
        <v>0.1913578981670916</v>
      </c>
      <c r="H2638" s="3">
        <v>0.948822100467498</v>
      </c>
      <c r="I2638" s="5">
        <v>15245.006794</v>
      </c>
      <c r="J2638" s="6">
        <v>23.86880662952873</v>
      </c>
      <c r="K2638" s="4">
        <v>0.3765167065347215</v>
      </c>
      <c r="L2638" s="7">
        <v>0.9395510048575111</v>
      </c>
      <c r="M2638" s="3">
        <v>65.34999999999999</v>
      </c>
      <c r="N2638" s="3">
        <v>45.51</v>
      </c>
    </row>
    <row r="2639" spans="1:14">
      <c r="A2639" s="8" t="s">
        <v>2651</v>
      </c>
      <c r="B2639" s="2">
        <f>HYPERLINK("https://www.suredividend.com/sure-analysis-research-database/","E.W. Scripps Co.")</f>
        <v>0</v>
      </c>
      <c r="C2639" s="1" t="s">
        <v>3187</v>
      </c>
      <c r="D2639" s="3">
        <v>2.41</v>
      </c>
      <c r="E2639" s="4">
        <v>0</v>
      </c>
      <c r="F2639" s="4" t="s">
        <v>3178</v>
      </c>
      <c r="G2639" s="4" t="s">
        <v>3178</v>
      </c>
      <c r="H2639" s="3">
        <v>0</v>
      </c>
      <c r="I2639" s="5">
        <v>177.031956</v>
      </c>
      <c r="J2639" s="6" t="s">
        <v>3178</v>
      </c>
      <c r="K2639" s="4">
        <v>-0</v>
      </c>
      <c r="L2639" s="7">
        <v>2.058401933803429</v>
      </c>
      <c r="M2639" s="3">
        <v>11.02</v>
      </c>
      <c r="N2639" s="3">
        <v>2.4</v>
      </c>
    </row>
    <row r="2640" spans="1:14">
      <c r="A2640" s="8" t="s">
        <v>2652</v>
      </c>
      <c r="B2640" s="2">
        <f>HYPERLINK("https://www.suredividend.com/sure-analysis-research-database/","SoundThinking Inc")</f>
        <v>0</v>
      </c>
      <c r="C2640" s="1" t="s">
        <v>3181</v>
      </c>
      <c r="D2640" s="3">
        <v>14.92</v>
      </c>
      <c r="E2640" s="4">
        <v>0</v>
      </c>
      <c r="F2640" s="4" t="s">
        <v>3178</v>
      </c>
      <c r="G2640" s="4" t="s">
        <v>3178</v>
      </c>
      <c r="H2640" s="3">
        <v>0</v>
      </c>
      <c r="I2640" s="5">
        <v>190.878364</v>
      </c>
      <c r="J2640" s="6" t="s">
        <v>3178</v>
      </c>
      <c r="K2640" s="4">
        <v>-0</v>
      </c>
      <c r="L2640" s="7">
        <v>1.244947049310683</v>
      </c>
      <c r="M2640" s="3">
        <v>26.92</v>
      </c>
      <c r="N2640" s="3">
        <v>12.98</v>
      </c>
    </row>
    <row r="2641" spans="1:14">
      <c r="A2641" s="8" t="s">
        <v>2653</v>
      </c>
      <c r="B2641" s="2">
        <f>HYPERLINK("https://www.suredividend.com/sure-analysis-research-database/","Shutterstock Inc")</f>
        <v>0</v>
      </c>
      <c r="C2641" s="1" t="s">
        <v>3187</v>
      </c>
      <c r="D2641" s="3">
        <v>38.03</v>
      </c>
      <c r="E2641" s="4">
        <v>0.029670608817748</v>
      </c>
      <c r="F2641" s="4" t="s">
        <v>3178</v>
      </c>
      <c r="G2641" s="4" t="s">
        <v>3178</v>
      </c>
      <c r="H2641" s="3">
        <v>1.128373253338963</v>
      </c>
      <c r="I2641" s="5">
        <v>1363.121688</v>
      </c>
      <c r="J2641" s="6">
        <v>14.57151686082932</v>
      </c>
      <c r="K2641" s="4">
        <v>0.4356653487795224</v>
      </c>
      <c r="L2641" s="7">
        <v>1.921215869582263</v>
      </c>
      <c r="M2641" s="3">
        <v>56.88</v>
      </c>
      <c r="N2641" s="3">
        <v>33.12</v>
      </c>
    </row>
    <row r="2642" spans="1:14">
      <c r="A2642" s="8" t="s">
        <v>2654</v>
      </c>
      <c r="B2642" s="2">
        <f>HYPERLINK("https://www.suredividend.com/sure-analysis-research-database/","Sensata Technologies Holding Plc")</f>
        <v>0</v>
      </c>
      <c r="C2642" s="1" t="s">
        <v>3181</v>
      </c>
      <c r="D2642" s="3">
        <v>39.46</v>
      </c>
      <c r="E2642" s="4">
        <v>0.012115927097614</v>
      </c>
      <c r="F2642" s="4" t="s">
        <v>3178</v>
      </c>
      <c r="G2642" s="4" t="s">
        <v>3178</v>
      </c>
      <c r="H2642" s="3">
        <v>0.478094483271869</v>
      </c>
      <c r="I2642" s="5">
        <v>5938.73</v>
      </c>
      <c r="J2642" s="6" t="s">
        <v>3178</v>
      </c>
      <c r="K2642" s="4" t="s">
        <v>3178</v>
      </c>
      <c r="L2642" s="7">
        <v>0.9346628315448441</v>
      </c>
      <c r="M2642" s="3">
        <v>46.97</v>
      </c>
      <c r="N2642" s="3">
        <v>30.36</v>
      </c>
    </row>
    <row r="2643" spans="1:14">
      <c r="A2643" s="8" t="s">
        <v>2655</v>
      </c>
      <c r="B2643" s="2">
        <f>HYPERLINK("https://www.suredividend.com/sure-analysis-research-database/","Staar Surgical Co.")</f>
        <v>0</v>
      </c>
      <c r="C2643" s="1" t="s">
        <v>3176</v>
      </c>
      <c r="D2643" s="3">
        <v>38.66</v>
      </c>
      <c r="E2643" s="4">
        <v>0</v>
      </c>
      <c r="F2643" s="4" t="s">
        <v>3178</v>
      </c>
      <c r="G2643" s="4" t="s">
        <v>3178</v>
      </c>
      <c r="H2643" s="3">
        <v>0</v>
      </c>
      <c r="I2643" s="5">
        <v>1899.408713</v>
      </c>
      <c r="J2643" s="6">
        <v>124.1605904431952</v>
      </c>
      <c r="K2643" s="4">
        <v>0</v>
      </c>
      <c r="L2643" s="7">
        <v>1.5875771003959</v>
      </c>
      <c r="M2643" s="3">
        <v>58.82</v>
      </c>
      <c r="N2643" s="3">
        <v>26.66</v>
      </c>
    </row>
    <row r="2644" spans="1:14">
      <c r="A2644" s="8" t="s">
        <v>2656</v>
      </c>
      <c r="B2644" s="2">
        <f>HYPERLINK("https://www.suredividend.com/sure-analysis-STAG/","STAG Industrial Inc")</f>
        <v>0</v>
      </c>
      <c r="C2644" s="1" t="s">
        <v>3183</v>
      </c>
      <c r="D2644" s="3">
        <v>35.15</v>
      </c>
      <c r="E2644" s="4">
        <v>0.04210526315789474</v>
      </c>
      <c r="F2644" s="4">
        <v>0</v>
      </c>
      <c r="G2644" s="4">
        <v>0.002723744595846345</v>
      </c>
      <c r="H2644" s="3">
        <v>1.446843474366266</v>
      </c>
      <c r="I2644" s="5">
        <v>6400.096499</v>
      </c>
      <c r="J2644" s="6">
        <v>35.5956423740267</v>
      </c>
      <c r="K2644" s="4">
        <v>1.458364554345596</v>
      </c>
      <c r="L2644" s="7">
        <v>1.006521110250561</v>
      </c>
      <c r="M2644" s="3">
        <v>38.94</v>
      </c>
      <c r="N2644" s="3">
        <v>30.84</v>
      </c>
    </row>
    <row r="2645" spans="1:14">
      <c r="A2645" s="8" t="s">
        <v>2657</v>
      </c>
      <c r="B2645" s="2">
        <f>HYPERLINK("https://www.suredividend.com/sure-analysis-research-database/","iStar Inc")</f>
        <v>0</v>
      </c>
      <c r="C2645" s="1" t="s">
        <v>3183</v>
      </c>
      <c r="D2645" s="3">
        <v>7.63</v>
      </c>
      <c r="E2645" s="4">
        <v>0.025486899682131</v>
      </c>
      <c r="F2645" s="4" t="s">
        <v>3178</v>
      </c>
      <c r="G2645" s="4" t="s">
        <v>3178</v>
      </c>
      <c r="H2645" s="3">
        <v>0.194465044574662</v>
      </c>
      <c r="I2645" s="5">
        <v>662.558909</v>
      </c>
      <c r="J2645" s="6">
        <v>1.665591336427077</v>
      </c>
      <c r="K2645" s="4">
        <v>0.03944524230723367</v>
      </c>
      <c r="L2645" s="7">
        <v>1.500826927155516</v>
      </c>
      <c r="M2645" s="3">
        <v>18.41</v>
      </c>
      <c r="N2645" s="3">
        <v>6.46</v>
      </c>
    </row>
    <row r="2646" spans="1:14">
      <c r="A2646" s="8" t="s">
        <v>2658</v>
      </c>
      <c r="B2646" s="2">
        <f>HYPERLINK("https://www.suredividend.com/sure-analysis-research-database/","Extended Stay America Inc")</f>
        <v>0</v>
      </c>
      <c r="C2646" s="1" t="s">
        <v>3182</v>
      </c>
      <c r="D2646" s="3">
        <v>20.46</v>
      </c>
      <c r="E2646" s="4">
        <v>0</v>
      </c>
      <c r="F2646" s="4" t="s">
        <v>3178</v>
      </c>
      <c r="G2646" s="4" t="s">
        <v>3178</v>
      </c>
      <c r="H2646" s="3">
        <v>0.110000003129243</v>
      </c>
      <c r="I2646" s="5">
        <v>0</v>
      </c>
      <c r="J2646" s="6">
        <v>0</v>
      </c>
      <c r="K2646" s="4">
        <v>0.9499136712369862</v>
      </c>
    </row>
    <row r="2647" spans="1:14">
      <c r="A2647" s="8" t="s">
        <v>2659</v>
      </c>
      <c r="B2647" s="2">
        <f>HYPERLINK("https://www.suredividend.com/sure-analysis-research-database/","S &amp; T Bancorp, Inc.")</f>
        <v>0</v>
      </c>
      <c r="C2647" s="1" t="s">
        <v>3180</v>
      </c>
      <c r="D2647" s="3">
        <v>31.16</v>
      </c>
      <c r="E2647" s="4">
        <v>0.041163451681034</v>
      </c>
      <c r="F2647" s="4" t="s">
        <v>3178</v>
      </c>
      <c r="G2647" s="4" t="s">
        <v>3178</v>
      </c>
      <c r="H2647" s="3">
        <v>1.282653154381026</v>
      </c>
      <c r="I2647" s="5">
        <v>1191.430083</v>
      </c>
      <c r="J2647" s="6">
        <v>8.754207138385574</v>
      </c>
      <c r="K2647" s="4">
        <v>0.3633578341022736</v>
      </c>
      <c r="L2647" s="7">
        <v>1.056481088299378</v>
      </c>
      <c r="M2647" s="3">
        <v>35.15</v>
      </c>
      <c r="N2647" s="3">
        <v>23.47</v>
      </c>
    </row>
    <row r="2648" spans="1:14">
      <c r="A2648" s="8" t="s">
        <v>2660</v>
      </c>
      <c r="B2648" s="2">
        <f>HYPERLINK("https://www.suredividend.com/sure-analysis-research-database/","Stewart Information Services Corp.")</f>
        <v>0</v>
      </c>
      <c r="C2648" s="1" t="s">
        <v>3180</v>
      </c>
      <c r="D2648" s="3">
        <v>61.47</v>
      </c>
      <c r="E2648" s="4">
        <v>0.030122643090323</v>
      </c>
      <c r="F2648" s="4">
        <v>0.05555555555555558</v>
      </c>
      <c r="G2648" s="4">
        <v>0.09626227935295417</v>
      </c>
      <c r="H2648" s="3">
        <v>1.851638870762168</v>
      </c>
      <c r="I2648" s="5">
        <v>1695.375486</v>
      </c>
      <c r="J2648" s="6">
        <v>40.59904419286861</v>
      </c>
      <c r="K2648" s="4">
        <v>1.226250907789515</v>
      </c>
      <c r="L2648" s="7">
        <v>0.7946254829354701</v>
      </c>
      <c r="M2648" s="3">
        <v>66.66</v>
      </c>
      <c r="N2648" s="3">
        <v>37.77</v>
      </c>
    </row>
    <row r="2649" spans="1:14">
      <c r="A2649" s="8" t="s">
        <v>2661</v>
      </c>
      <c r="B2649" s="2">
        <f>HYPERLINK("https://www.suredividend.com/sure-analysis-research-database/","Steel Connect Inc")</f>
        <v>0</v>
      </c>
      <c r="C2649" s="1" t="s">
        <v>3179</v>
      </c>
      <c r="D2649" s="3">
        <v>11</v>
      </c>
      <c r="E2649" s="4">
        <v>0</v>
      </c>
      <c r="F2649" s="4" t="s">
        <v>3178</v>
      </c>
      <c r="G2649" s="4" t="s">
        <v>3178</v>
      </c>
      <c r="H2649" s="3">
        <v>0</v>
      </c>
      <c r="I2649" s="5">
        <v>69.35225</v>
      </c>
      <c r="J2649" s="6">
        <v>3.682876639583665</v>
      </c>
      <c r="K2649" s="4">
        <v>0</v>
      </c>
      <c r="M2649" s="3">
        <v>10653825</v>
      </c>
      <c r="N2649" s="3">
        <v>7.36</v>
      </c>
    </row>
    <row r="2650" spans="1:14">
      <c r="A2650" s="8" t="s">
        <v>2662</v>
      </c>
      <c r="B2650" s="2">
        <f>HYPERLINK("https://www.suredividend.com/sure-analysis-STE/","Steris Plc")</f>
        <v>0</v>
      </c>
      <c r="C2650" s="1" t="s">
        <v>3176</v>
      </c>
      <c r="D2650" s="3">
        <v>226.85</v>
      </c>
      <c r="E2650" s="4">
        <v>0.009169054441260746</v>
      </c>
      <c r="F2650" s="4">
        <v>0.1063829787234043</v>
      </c>
      <c r="G2650" s="4">
        <v>0.08869163325077611</v>
      </c>
      <c r="H2650" s="3">
        <v>2.023009089501749</v>
      </c>
      <c r="I2650" s="5">
        <v>22435.467269</v>
      </c>
      <c r="J2650" s="6">
        <v>59.31558424303152</v>
      </c>
      <c r="K2650" s="4">
        <v>0.530973514304921</v>
      </c>
      <c r="L2650" s="7">
        <v>0.8458931428223141</v>
      </c>
      <c r="M2650" s="3">
        <v>252.21</v>
      </c>
      <c r="N2650" s="3">
        <v>195.03</v>
      </c>
    </row>
    <row r="2651" spans="1:14">
      <c r="A2651" s="8" t="s">
        <v>2663</v>
      </c>
      <c r="B2651" s="2">
        <f>HYPERLINK("https://www.suredividend.com/sure-analysis-research-database/","State Auto Financial Corp.")</f>
        <v>0</v>
      </c>
      <c r="C2651" s="1" t="s">
        <v>3180</v>
      </c>
      <c r="D2651" s="3">
        <v>52.01</v>
      </c>
      <c r="E2651" s="4">
        <v>0</v>
      </c>
      <c r="F2651" s="4" t="s">
        <v>3178</v>
      </c>
      <c r="G2651" s="4" t="s">
        <v>3178</v>
      </c>
      <c r="H2651" s="3">
        <v>0.400000005960464</v>
      </c>
      <c r="I2651" s="5">
        <v>0</v>
      </c>
      <c r="J2651" s="6">
        <v>0</v>
      </c>
      <c r="K2651" s="4">
        <v>0.25000000372529</v>
      </c>
    </row>
    <row r="2652" spans="1:14">
      <c r="A2652" s="8" t="s">
        <v>2664</v>
      </c>
      <c r="B2652" s="2">
        <f>HYPERLINK("https://www.suredividend.com/sure-analysis-research-database/","Solidion Technology Inc")</f>
        <v>0</v>
      </c>
      <c r="C2652" s="1" t="s">
        <v>3178</v>
      </c>
      <c r="D2652" s="3">
        <v>1.74</v>
      </c>
      <c r="E2652" s="4">
        <v>0</v>
      </c>
      <c r="F2652" s="4" t="s">
        <v>3178</v>
      </c>
      <c r="G2652" s="4" t="s">
        <v>3178</v>
      </c>
      <c r="H2652" s="3">
        <v>0</v>
      </c>
      <c r="I2652" s="5">
        <v>151.206693</v>
      </c>
      <c r="J2652" s="6">
        <v>0</v>
      </c>
      <c r="K2652" s="4" t="s">
        <v>3178</v>
      </c>
      <c r="L2652" s="7">
        <v>0.121200969098151</v>
      </c>
      <c r="M2652" s="3">
        <v>4.44</v>
      </c>
      <c r="N2652" s="3">
        <v>0.371</v>
      </c>
    </row>
    <row r="2653" spans="1:14">
      <c r="A2653" s="8" t="s">
        <v>2665</v>
      </c>
      <c r="B2653" s="2">
        <f>HYPERLINK("https://www.suredividend.com/sure-analysis-research-database/","Neuronetics Inc")</f>
        <v>0</v>
      </c>
      <c r="C2653" s="1" t="s">
        <v>3176</v>
      </c>
      <c r="D2653" s="3">
        <v>2.24</v>
      </c>
      <c r="E2653" s="4">
        <v>0</v>
      </c>
      <c r="F2653" s="4" t="s">
        <v>3178</v>
      </c>
      <c r="G2653" s="4" t="s">
        <v>3178</v>
      </c>
      <c r="H2653" s="3">
        <v>0</v>
      </c>
      <c r="I2653" s="5">
        <v>67.194541</v>
      </c>
      <c r="J2653" s="6" t="s">
        <v>3178</v>
      </c>
      <c r="K2653" s="4">
        <v>-0</v>
      </c>
      <c r="L2653" s="7">
        <v>1.427699182014165</v>
      </c>
      <c r="M2653" s="3">
        <v>5.07</v>
      </c>
      <c r="N2653" s="3">
        <v>1.03</v>
      </c>
    </row>
    <row r="2654" spans="1:14">
      <c r="A2654" s="8" t="s">
        <v>2666</v>
      </c>
      <c r="B2654" s="2">
        <f>HYPERLINK("https://www.suredividend.com/sure-analysis-research-database/","ONE Group Hospitality Inc")</f>
        <v>0</v>
      </c>
      <c r="C2654" s="1" t="s">
        <v>3182</v>
      </c>
      <c r="D2654" s="3">
        <v>4.93</v>
      </c>
      <c r="E2654" s="4">
        <v>0</v>
      </c>
      <c r="F2654" s="4" t="s">
        <v>3178</v>
      </c>
      <c r="G2654" s="4" t="s">
        <v>3178</v>
      </c>
      <c r="H2654" s="3">
        <v>0</v>
      </c>
      <c r="I2654" s="5">
        <v>154.899954</v>
      </c>
      <c r="J2654" s="6">
        <v>0</v>
      </c>
      <c r="K2654" s="4" t="s">
        <v>3178</v>
      </c>
      <c r="L2654" s="7">
        <v>1.472905950098655</v>
      </c>
      <c r="M2654" s="3">
        <v>7.95</v>
      </c>
      <c r="N2654" s="3">
        <v>3.21</v>
      </c>
    </row>
    <row r="2655" spans="1:14">
      <c r="A2655" s="8" t="s">
        <v>2667</v>
      </c>
      <c r="B2655" s="2">
        <f>HYPERLINK("https://www.suredividend.com/sure-analysis-research-database/","Sterling Bancorp.")</f>
        <v>0</v>
      </c>
      <c r="C2655" s="1" t="s">
        <v>3180</v>
      </c>
      <c r="D2655" s="3">
        <v>26.29</v>
      </c>
      <c r="E2655" s="4">
        <v>0.010607738178643</v>
      </c>
      <c r="F2655" s="4" t="s">
        <v>3178</v>
      </c>
      <c r="G2655" s="4" t="s">
        <v>3178</v>
      </c>
      <c r="H2655" s="3">
        <v>0.278877436716538</v>
      </c>
      <c r="I2655" s="5">
        <v>5066.103164</v>
      </c>
      <c r="J2655" s="6">
        <v>14.00485754765176</v>
      </c>
      <c r="K2655" s="4">
        <v>0.1483390620832649</v>
      </c>
      <c r="L2655" s="7">
        <v>1.129129872056107</v>
      </c>
      <c r="M2655" s="3">
        <v>29.95</v>
      </c>
      <c r="N2655" s="3">
        <v>18.69</v>
      </c>
    </row>
    <row r="2656" spans="1:14">
      <c r="A2656" s="8" t="s">
        <v>2668</v>
      </c>
      <c r="B2656" s="2">
        <f>HYPERLINK("https://www.suredividend.com/sure-analysis-STLD/","Steel Dynamics Inc.")</f>
        <v>0</v>
      </c>
      <c r="C2656" s="1" t="s">
        <v>3177</v>
      </c>
      <c r="D2656" s="3">
        <v>125.52</v>
      </c>
      <c r="E2656" s="4">
        <v>0.01465901848311026</v>
      </c>
      <c r="F2656" s="4">
        <v>0.08235294117647074</v>
      </c>
      <c r="G2656" s="4">
        <v>0.1389622185878991</v>
      </c>
      <c r="H2656" s="3">
        <v>1.719308292132147</v>
      </c>
      <c r="I2656" s="5">
        <v>19723.358762</v>
      </c>
      <c r="J2656" s="6">
        <v>8.047453431833928</v>
      </c>
      <c r="K2656" s="4">
        <v>0.117439090992633</v>
      </c>
      <c r="L2656" s="7">
        <v>0.9856871250682141</v>
      </c>
      <c r="M2656" s="3">
        <v>151.34</v>
      </c>
      <c r="N2656" s="3">
        <v>93.88</v>
      </c>
    </row>
    <row r="2657" spans="1:14">
      <c r="A2657" s="8" t="s">
        <v>2669</v>
      </c>
      <c r="B2657" s="2">
        <f>HYPERLINK("https://www.suredividend.com/sure-analysis-research-database/","Stamps.com Inc.")</f>
        <v>0</v>
      </c>
      <c r="C2657" s="1" t="s">
        <v>3181</v>
      </c>
      <c r="D2657" s="3">
        <v>329.61</v>
      </c>
      <c r="E2657" s="4">
        <v>0</v>
      </c>
      <c r="F2657" s="4" t="s">
        <v>3178</v>
      </c>
      <c r="G2657" s="4" t="s">
        <v>3178</v>
      </c>
      <c r="H2657" s="3">
        <v>0</v>
      </c>
      <c r="I2657" s="5">
        <v>0</v>
      </c>
      <c r="J2657" s="6">
        <v>0</v>
      </c>
      <c r="K2657" s="4">
        <v>0</v>
      </c>
    </row>
    <row r="2658" spans="1:14">
      <c r="A2658" s="8" t="s">
        <v>2670</v>
      </c>
      <c r="B2658" s="2">
        <f>HYPERLINK("https://www.suredividend.com/sure-analysis-research-database/","Standard AVB Financial Corp")</f>
        <v>0</v>
      </c>
      <c r="C2658" s="1" t="s">
        <v>3180</v>
      </c>
      <c r="D2658" s="3">
        <v>33</v>
      </c>
      <c r="E2658" s="4">
        <v>0</v>
      </c>
      <c r="F2658" s="4" t="s">
        <v>3178</v>
      </c>
      <c r="G2658" s="4" t="s">
        <v>3178</v>
      </c>
      <c r="H2658" s="3">
        <v>0.8840000033378601</v>
      </c>
      <c r="I2658" s="5">
        <v>0</v>
      </c>
      <c r="J2658" s="6">
        <v>0</v>
      </c>
      <c r="K2658" s="4" t="s">
        <v>3178</v>
      </c>
    </row>
    <row r="2659" spans="1:14">
      <c r="A2659" s="8" t="s">
        <v>2671</v>
      </c>
      <c r="B2659" s="2">
        <f>HYPERLINK("https://www.suredividend.com/sure-analysis-research-database/","Store Capital Corp")</f>
        <v>0</v>
      </c>
      <c r="C2659" s="1" t="s">
        <v>3183</v>
      </c>
      <c r="D2659" s="3">
        <v>32.21</v>
      </c>
      <c r="E2659" s="4">
        <v>0.036159915256518</v>
      </c>
      <c r="F2659" s="4" t="s">
        <v>3178</v>
      </c>
      <c r="G2659" s="4" t="s">
        <v>3178</v>
      </c>
      <c r="H2659" s="3">
        <v>1.164710870412454</v>
      </c>
      <c r="I2659" s="5">
        <v>9105.309520999999</v>
      </c>
      <c r="J2659" s="6">
        <v>28.39145360975473</v>
      </c>
      <c r="K2659" s="4">
        <v>1.00406109518315</v>
      </c>
      <c r="L2659" s="7">
        <v>0.4776788525423991</v>
      </c>
      <c r="M2659" s="3">
        <v>32.25</v>
      </c>
      <c r="N2659" s="3">
        <v>23.82</v>
      </c>
    </row>
    <row r="2660" spans="1:14">
      <c r="A2660" s="8" t="s">
        <v>2672</v>
      </c>
      <c r="B2660" s="2">
        <f>HYPERLINK("https://www.suredividend.com/sure-analysis-research-database/","Strategic Education Inc")</f>
        <v>0</v>
      </c>
      <c r="C2660" s="1" t="s">
        <v>3184</v>
      </c>
      <c r="D2660" s="3">
        <v>110.71</v>
      </c>
      <c r="E2660" s="4">
        <v>0.02137741493648</v>
      </c>
      <c r="F2660" s="4">
        <v>0</v>
      </c>
      <c r="G2660" s="4">
        <v>0.03713728933664817</v>
      </c>
      <c r="H2660" s="3">
        <v>2.366693607617805</v>
      </c>
      <c r="I2660" s="5">
        <v>2724.344927</v>
      </c>
      <c r="J2660" s="6">
        <v>26.83528458831178</v>
      </c>
      <c r="K2660" s="4">
        <v>0.5621600018094549</v>
      </c>
      <c r="L2660" s="7">
        <v>0.652039159117875</v>
      </c>
      <c r="M2660" s="3">
        <v>122.34</v>
      </c>
      <c r="N2660" s="3">
        <v>61.69</v>
      </c>
    </row>
    <row r="2661" spans="1:14">
      <c r="A2661" s="8" t="s">
        <v>2673</v>
      </c>
      <c r="B2661" s="2">
        <f>HYPERLINK("https://www.suredividend.com/sure-analysis-research-database/","Sterling Infrastructure Inc")</f>
        <v>0</v>
      </c>
      <c r="C2661" s="1" t="s">
        <v>3179</v>
      </c>
      <c r="D2661" s="3">
        <v>112.73</v>
      </c>
      <c r="E2661" s="4">
        <v>0</v>
      </c>
      <c r="F2661" s="4" t="s">
        <v>3178</v>
      </c>
      <c r="G2661" s="4" t="s">
        <v>3178</v>
      </c>
      <c r="H2661" s="3">
        <v>0</v>
      </c>
      <c r="I2661" s="5">
        <v>3479.246977</v>
      </c>
      <c r="J2661" s="6">
        <v>23.18663265844296</v>
      </c>
      <c r="K2661" s="4">
        <v>0</v>
      </c>
      <c r="L2661" s="7">
        <v>1.44212022352552</v>
      </c>
      <c r="M2661" s="3">
        <v>137.63</v>
      </c>
      <c r="N2661" s="3">
        <v>51.02</v>
      </c>
    </row>
    <row r="2662" spans="1:14">
      <c r="A2662" s="8" t="s">
        <v>2674</v>
      </c>
      <c r="B2662" s="2">
        <f>HYPERLINK("https://www.suredividend.com/sure-analysis-research-database/","Streamline Health Solutions, Inc")</f>
        <v>0</v>
      </c>
      <c r="C2662" s="1" t="s">
        <v>3176</v>
      </c>
      <c r="D2662" s="3">
        <v>0.46</v>
      </c>
      <c r="E2662" s="4">
        <v>0</v>
      </c>
      <c r="F2662" s="4" t="s">
        <v>3178</v>
      </c>
      <c r="G2662" s="4" t="s">
        <v>3178</v>
      </c>
      <c r="H2662" s="3">
        <v>0</v>
      </c>
      <c r="I2662" s="5">
        <v>28.581192</v>
      </c>
      <c r="J2662" s="6">
        <v>0</v>
      </c>
      <c r="K2662" s="4" t="s">
        <v>3178</v>
      </c>
      <c r="L2662" s="7">
        <v>-0.028436243315943</v>
      </c>
      <c r="M2662" s="3">
        <v>1.62</v>
      </c>
      <c r="N2662" s="3">
        <v>0.213</v>
      </c>
    </row>
    <row r="2663" spans="1:14">
      <c r="A2663" s="8" t="s">
        <v>2675</v>
      </c>
      <c r="B2663" s="2">
        <f>HYPERLINK("https://www.suredividend.com/sure-analysis-research-database/","Stratus Properties Inc.")</f>
        <v>0</v>
      </c>
      <c r="C2663" s="1" t="s">
        <v>3183</v>
      </c>
      <c r="D2663" s="3">
        <v>24.1</v>
      </c>
      <c r="E2663" s="4">
        <v>0</v>
      </c>
      <c r="F2663" s="4" t="s">
        <v>3178</v>
      </c>
      <c r="G2663" s="4" t="s">
        <v>3178</v>
      </c>
      <c r="H2663" s="3">
        <v>0</v>
      </c>
      <c r="I2663" s="5">
        <v>194.651603</v>
      </c>
      <c r="J2663" s="6">
        <v>0</v>
      </c>
      <c r="K2663" s="4" t="s">
        <v>3178</v>
      </c>
      <c r="L2663" s="7">
        <v>0.9166761723711341</v>
      </c>
      <c r="M2663" s="3">
        <v>29.99</v>
      </c>
      <c r="N2663" s="3">
        <v>20.3</v>
      </c>
    </row>
    <row r="2664" spans="1:14">
      <c r="A2664" s="8" t="s">
        <v>2676</v>
      </c>
      <c r="B2664" s="2">
        <f>HYPERLINK("https://www.suredividend.com/sure-analysis-research-database/","Strattec Security Corp.")</f>
        <v>0</v>
      </c>
      <c r="C2664" s="1" t="s">
        <v>3182</v>
      </c>
      <c r="D2664" s="3">
        <v>27.61</v>
      </c>
      <c r="E2664" s="4">
        <v>0</v>
      </c>
      <c r="F2664" s="4" t="s">
        <v>3178</v>
      </c>
      <c r="G2664" s="4" t="s">
        <v>3178</v>
      </c>
      <c r="H2664" s="3">
        <v>0</v>
      </c>
      <c r="I2664" s="5">
        <v>112.326067</v>
      </c>
      <c r="J2664" s="6">
        <v>28.15189641854636</v>
      </c>
      <c r="K2664" s="4">
        <v>0</v>
      </c>
      <c r="M2664" s="3">
        <v>30.34</v>
      </c>
      <c r="N2664" s="3">
        <v>16.06</v>
      </c>
    </row>
    <row r="2665" spans="1:14">
      <c r="A2665" s="8" t="s">
        <v>2677</v>
      </c>
      <c r="B2665" s="2">
        <f>HYPERLINK("https://www.suredividend.com/sure-analysis-STT/","State Street Corp.")</f>
        <v>0</v>
      </c>
      <c r="C2665" s="1" t="s">
        <v>3180</v>
      </c>
      <c r="D2665" s="3">
        <v>74.76000000000001</v>
      </c>
      <c r="E2665" s="4">
        <v>0.03691813804173354</v>
      </c>
      <c r="F2665" s="4">
        <v>0.09523809523809534</v>
      </c>
      <c r="G2665" s="4">
        <v>0.05820339229333826</v>
      </c>
      <c r="H2665" s="3">
        <v>2.664129970534965</v>
      </c>
      <c r="I2665" s="5">
        <v>22522.113271</v>
      </c>
      <c r="J2665" s="6">
        <v>13.14008942282381</v>
      </c>
      <c r="K2665" s="4">
        <v>0.4924454659029511</v>
      </c>
      <c r="L2665" s="7">
        <v>0.8726163734945611</v>
      </c>
      <c r="M2665" s="3">
        <v>79.18000000000001</v>
      </c>
      <c r="N2665" s="3">
        <v>61.67</v>
      </c>
    </row>
    <row r="2666" spans="1:14">
      <c r="A2666" s="8" t="s">
        <v>2678</v>
      </c>
      <c r="B2666" s="2">
        <f>HYPERLINK("https://www.suredividend.com/sure-analysis-STWD/","Starwood Property Trust Inc")</f>
        <v>0</v>
      </c>
      <c r="C2666" s="1" t="s">
        <v>3183</v>
      </c>
      <c r="D2666" s="3">
        <v>18.94</v>
      </c>
      <c r="E2666" s="4">
        <v>0.1013727560718057</v>
      </c>
      <c r="F2666" s="4">
        <v>0</v>
      </c>
      <c r="G2666" s="4">
        <v>0</v>
      </c>
      <c r="H2666" s="3">
        <v>1.854168236288957</v>
      </c>
      <c r="I2666" s="5">
        <v>5984.328708</v>
      </c>
      <c r="J2666" s="6">
        <v>13.7762692585533</v>
      </c>
      <c r="K2666" s="4">
        <v>1.353407471743764</v>
      </c>
      <c r="L2666" s="7">
        <v>1.280803906646488</v>
      </c>
      <c r="M2666" s="3">
        <v>21.29</v>
      </c>
      <c r="N2666" s="3">
        <v>16.3</v>
      </c>
    </row>
    <row r="2667" spans="1:14">
      <c r="A2667" s="8" t="s">
        <v>2679</v>
      </c>
      <c r="B2667" s="2">
        <f>HYPERLINK("https://www.suredividend.com/sure-analysis-research-database/","Seagate Technology Holdings Plc")</f>
        <v>0</v>
      </c>
      <c r="C2667" s="1" t="s">
        <v>3181</v>
      </c>
      <c r="D2667" s="3">
        <v>96.11</v>
      </c>
      <c r="E2667" s="4">
        <v>0.028394151646221</v>
      </c>
      <c r="F2667" s="4">
        <v>0</v>
      </c>
      <c r="G2667" s="4">
        <v>0.02129568760013512</v>
      </c>
      <c r="H2667" s="3">
        <v>2.728961914718322</v>
      </c>
      <c r="I2667" s="5">
        <v>20063.9236</v>
      </c>
      <c r="J2667" s="6" t="s">
        <v>3178</v>
      </c>
      <c r="K2667" s="4" t="s">
        <v>3178</v>
      </c>
      <c r="L2667" s="7">
        <v>1.137811759296383</v>
      </c>
      <c r="M2667" s="3">
        <v>99.63</v>
      </c>
      <c r="N2667" s="3">
        <v>54.29</v>
      </c>
    </row>
    <row r="2668" spans="1:14">
      <c r="A2668" s="8" t="s">
        <v>2680</v>
      </c>
      <c r="B2668" s="2">
        <f>HYPERLINK("https://www.suredividend.com/sure-analysis-research-database/","Spirit of Texas Bancshares Inc")</f>
        <v>0</v>
      </c>
      <c r="C2668" s="1" t="s">
        <v>3180</v>
      </c>
      <c r="D2668" s="3">
        <v>25.55</v>
      </c>
      <c r="E2668" s="4">
        <v>0</v>
      </c>
      <c r="F2668" s="4" t="s">
        <v>3178</v>
      </c>
      <c r="G2668" s="4" t="s">
        <v>3178</v>
      </c>
      <c r="H2668" s="3">
        <v>0.449999995529651</v>
      </c>
      <c r="I2668" s="5">
        <v>0</v>
      </c>
      <c r="J2668" s="6">
        <v>0</v>
      </c>
      <c r="K2668" s="4" t="s">
        <v>3178</v>
      </c>
    </row>
    <row r="2669" spans="1:14">
      <c r="A2669" s="8" t="s">
        <v>2681</v>
      </c>
      <c r="B2669" s="2">
        <f>HYPERLINK("https://www.suredividend.com/sure-analysis-STZ/","Constellation Brands Inc")</f>
        <v>0</v>
      </c>
      <c r="C2669" s="1" t="s">
        <v>3184</v>
      </c>
      <c r="D2669" s="3">
        <v>250.93</v>
      </c>
      <c r="E2669" s="4">
        <v>0.01610010759972901</v>
      </c>
      <c r="F2669" s="4" t="s">
        <v>3178</v>
      </c>
      <c r="G2669" s="4" t="s">
        <v>3178</v>
      </c>
      <c r="H2669" s="3">
        <v>3.659678375112973</v>
      </c>
      <c r="I2669" s="5">
        <v>45758.051831</v>
      </c>
      <c r="J2669" s="6">
        <v>26.48955183016673</v>
      </c>
      <c r="K2669" s="4">
        <v>0.3897421059758225</v>
      </c>
      <c r="L2669" s="7">
        <v>0.635576442091739</v>
      </c>
      <c r="M2669" s="3">
        <v>273.78</v>
      </c>
      <c r="N2669" s="3">
        <v>224.93</v>
      </c>
    </row>
    <row r="2670" spans="1:14">
      <c r="A2670" s="8" t="s">
        <v>2682</v>
      </c>
      <c r="B2670" s="2">
        <f>HYPERLINK("https://www.suredividend.com/sure-analysis-SUI/","Sun Communities, Inc.")</f>
        <v>0</v>
      </c>
      <c r="C2670" s="1" t="s">
        <v>3183</v>
      </c>
      <c r="D2670" s="3">
        <v>115.51</v>
      </c>
      <c r="E2670" s="4">
        <v>0.03255129426023721</v>
      </c>
      <c r="F2670" s="4">
        <v>0.010752688172043</v>
      </c>
      <c r="G2670" s="4">
        <v>0.04619663311658995</v>
      </c>
      <c r="H2670" s="3">
        <v>3.689126509263229</v>
      </c>
      <c r="I2670" s="5">
        <v>14396.493439</v>
      </c>
      <c r="J2670" s="6" t="s">
        <v>3178</v>
      </c>
      <c r="K2670" s="4" t="s">
        <v>3178</v>
      </c>
      <c r="L2670" s="7">
        <v>0.8415933089622141</v>
      </c>
      <c r="M2670" s="3">
        <v>138.4</v>
      </c>
      <c r="N2670" s="3">
        <v>101.26</v>
      </c>
    </row>
    <row r="2671" spans="1:14">
      <c r="A2671" s="8" t="s">
        <v>2683</v>
      </c>
      <c r="B2671" s="2">
        <f>HYPERLINK("https://www.suredividend.com/sure-analysis-research-database/","Summit Materials Inc")</f>
        <v>0</v>
      </c>
      <c r="C2671" s="1" t="s">
        <v>3177</v>
      </c>
      <c r="D2671" s="3">
        <v>37.72</v>
      </c>
      <c r="E2671" s="4">
        <v>0</v>
      </c>
      <c r="F2671" s="4" t="s">
        <v>3178</v>
      </c>
      <c r="G2671" s="4" t="s">
        <v>3178</v>
      </c>
      <c r="H2671" s="3">
        <v>0</v>
      </c>
      <c r="I2671" s="5">
        <v>6619.86</v>
      </c>
      <c r="J2671" s="6">
        <v>26.50127705229109</v>
      </c>
      <c r="K2671" s="4">
        <v>0</v>
      </c>
      <c r="L2671" s="7">
        <v>1.300973223394208</v>
      </c>
      <c r="M2671" s="3">
        <v>44.89</v>
      </c>
      <c r="N2671" s="3">
        <v>29.98</v>
      </c>
    </row>
    <row r="2672" spans="1:14">
      <c r="A2672" s="8" t="s">
        <v>2684</v>
      </c>
      <c r="B2672" s="2">
        <f>HYPERLINK("https://www.suredividend.com/sure-analysis-research-database/","Summer Infant Inc")</f>
        <v>0</v>
      </c>
      <c r="C2672" s="1" t="s">
        <v>3184</v>
      </c>
      <c r="D2672" s="3">
        <v>11.99</v>
      </c>
      <c r="E2672" s="4">
        <v>0</v>
      </c>
      <c r="F2672" s="4" t="s">
        <v>3178</v>
      </c>
      <c r="G2672" s="4" t="s">
        <v>3178</v>
      </c>
      <c r="H2672" s="3">
        <v>0</v>
      </c>
      <c r="I2672" s="5">
        <v>0</v>
      </c>
      <c r="J2672" s="6">
        <v>0</v>
      </c>
      <c r="K2672" s="4">
        <v>-0</v>
      </c>
    </row>
    <row r="2673" spans="1:14">
      <c r="A2673" s="8" t="s">
        <v>2685</v>
      </c>
      <c r="B2673" s="2">
        <f>HYPERLINK("https://www.suredividend.com/sure-analysis-research-database/","Sunworks Inc")</f>
        <v>0</v>
      </c>
      <c r="C2673" s="1" t="s">
        <v>3181</v>
      </c>
      <c r="D2673" s="3">
        <v>0.06</v>
      </c>
      <c r="E2673" s="4">
        <v>0</v>
      </c>
      <c r="F2673" s="4" t="s">
        <v>3178</v>
      </c>
      <c r="G2673" s="4" t="s">
        <v>3178</v>
      </c>
      <c r="H2673" s="3">
        <v>0</v>
      </c>
      <c r="I2673" s="5">
        <v>0</v>
      </c>
      <c r="J2673" s="6">
        <v>0</v>
      </c>
      <c r="K2673" s="4" t="s">
        <v>3178</v>
      </c>
    </row>
    <row r="2674" spans="1:14">
      <c r="A2674" s="8" t="s">
        <v>2686</v>
      </c>
      <c r="B2674" s="2">
        <f>HYPERLINK("https://www.suredividend.com/sure-analysis-research-database/","Superior Industries International, Inc.")</f>
        <v>0</v>
      </c>
      <c r="C2674" s="1" t="s">
        <v>3182</v>
      </c>
      <c r="D2674" s="3">
        <v>3.41</v>
      </c>
      <c r="E2674" s="4">
        <v>0</v>
      </c>
      <c r="F2674" s="4" t="s">
        <v>3178</v>
      </c>
      <c r="G2674" s="4" t="s">
        <v>3178</v>
      </c>
      <c r="H2674" s="3">
        <v>0</v>
      </c>
      <c r="I2674" s="5">
        <v>97.526518</v>
      </c>
      <c r="J2674" s="6" t="s">
        <v>3178</v>
      </c>
      <c r="K2674" s="4">
        <v>-0</v>
      </c>
      <c r="L2674" s="7">
        <v>1.186207217995351</v>
      </c>
      <c r="M2674" s="3">
        <v>4.57</v>
      </c>
      <c r="N2674" s="3">
        <v>2.49</v>
      </c>
    </row>
    <row r="2675" spans="1:14">
      <c r="A2675" s="8" t="s">
        <v>2687</v>
      </c>
      <c r="B2675" s="2">
        <f>HYPERLINK("https://www.suredividend.com/sure-analysis-research-database/","Supernus Pharmaceuticals Inc")</f>
        <v>0</v>
      </c>
      <c r="C2675" s="1" t="s">
        <v>3176</v>
      </c>
      <c r="D2675" s="3">
        <v>26.26</v>
      </c>
      <c r="E2675" s="4">
        <v>0</v>
      </c>
      <c r="F2675" s="4" t="s">
        <v>3178</v>
      </c>
      <c r="G2675" s="4" t="s">
        <v>3178</v>
      </c>
      <c r="H2675" s="3">
        <v>0</v>
      </c>
      <c r="I2675" s="5">
        <v>1443.62391</v>
      </c>
      <c r="J2675" s="6" t="s">
        <v>3178</v>
      </c>
      <c r="K2675" s="4">
        <v>-0</v>
      </c>
      <c r="L2675" s="7">
        <v>0.844087184298804</v>
      </c>
      <c r="M2675" s="3">
        <v>35.44</v>
      </c>
      <c r="N2675" s="3">
        <v>21.99</v>
      </c>
    </row>
    <row r="2676" spans="1:14">
      <c r="A2676" s="8" t="s">
        <v>2688</v>
      </c>
      <c r="B2676" s="2">
        <f>HYPERLINK("https://www.suredividend.com/sure-analysis-research-database/","Severn Bancorp Inc")</f>
        <v>0</v>
      </c>
      <c r="C2676" s="1" t="s">
        <v>3180</v>
      </c>
      <c r="D2676" s="3">
        <v>13.63</v>
      </c>
      <c r="E2676" s="4">
        <v>0</v>
      </c>
      <c r="F2676" s="4" t="s">
        <v>3178</v>
      </c>
      <c r="G2676" s="4" t="s">
        <v>3178</v>
      </c>
      <c r="H2676" s="3">
        <v>0.190000001341104</v>
      </c>
      <c r="I2676" s="5">
        <v>0</v>
      </c>
      <c r="J2676" s="6">
        <v>0</v>
      </c>
      <c r="K2676" s="4" t="s">
        <v>3178</v>
      </c>
    </row>
    <row r="2677" spans="1:14">
      <c r="A2677" s="8" t="s">
        <v>2689</v>
      </c>
      <c r="B2677" s="2">
        <f>HYPERLINK("https://www.suredividend.com/sure-analysis-research-database/","Savara Inc")</f>
        <v>0</v>
      </c>
      <c r="C2677" s="1" t="s">
        <v>3176</v>
      </c>
      <c r="D2677" s="3">
        <v>3.96</v>
      </c>
      <c r="E2677" s="4">
        <v>0</v>
      </c>
      <c r="F2677" s="4" t="s">
        <v>3178</v>
      </c>
      <c r="G2677" s="4" t="s">
        <v>3178</v>
      </c>
      <c r="H2677" s="3">
        <v>0</v>
      </c>
      <c r="I2677" s="5">
        <v>547.228008</v>
      </c>
      <c r="J2677" s="6">
        <v>0</v>
      </c>
      <c r="K2677" s="4" t="s">
        <v>3178</v>
      </c>
      <c r="L2677" s="7">
        <v>1.618094947562977</v>
      </c>
      <c r="M2677" s="3">
        <v>5.7</v>
      </c>
      <c r="N2677" s="3">
        <v>2.6</v>
      </c>
    </row>
    <row r="2678" spans="1:14">
      <c r="A2678" s="8" t="s">
        <v>2690</v>
      </c>
      <c r="B2678" s="2">
        <f>HYPERLINK("https://www.suredividend.com/sure-analysis-research-database/","Servotronics, Inc.")</f>
        <v>0</v>
      </c>
      <c r="C2678" s="1" t="s">
        <v>3179</v>
      </c>
      <c r="D2678" s="3">
        <v>12.08</v>
      </c>
      <c r="E2678" s="4">
        <v>0</v>
      </c>
      <c r="F2678" s="4" t="s">
        <v>3178</v>
      </c>
      <c r="G2678" s="4" t="s">
        <v>3178</v>
      </c>
      <c r="H2678" s="3">
        <v>0</v>
      </c>
      <c r="I2678" s="5">
        <v>30.78797</v>
      </c>
      <c r="J2678" s="6">
        <v>0</v>
      </c>
      <c r="K2678" s="4" t="s">
        <v>3178</v>
      </c>
      <c r="M2678" s="3">
        <v>14.32</v>
      </c>
      <c r="N2678" s="3">
        <v>8.800000000000001</v>
      </c>
    </row>
    <row r="2679" spans="1:14">
      <c r="A2679" s="8" t="s">
        <v>2691</v>
      </c>
      <c r="B2679" s="2">
        <f>HYPERLINK("https://www.suredividend.com/sure-analysis-research-database/","Shockwave Medical Inc.")</f>
        <v>0</v>
      </c>
      <c r="C2679" s="1" t="s">
        <v>3176</v>
      </c>
      <c r="D2679" s="3">
        <v>334.75</v>
      </c>
      <c r="E2679" s="4">
        <v>0</v>
      </c>
      <c r="F2679" s="4" t="s">
        <v>3178</v>
      </c>
      <c r="G2679" s="4" t="s">
        <v>3178</v>
      </c>
      <c r="H2679" s="3">
        <v>0</v>
      </c>
      <c r="I2679" s="5">
        <v>0</v>
      </c>
      <c r="J2679" s="6">
        <v>0</v>
      </c>
      <c r="K2679" s="4">
        <v>0</v>
      </c>
    </row>
    <row r="2680" spans="1:14">
      <c r="A2680" s="8" t="s">
        <v>2692</v>
      </c>
      <c r="B2680" s="2">
        <f>HYPERLINK("https://www.suredividend.com/sure-analysis-research-database/","Switch Inc")</f>
        <v>0</v>
      </c>
      <c r="C2680" s="1" t="s">
        <v>3181</v>
      </c>
      <c r="D2680" s="3">
        <v>34.25</v>
      </c>
      <c r="E2680" s="4">
        <v>0.006117164365275001</v>
      </c>
      <c r="F2680" s="4" t="s">
        <v>3178</v>
      </c>
      <c r="G2680" s="4" t="s">
        <v>3178</v>
      </c>
      <c r="H2680" s="3">
        <v>0.209512879510669</v>
      </c>
      <c r="I2680" s="5">
        <v>5409.893572</v>
      </c>
      <c r="J2680" s="6">
        <v>14.26847836542266</v>
      </c>
      <c r="K2680" s="4">
        <v>0.08314003155185279</v>
      </c>
      <c r="L2680" s="7">
        <v>0.384343505241152</v>
      </c>
      <c r="M2680" s="3">
        <v>34.26</v>
      </c>
      <c r="N2680" s="3">
        <v>22.88</v>
      </c>
    </row>
    <row r="2681" spans="1:14">
      <c r="A2681" s="8" t="s">
        <v>2693</v>
      </c>
      <c r="B2681" s="2">
        <f>HYPERLINK("https://www.suredividend.com/sure-analysis-SWK/","Stanley Black &amp; Decker Inc")</f>
        <v>0</v>
      </c>
      <c r="C2681" s="1" t="s">
        <v>3179</v>
      </c>
      <c r="D2681" s="3">
        <v>82.45999999999999</v>
      </c>
      <c r="E2681" s="4">
        <v>0.03929177783167597</v>
      </c>
      <c r="F2681" s="4">
        <v>0.01249999999999996</v>
      </c>
      <c r="G2681" s="4">
        <v>0.03258826616987553</v>
      </c>
      <c r="H2681" s="3">
        <v>3.195899940713854</v>
      </c>
      <c r="I2681" s="5">
        <v>12688.840818</v>
      </c>
      <c r="J2681" s="6" t="s">
        <v>3178</v>
      </c>
      <c r="K2681" s="4" t="s">
        <v>3178</v>
      </c>
      <c r="L2681" s="7">
        <v>1.261104383078801</v>
      </c>
      <c r="M2681" s="3">
        <v>101.05</v>
      </c>
      <c r="N2681" s="3">
        <v>74.20999999999999</v>
      </c>
    </row>
    <row r="2682" spans="1:14">
      <c r="A2682" s="8" t="s">
        <v>2694</v>
      </c>
      <c r="B2682" s="2">
        <f>HYPERLINK("https://www.suredividend.com/sure-analysis-SWKS/","Skyworks Solutions, Inc.")</f>
        <v>0</v>
      </c>
      <c r="C2682" s="1" t="s">
        <v>3181</v>
      </c>
      <c r="D2682" s="3">
        <v>90.81</v>
      </c>
      <c r="E2682" s="4">
        <v>0.02995264838674155</v>
      </c>
      <c r="F2682" s="4">
        <v>0.09677419354838723</v>
      </c>
      <c r="G2682" s="4">
        <v>0.09096607850144967</v>
      </c>
      <c r="H2682" s="3">
        <v>2.66374823251001</v>
      </c>
      <c r="I2682" s="5">
        <v>14570.155928</v>
      </c>
      <c r="J2682" s="6">
        <v>17.03713274978952</v>
      </c>
      <c r="K2682" s="4">
        <v>0.5007045549830845</v>
      </c>
      <c r="L2682" s="7">
        <v>1.527319307288307</v>
      </c>
      <c r="M2682" s="3">
        <v>112</v>
      </c>
      <c r="N2682" s="3">
        <v>81.56</v>
      </c>
    </row>
    <row r="2683" spans="1:14">
      <c r="A2683" s="8" t="s">
        <v>2695</v>
      </c>
      <c r="B2683" s="2">
        <f>HYPERLINK("https://www.suredividend.com/sure-analysis-research-database/","Southwestern Energy Company")</f>
        <v>0</v>
      </c>
      <c r="C2683" s="1" t="s">
        <v>3185</v>
      </c>
      <c r="D2683" s="3">
        <v>7.23</v>
      </c>
      <c r="E2683" s="4">
        <v>0</v>
      </c>
      <c r="F2683" s="4" t="s">
        <v>3178</v>
      </c>
      <c r="G2683" s="4" t="s">
        <v>3178</v>
      </c>
      <c r="H2683" s="3">
        <v>0</v>
      </c>
      <c r="I2683" s="5">
        <v>7973.56867</v>
      </c>
      <c r="J2683" s="6" t="s">
        <v>3178</v>
      </c>
      <c r="K2683" s="4">
        <v>-0</v>
      </c>
      <c r="L2683" s="7">
        <v>0.791781300226546</v>
      </c>
      <c r="M2683" s="3">
        <v>7.8</v>
      </c>
      <c r="N2683" s="3">
        <v>5.13</v>
      </c>
    </row>
    <row r="2684" spans="1:14">
      <c r="A2684" s="8" t="s">
        <v>2696</v>
      </c>
      <c r="B2684" s="2">
        <f>HYPERLINK("https://www.suredividend.com/sure-analysis-SWX/","Southwest Gas Holdings Inc")</f>
        <v>0</v>
      </c>
      <c r="C2684" s="1" t="s">
        <v>3186</v>
      </c>
      <c r="D2684" s="3">
        <v>74.09</v>
      </c>
      <c r="E2684" s="4">
        <v>0.03347280334728033</v>
      </c>
      <c r="F2684" s="4">
        <v>0</v>
      </c>
      <c r="G2684" s="4">
        <v>0.02612209092834372</v>
      </c>
      <c r="H2684" s="3">
        <v>2.445308329456413</v>
      </c>
      <c r="I2684" s="5">
        <v>5309.966583</v>
      </c>
      <c r="J2684" s="6">
        <v>27.55346798432919</v>
      </c>
      <c r="K2684" s="4">
        <v>0.9124284811404526</v>
      </c>
      <c r="L2684" s="7">
        <v>0.6963549376497481</v>
      </c>
      <c r="M2684" s="3">
        <v>78.47</v>
      </c>
      <c r="N2684" s="3">
        <v>54.54</v>
      </c>
    </row>
    <row r="2685" spans="1:14">
      <c r="A2685" s="8" t="s">
        <v>2697</v>
      </c>
      <c r="B2685" s="2">
        <f>HYPERLINK("https://www.suredividend.com/sure-analysis-research-database/","SunCoke Energy Inc")</f>
        <v>0</v>
      </c>
      <c r="C2685" s="1" t="s">
        <v>3177</v>
      </c>
      <c r="D2685" s="3">
        <v>9.75</v>
      </c>
      <c r="E2685" s="4">
        <v>0.040427953307099</v>
      </c>
      <c r="F2685" s="4" t="s">
        <v>3178</v>
      </c>
      <c r="G2685" s="4" t="s">
        <v>3178</v>
      </c>
      <c r="H2685" s="3">
        <v>0.394172544744221</v>
      </c>
      <c r="I2685" s="5">
        <v>819.735969</v>
      </c>
      <c r="J2685" s="6">
        <v>13.39437857843137</v>
      </c>
      <c r="K2685" s="4">
        <v>0.547461867700307</v>
      </c>
      <c r="L2685" s="7">
        <v>0.9540835292005571</v>
      </c>
      <c r="M2685" s="3">
        <v>11.36</v>
      </c>
      <c r="N2685" s="3">
        <v>7.07</v>
      </c>
    </row>
    <row r="2686" spans="1:14">
      <c r="A2686" s="8" t="s">
        <v>2698</v>
      </c>
      <c r="B2686" s="2">
        <f>HYPERLINK("https://www.suredividend.com/sure-analysis-SXI/","Standex International Corp.")</f>
        <v>0</v>
      </c>
      <c r="C2686" s="1" t="s">
        <v>3179</v>
      </c>
      <c r="D2686" s="3">
        <v>161.27</v>
      </c>
      <c r="E2686" s="4">
        <v>0.007440937558132324</v>
      </c>
      <c r="F2686" s="4">
        <v>0.0714285714285714</v>
      </c>
      <c r="G2686" s="4">
        <v>0.08447177119769855</v>
      </c>
      <c r="H2686" s="3">
        <v>1.177354836947785</v>
      </c>
      <c r="I2686" s="5">
        <v>1894.114699</v>
      </c>
      <c r="J2686" s="6">
        <v>25.71708437747787</v>
      </c>
      <c r="K2686" s="4">
        <v>0.1914398108858187</v>
      </c>
      <c r="L2686" s="7">
        <v>0.9667768470595201</v>
      </c>
      <c r="M2686" s="3">
        <v>183.86</v>
      </c>
      <c r="N2686" s="3">
        <v>129.56</v>
      </c>
    </row>
    <row r="2687" spans="1:14">
      <c r="A2687" s="8" t="s">
        <v>2699</v>
      </c>
      <c r="B2687" s="2">
        <f>HYPERLINK("https://www.suredividend.com/sure-analysis-SXT/","Sensient Technologies Corp.")</f>
        <v>0</v>
      </c>
      <c r="C2687" s="1" t="s">
        <v>3177</v>
      </c>
      <c r="D2687" s="3">
        <v>76.09999999999999</v>
      </c>
      <c r="E2687" s="4">
        <v>0.02155059132720105</v>
      </c>
      <c r="F2687" s="4">
        <v>0</v>
      </c>
      <c r="G2687" s="4">
        <v>0.02635185407071083</v>
      </c>
      <c r="H2687" s="3">
        <v>1.625023060212611</v>
      </c>
      <c r="I2687" s="5">
        <v>3223.96927</v>
      </c>
      <c r="J2687" s="6">
        <v>35.55207999845616</v>
      </c>
      <c r="K2687" s="4">
        <v>0.7558246791686564</v>
      </c>
      <c r="L2687" s="7">
        <v>0.7587202663018101</v>
      </c>
      <c r="M2687" s="3">
        <v>78</v>
      </c>
      <c r="N2687" s="3">
        <v>51.89</v>
      </c>
    </row>
    <row r="2688" spans="1:14">
      <c r="A2688" s="8" t="s">
        <v>2700</v>
      </c>
      <c r="B2688" s="2">
        <f>HYPERLINK("https://www.suredividend.com/sure-analysis-SYBT/","Stock Yards Bancorp Inc")</f>
        <v>0</v>
      </c>
      <c r="C2688" s="1" t="s">
        <v>3180</v>
      </c>
      <c r="D2688" s="3">
        <v>45.96</v>
      </c>
      <c r="E2688" s="4">
        <v>0.02610966057441253</v>
      </c>
      <c r="F2688" s="4">
        <v>0.03448275862068995</v>
      </c>
      <c r="G2688" s="4">
        <v>0.02903366107118788</v>
      </c>
      <c r="H2688" s="3">
        <v>1.167208793744815</v>
      </c>
      <c r="I2688" s="5">
        <v>1350.812934</v>
      </c>
      <c r="J2688" s="6">
        <v>12.91568678478205</v>
      </c>
      <c r="K2688" s="4">
        <v>0.3278676386923637</v>
      </c>
      <c r="L2688" s="7">
        <v>1.111087516647466</v>
      </c>
      <c r="M2688" s="3">
        <v>52.42</v>
      </c>
      <c r="N2688" s="3">
        <v>36</v>
      </c>
    </row>
    <row r="2689" spans="1:14">
      <c r="A2689" s="8" t="s">
        <v>2701</v>
      </c>
      <c r="B2689" s="2">
        <f>HYPERLINK("https://www.suredividend.com/sure-analysis-research-database/","Synlogic Inc")</f>
        <v>0</v>
      </c>
      <c r="C2689" s="1" t="s">
        <v>3176</v>
      </c>
      <c r="D2689" s="3">
        <v>1.58</v>
      </c>
      <c r="E2689" s="4">
        <v>0</v>
      </c>
      <c r="F2689" s="4" t="s">
        <v>3178</v>
      </c>
      <c r="G2689" s="4" t="s">
        <v>3178</v>
      </c>
      <c r="H2689" s="3">
        <v>0</v>
      </c>
      <c r="I2689" s="5">
        <v>18.497077</v>
      </c>
      <c r="J2689" s="6" t="s">
        <v>3178</v>
      </c>
      <c r="K2689" s="4">
        <v>-0</v>
      </c>
      <c r="L2689" s="7">
        <v>0.684470796256465</v>
      </c>
      <c r="M2689" s="3">
        <v>8.92</v>
      </c>
      <c r="N2689" s="3">
        <v>1.54</v>
      </c>
    </row>
    <row r="2690" spans="1:14">
      <c r="A2690" s="8" t="s">
        <v>2702</v>
      </c>
      <c r="B2690" s="2">
        <f>HYPERLINK("https://www.suredividend.com/sure-analysis-SYF/","Synchrony Financial")</f>
        <v>0</v>
      </c>
      <c r="C2690" s="1" t="s">
        <v>3180</v>
      </c>
      <c r="D2690" s="3">
        <v>43.7</v>
      </c>
      <c r="E2690" s="4">
        <v>0.02288329519450801</v>
      </c>
      <c r="F2690" s="4">
        <v>0.08695652173913038</v>
      </c>
      <c r="G2690" s="4">
        <v>0.02589630491023409</v>
      </c>
      <c r="H2690" s="3">
        <v>0.990457085104099</v>
      </c>
      <c r="I2690" s="5">
        <v>17547.459035</v>
      </c>
      <c r="J2690" s="6">
        <v>6.075989970394737</v>
      </c>
      <c r="K2690" s="4">
        <v>0.1427171592369019</v>
      </c>
      <c r="L2690" s="7">
        <v>0.990289143008069</v>
      </c>
      <c r="M2690" s="3">
        <v>46.72</v>
      </c>
      <c r="N2690" s="3">
        <v>26.73</v>
      </c>
    </row>
    <row r="2691" spans="1:14">
      <c r="A2691" s="8" t="s">
        <v>2703</v>
      </c>
      <c r="B2691" s="2">
        <f>HYPERLINK("https://www.suredividend.com/sure-analysis-SYK/","Stryker Corp.")</f>
        <v>0</v>
      </c>
      <c r="C2691" s="1" t="s">
        <v>3176</v>
      </c>
      <c r="D2691" s="3">
        <v>349.33</v>
      </c>
      <c r="E2691" s="4">
        <v>0.009160392751839237</v>
      </c>
      <c r="F2691" s="4">
        <v>0.06666666666666665</v>
      </c>
      <c r="G2691" s="4">
        <v>0.08997698704834534</v>
      </c>
      <c r="H2691" s="3">
        <v>3.088644410982694</v>
      </c>
      <c r="I2691" s="5">
        <v>133077.185949</v>
      </c>
      <c r="J2691" s="6">
        <v>39.59452125817912</v>
      </c>
      <c r="K2691" s="4">
        <v>0.3529879326837365</v>
      </c>
      <c r="L2691" s="7">
        <v>0.736012037747875</v>
      </c>
      <c r="M2691" s="3">
        <v>360.58</v>
      </c>
      <c r="N2691" s="3">
        <v>248.74</v>
      </c>
    </row>
    <row r="2692" spans="1:14">
      <c r="A2692" s="8" t="s">
        <v>2704</v>
      </c>
      <c r="B2692" s="2">
        <f>HYPERLINK("https://www.suredividend.com/sure-analysis-research-database/","Sykes Enterprises, Inc.")</f>
        <v>0</v>
      </c>
      <c r="C2692" s="1" t="s">
        <v>3181</v>
      </c>
      <c r="D2692" s="3">
        <v>54</v>
      </c>
      <c r="E2692" s="4">
        <v>0</v>
      </c>
      <c r="F2692" s="4" t="s">
        <v>3178</v>
      </c>
      <c r="G2692" s="4" t="s">
        <v>3178</v>
      </c>
      <c r="H2692" s="3">
        <v>0</v>
      </c>
      <c r="I2692" s="5">
        <v>0</v>
      </c>
      <c r="J2692" s="6">
        <v>0</v>
      </c>
      <c r="K2692" s="4">
        <v>0</v>
      </c>
    </row>
    <row r="2693" spans="1:14">
      <c r="A2693" s="8" t="s">
        <v>2705</v>
      </c>
      <c r="B2693" s="2">
        <f>HYPERLINK("https://www.suredividend.com/sure-analysis-research-database/","Synaptics Inc")</f>
        <v>0</v>
      </c>
      <c r="C2693" s="1" t="s">
        <v>3181</v>
      </c>
      <c r="D2693" s="3">
        <v>92.12</v>
      </c>
      <c r="E2693" s="4">
        <v>0</v>
      </c>
      <c r="F2693" s="4" t="s">
        <v>3178</v>
      </c>
      <c r="G2693" s="4" t="s">
        <v>3178</v>
      </c>
      <c r="H2693" s="3">
        <v>0</v>
      </c>
      <c r="I2693" s="5">
        <v>3638.74</v>
      </c>
      <c r="J2693" s="6" t="s">
        <v>3178</v>
      </c>
      <c r="K2693" s="4">
        <v>-0</v>
      </c>
      <c r="L2693" s="7">
        <v>1.891435813778363</v>
      </c>
      <c r="M2693" s="3">
        <v>121.37</v>
      </c>
      <c r="N2693" s="3">
        <v>73.38</v>
      </c>
    </row>
    <row r="2694" spans="1:14">
      <c r="A2694" s="8" t="s">
        <v>2706</v>
      </c>
      <c r="B2694" s="2">
        <f>HYPERLINK("https://www.suredividend.com/sure-analysis-research-database/","Synacor Inc")</f>
        <v>0</v>
      </c>
      <c r="C2694" s="1" t="s">
        <v>3181</v>
      </c>
      <c r="D2694" s="3">
        <v>2.19</v>
      </c>
      <c r="E2694" s="4">
        <v>0</v>
      </c>
      <c r="F2694" s="4" t="s">
        <v>3178</v>
      </c>
      <c r="G2694" s="4" t="s">
        <v>3178</v>
      </c>
      <c r="H2694" s="3">
        <v>0</v>
      </c>
      <c r="I2694" s="5">
        <v>0</v>
      </c>
      <c r="J2694" s="6">
        <v>0</v>
      </c>
      <c r="K2694" s="4" t="s">
        <v>3178</v>
      </c>
    </row>
    <row r="2695" spans="1:14">
      <c r="A2695" s="8" t="s">
        <v>2707</v>
      </c>
      <c r="B2695" s="2">
        <f>HYPERLINK("https://www.suredividend.com/sure-analysis-research-database/","Syneos Health Inc")</f>
        <v>0</v>
      </c>
      <c r="C2695" s="1" t="s">
        <v>3176</v>
      </c>
      <c r="D2695" s="3">
        <v>42.98</v>
      </c>
      <c r="E2695" s="4">
        <v>0</v>
      </c>
      <c r="F2695" s="4" t="s">
        <v>3178</v>
      </c>
      <c r="G2695" s="4" t="s">
        <v>3178</v>
      </c>
      <c r="H2695" s="3">
        <v>0</v>
      </c>
      <c r="I2695" s="5">
        <v>0</v>
      </c>
      <c r="J2695" s="6">
        <v>0</v>
      </c>
      <c r="K2695" s="4">
        <v>0</v>
      </c>
    </row>
    <row r="2696" spans="1:14">
      <c r="A2696" s="8" t="s">
        <v>2708</v>
      </c>
      <c r="B2696" s="2">
        <f>HYPERLINK("https://www.suredividend.com/sure-analysis-research-database/","Synalloy Corp.")</f>
        <v>0</v>
      </c>
      <c r="C2696" s="1" t="s">
        <v>3177</v>
      </c>
      <c r="D2696" s="3">
        <v>13.28</v>
      </c>
      <c r="E2696" s="4">
        <v>0</v>
      </c>
      <c r="F2696" s="4" t="s">
        <v>3178</v>
      </c>
      <c r="G2696" s="4" t="s">
        <v>3178</v>
      </c>
      <c r="H2696" s="3">
        <v>0</v>
      </c>
      <c r="I2696" s="5">
        <v>135.987173</v>
      </c>
      <c r="J2696" s="6">
        <v>4.623684112746932</v>
      </c>
      <c r="K2696" s="4">
        <v>0</v>
      </c>
      <c r="L2696" s="7">
        <v>0.654915294259222</v>
      </c>
      <c r="M2696" s="3">
        <v>19.2</v>
      </c>
      <c r="N2696" s="3">
        <v>10.16</v>
      </c>
    </row>
    <row r="2697" spans="1:14">
      <c r="A2697" s="8" t="s">
        <v>2709</v>
      </c>
      <c r="B2697" s="2">
        <f>HYPERLINK("https://www.suredividend.com/sure-analysis-research-database/","Sypris Solutions, Inc.")</f>
        <v>0</v>
      </c>
      <c r="C2697" s="1" t="s">
        <v>3182</v>
      </c>
      <c r="D2697" s="3">
        <v>1.68</v>
      </c>
      <c r="E2697" s="4">
        <v>0</v>
      </c>
      <c r="F2697" s="4" t="s">
        <v>3178</v>
      </c>
      <c r="G2697" s="4" t="s">
        <v>3178</v>
      </c>
      <c r="H2697" s="3">
        <v>0</v>
      </c>
      <c r="I2697" s="5">
        <v>38.260535</v>
      </c>
      <c r="J2697" s="6" t="s">
        <v>3178</v>
      </c>
      <c r="K2697" s="4">
        <v>-0</v>
      </c>
      <c r="L2697" s="7">
        <v>0.212484286797905</v>
      </c>
      <c r="M2697" s="3">
        <v>2.3</v>
      </c>
      <c r="N2697" s="3">
        <v>1.27</v>
      </c>
    </row>
    <row r="2698" spans="1:14">
      <c r="A2698" s="8" t="s">
        <v>2710</v>
      </c>
      <c r="B2698" s="2">
        <f>HYPERLINK("https://www.suredividend.com/sure-analysis-research-database/","Syros Pharmaceuticals Inc.")</f>
        <v>0</v>
      </c>
      <c r="C2698" s="1" t="s">
        <v>3176</v>
      </c>
      <c r="D2698" s="3">
        <v>5.15</v>
      </c>
      <c r="E2698" s="4">
        <v>0</v>
      </c>
      <c r="F2698" s="4" t="s">
        <v>3178</v>
      </c>
      <c r="G2698" s="4" t="s">
        <v>3178</v>
      </c>
      <c r="H2698" s="3">
        <v>0</v>
      </c>
      <c r="I2698" s="5">
        <v>32.447724</v>
      </c>
      <c r="J2698" s="6" t="s">
        <v>3178</v>
      </c>
      <c r="K2698" s="4">
        <v>-0</v>
      </c>
      <c r="L2698" s="7">
        <v>0.768946233095943</v>
      </c>
      <c r="M2698" s="3">
        <v>8.17</v>
      </c>
      <c r="N2698" s="3">
        <v>2.09</v>
      </c>
    </row>
    <row r="2699" spans="1:14">
      <c r="A2699" s="8" t="s">
        <v>2711</v>
      </c>
      <c r="B2699" s="2">
        <f>HYPERLINK("https://www.suredividend.com/sure-analysis-SYY/","Sysco Corp.")</f>
        <v>0</v>
      </c>
      <c r="C2699" s="1" t="s">
        <v>3184</v>
      </c>
      <c r="D2699" s="3">
        <v>72.66</v>
      </c>
      <c r="E2699" s="4">
        <v>0.02780071566198734</v>
      </c>
      <c r="F2699" s="4">
        <v>0.02040816326530615</v>
      </c>
      <c r="G2699" s="4">
        <v>0.0509476404473832</v>
      </c>
      <c r="H2699" s="3">
        <v>1.980195051197273</v>
      </c>
      <c r="I2699" s="5">
        <v>36183.40736</v>
      </c>
      <c r="J2699" s="6">
        <v>17.42050889291488</v>
      </c>
      <c r="K2699" s="4">
        <v>0.4817992825297501</v>
      </c>
      <c r="L2699" s="7">
        <v>0.5096858105016401</v>
      </c>
      <c r="M2699" s="3">
        <v>82.37</v>
      </c>
      <c r="N2699" s="3">
        <v>61.43</v>
      </c>
    </row>
    <row r="2700" spans="1:14">
      <c r="A2700" s="8" t="s">
        <v>2712</v>
      </c>
      <c r="B2700" s="2">
        <f>HYPERLINK("https://www.suredividend.com/sure-analysis-T/","AT&amp;T, Inc.")</f>
        <v>0</v>
      </c>
      <c r="C2700" s="1" t="s">
        <v>3187</v>
      </c>
      <c r="D2700" s="3">
        <v>18.1</v>
      </c>
      <c r="E2700" s="4">
        <v>0.06132596685082873</v>
      </c>
      <c r="F2700" s="4">
        <v>0</v>
      </c>
      <c r="G2700" s="4">
        <v>-0.1146019477205045</v>
      </c>
      <c r="H2700" s="3">
        <v>1.082831594100797</v>
      </c>
      <c r="I2700" s="5">
        <v>129053</v>
      </c>
      <c r="J2700" s="6">
        <v>9.677129847319366</v>
      </c>
      <c r="K2700" s="4">
        <v>0.5790543283961481</v>
      </c>
      <c r="L2700" s="7">
        <v>0.25961635691914</v>
      </c>
      <c r="M2700" s="3">
        <v>18.45</v>
      </c>
      <c r="N2700" s="3">
        <v>12.76</v>
      </c>
    </row>
    <row r="2701" spans="1:14">
      <c r="A2701" s="8" t="s">
        <v>2713</v>
      </c>
      <c r="B2701" s="2">
        <f>HYPERLINK("https://www.suredividend.com/sure-analysis-research-database/","Del Taco Restaurants Inc")</f>
        <v>0</v>
      </c>
      <c r="C2701" s="1" t="s">
        <v>3182</v>
      </c>
      <c r="D2701" s="3">
        <v>12.51</v>
      </c>
      <c r="E2701" s="4">
        <v>0</v>
      </c>
      <c r="F2701" s="4" t="s">
        <v>3178</v>
      </c>
      <c r="G2701" s="4" t="s">
        <v>3178</v>
      </c>
      <c r="H2701" s="3">
        <v>0.159999996423721</v>
      </c>
      <c r="I2701" s="5">
        <v>0</v>
      </c>
      <c r="J2701" s="6">
        <v>0</v>
      </c>
      <c r="K2701" s="4">
        <v>0.2969010881865299</v>
      </c>
    </row>
    <row r="2702" spans="1:14">
      <c r="A2702" s="8" t="s">
        <v>2714</v>
      </c>
      <c r="B2702" s="2">
        <f>HYPERLINK("https://www.suredividend.com/sure-analysis-research-database/","Transact Technologies Inc.")</f>
        <v>0</v>
      </c>
      <c r="C2702" s="1" t="s">
        <v>3181</v>
      </c>
      <c r="D2702" s="3">
        <v>3.86</v>
      </c>
      <c r="E2702" s="4">
        <v>0</v>
      </c>
      <c r="F2702" s="4" t="s">
        <v>3178</v>
      </c>
      <c r="G2702" s="4" t="s">
        <v>3178</v>
      </c>
      <c r="H2702" s="3">
        <v>0</v>
      </c>
      <c r="I2702" s="5">
        <v>38.580341</v>
      </c>
      <c r="J2702" s="6">
        <v>67.33043808027924</v>
      </c>
      <c r="K2702" s="4">
        <v>0</v>
      </c>
      <c r="L2702" s="7">
        <v>0.7899352413645441</v>
      </c>
      <c r="M2702" s="3">
        <v>9.44</v>
      </c>
      <c r="N2702" s="3">
        <v>3.32</v>
      </c>
    </row>
    <row r="2703" spans="1:14">
      <c r="A2703" s="8" t="s">
        <v>2715</v>
      </c>
      <c r="B2703" s="2">
        <f>HYPERLINK("https://www.suredividend.com/sure-analysis-research-database/","Taitron Components Inc.")</f>
        <v>0</v>
      </c>
      <c r="C2703" s="1" t="s">
        <v>3181</v>
      </c>
      <c r="D2703" s="3">
        <v>2.805</v>
      </c>
      <c r="E2703" s="4">
        <v>0.068973969554578</v>
      </c>
      <c r="F2703" s="4">
        <v>0</v>
      </c>
      <c r="G2703" s="4">
        <v>0.07394092378577932</v>
      </c>
      <c r="H2703" s="3">
        <v>0.193471984600593</v>
      </c>
      <c r="I2703" s="5">
        <v>14.750283</v>
      </c>
      <c r="J2703" s="6">
        <v>0</v>
      </c>
      <c r="K2703" s="4" t="s">
        <v>3178</v>
      </c>
      <c r="L2703" s="7">
        <v>0.211243400256987</v>
      </c>
      <c r="M2703" s="3">
        <v>3.89</v>
      </c>
      <c r="N2703" s="3">
        <v>2.75</v>
      </c>
    </row>
    <row r="2704" spans="1:14">
      <c r="A2704" s="8" t="s">
        <v>2716</v>
      </c>
      <c r="B2704" s="2">
        <f>HYPERLINK("https://www.suredividend.com/sure-analysis-research-database/","Talos Energy Inc")</f>
        <v>0</v>
      </c>
      <c r="C2704" s="1" t="s">
        <v>3185</v>
      </c>
      <c r="D2704" s="3">
        <v>10.66</v>
      </c>
      <c r="E2704" s="4">
        <v>0</v>
      </c>
      <c r="F2704" s="4" t="s">
        <v>3178</v>
      </c>
      <c r="G2704" s="4" t="s">
        <v>3178</v>
      </c>
      <c r="H2704" s="3">
        <v>0</v>
      </c>
      <c r="I2704" s="5">
        <v>1960.58026</v>
      </c>
      <c r="J2704" s="6" t="s">
        <v>3178</v>
      </c>
      <c r="K2704" s="4">
        <v>-0</v>
      </c>
      <c r="L2704" s="7">
        <v>0.9821118887690141</v>
      </c>
      <c r="M2704" s="3">
        <v>17.59</v>
      </c>
      <c r="N2704" s="3">
        <v>10.53</v>
      </c>
    </row>
    <row r="2705" spans="1:14">
      <c r="A2705" s="8" t="s">
        <v>2717</v>
      </c>
      <c r="B2705" s="2">
        <f>HYPERLINK("https://www.suredividend.com/sure-analysis-TAP/","Molson Coors Beverage Company")</f>
        <v>0</v>
      </c>
      <c r="C2705" s="1" t="s">
        <v>3184</v>
      </c>
      <c r="D2705" s="3">
        <v>51.94</v>
      </c>
      <c r="E2705" s="4">
        <v>0.03388525221409319</v>
      </c>
      <c r="F2705" s="4" t="s">
        <v>3178</v>
      </c>
      <c r="G2705" s="4" t="s">
        <v>3178</v>
      </c>
      <c r="H2705" s="3">
        <v>1.681068318311891</v>
      </c>
      <c r="I2705" s="5">
        <v>10398.182435</v>
      </c>
      <c r="J2705" s="6">
        <v>9.590649727596382</v>
      </c>
      <c r="K2705" s="4">
        <v>0.3355425785053675</v>
      </c>
      <c r="L2705" s="7">
        <v>0.550027897110137</v>
      </c>
      <c r="M2705" s="3">
        <v>68.89</v>
      </c>
      <c r="N2705" s="3">
        <v>51.78</v>
      </c>
    </row>
    <row r="2706" spans="1:14">
      <c r="A2706" s="8" t="s">
        <v>2718</v>
      </c>
      <c r="B2706" s="2">
        <f>HYPERLINK("https://www.suredividend.com/sure-analysis-research-database/","Carrols Restaurant Group Inc.")</f>
        <v>0</v>
      </c>
      <c r="C2706" s="1" t="s">
        <v>3182</v>
      </c>
      <c r="D2706" s="3">
        <v>9.539999999999999</v>
      </c>
      <c r="E2706" s="4">
        <v>0</v>
      </c>
      <c r="F2706" s="4" t="s">
        <v>3178</v>
      </c>
      <c r="G2706" s="4" t="s">
        <v>3178</v>
      </c>
      <c r="H2706" s="3">
        <v>0.039957966139836</v>
      </c>
      <c r="I2706" s="5">
        <v>0</v>
      </c>
      <c r="J2706" s="6">
        <v>0</v>
      </c>
      <c r="K2706" s="4">
        <v>0.07163493391867336</v>
      </c>
    </row>
    <row r="2707" spans="1:14">
      <c r="A2707" s="8" t="s">
        <v>2719</v>
      </c>
      <c r="B2707" s="2">
        <f>HYPERLINK("https://www.suredividend.com/sure-analysis-research-database/","TransAtlantic Petroleum Ltd")</f>
        <v>0</v>
      </c>
      <c r="C2707" s="1" t="s">
        <v>3185</v>
      </c>
      <c r="D2707" s="3">
        <v>0.246</v>
      </c>
      <c r="E2707" s="4">
        <v>0</v>
      </c>
      <c r="F2707" s="4" t="s">
        <v>3178</v>
      </c>
      <c r="G2707" s="4" t="s">
        <v>3178</v>
      </c>
      <c r="H2707" s="3">
        <v>0</v>
      </c>
      <c r="I2707" s="5">
        <v>18.778547</v>
      </c>
      <c r="J2707" s="6" t="s">
        <v>3178</v>
      </c>
      <c r="K2707" s="4">
        <v>-0</v>
      </c>
      <c r="L2707" s="7">
        <v>1.359619541150437</v>
      </c>
      <c r="M2707" s="3">
        <v>0.5393</v>
      </c>
      <c r="N2707" s="3">
        <v>0.1533</v>
      </c>
    </row>
    <row r="2708" spans="1:14">
      <c r="A2708" s="8" t="s">
        <v>2720</v>
      </c>
      <c r="B2708" s="2">
        <f>HYPERLINK("https://www.suredividend.com/sure-analysis-research-database/","Taylor Devices Inc.")</f>
        <v>0</v>
      </c>
      <c r="C2708" s="1" t="s">
        <v>3179</v>
      </c>
      <c r="D2708" s="3">
        <v>46.92</v>
      </c>
      <c r="E2708" s="4">
        <v>0</v>
      </c>
      <c r="F2708" s="4" t="s">
        <v>3178</v>
      </c>
      <c r="G2708" s="4" t="s">
        <v>3178</v>
      </c>
      <c r="H2708" s="3">
        <v>0</v>
      </c>
      <c r="I2708" s="5">
        <v>165.223009</v>
      </c>
      <c r="J2708" s="6">
        <v>0</v>
      </c>
      <c r="K2708" s="4" t="s">
        <v>3178</v>
      </c>
      <c r="L2708" s="7">
        <v>0.336083472699629</v>
      </c>
      <c r="M2708" s="3">
        <v>61.7</v>
      </c>
      <c r="N2708" s="3">
        <v>18.06</v>
      </c>
    </row>
    <row r="2709" spans="1:14">
      <c r="A2709" s="8" t="s">
        <v>2721</v>
      </c>
      <c r="B2709" s="2">
        <f>HYPERLINK("https://www.suredividend.com/sure-analysis-research-database/","Bancorp Inc. (The)")</f>
        <v>0</v>
      </c>
      <c r="C2709" s="1" t="s">
        <v>3180</v>
      </c>
      <c r="D2709" s="3">
        <v>32.5</v>
      </c>
      <c r="E2709" s="4">
        <v>0</v>
      </c>
      <c r="F2709" s="4" t="s">
        <v>3178</v>
      </c>
      <c r="G2709" s="4" t="s">
        <v>3178</v>
      </c>
      <c r="H2709" s="3">
        <v>0</v>
      </c>
      <c r="I2709" s="5">
        <v>1698.125</v>
      </c>
      <c r="J2709" s="6">
        <v>8.830786911844239</v>
      </c>
      <c r="K2709" s="4">
        <v>0</v>
      </c>
      <c r="L2709" s="7">
        <v>1.01082968338031</v>
      </c>
      <c r="M2709" s="3">
        <v>47.11</v>
      </c>
      <c r="N2709" s="3">
        <v>29.92</v>
      </c>
    </row>
    <row r="2710" spans="1:14">
      <c r="A2710" s="8" t="s">
        <v>2722</v>
      </c>
      <c r="B2710" s="2">
        <f>HYPERLINK("https://www.suredividend.com/sure-analysis-research-database/","TrueBlue Inc")</f>
        <v>0</v>
      </c>
      <c r="C2710" s="1" t="s">
        <v>3179</v>
      </c>
      <c r="D2710" s="3">
        <v>10.8</v>
      </c>
      <c r="E2710" s="4">
        <v>0</v>
      </c>
      <c r="F2710" s="4" t="s">
        <v>3178</v>
      </c>
      <c r="G2710" s="4" t="s">
        <v>3178</v>
      </c>
      <c r="H2710" s="3">
        <v>0</v>
      </c>
      <c r="I2710" s="5">
        <v>330.152123</v>
      </c>
      <c r="J2710" s="6" t="s">
        <v>3178</v>
      </c>
      <c r="K2710" s="4">
        <v>-0</v>
      </c>
      <c r="L2710" s="7">
        <v>0.544279307394404</v>
      </c>
      <c r="M2710" s="3">
        <v>19.06</v>
      </c>
      <c r="N2710" s="3">
        <v>10.15</v>
      </c>
    </row>
    <row r="2711" spans="1:14">
      <c r="A2711" s="8" t="s">
        <v>2723</v>
      </c>
      <c r="B2711" s="2">
        <f>HYPERLINK("https://www.suredividend.com/sure-analysis-research-database/","Telesis Bio Inc")</f>
        <v>0</v>
      </c>
      <c r="C2711" s="1" t="s">
        <v>3176</v>
      </c>
      <c r="D2711" s="3">
        <v>3.8</v>
      </c>
      <c r="E2711" s="4">
        <v>0</v>
      </c>
      <c r="F2711" s="4" t="s">
        <v>3178</v>
      </c>
      <c r="G2711" s="4" t="s">
        <v>3178</v>
      </c>
      <c r="H2711" s="3">
        <v>0</v>
      </c>
      <c r="I2711" s="5">
        <v>6.394617</v>
      </c>
      <c r="J2711" s="6" t="s">
        <v>3178</v>
      </c>
      <c r="K2711" s="4">
        <v>-0</v>
      </c>
      <c r="M2711" s="3">
        <v>39.24</v>
      </c>
      <c r="N2711" s="3">
        <v>3.33</v>
      </c>
    </row>
    <row r="2712" spans="1:14">
      <c r="A2712" s="8" t="s">
        <v>2724</v>
      </c>
      <c r="B2712" s="2">
        <f>HYPERLINK("https://www.suredividend.com/sure-analysis-research-database/","Territorial Bancorp Inc")</f>
        <v>0</v>
      </c>
      <c r="C2712" s="1" t="s">
        <v>3180</v>
      </c>
      <c r="D2712" s="3">
        <v>7.798</v>
      </c>
      <c r="E2712" s="4">
        <v>0.042923274026136</v>
      </c>
      <c r="F2712" s="4">
        <v>-0.9565217391304348</v>
      </c>
      <c r="G2712" s="4">
        <v>-0.465860823155781</v>
      </c>
      <c r="H2712" s="3">
        <v>0.334715690855814</v>
      </c>
      <c r="I2712" s="5">
        <v>68.873769</v>
      </c>
      <c r="J2712" s="6">
        <v>13.83285168306889</v>
      </c>
      <c r="K2712" s="4">
        <v>0.5838403817474517</v>
      </c>
      <c r="L2712" s="7">
        <v>0.8627796621443231</v>
      </c>
      <c r="M2712" s="3">
        <v>13.65</v>
      </c>
      <c r="N2712" s="3">
        <v>6.72</v>
      </c>
    </row>
    <row r="2713" spans="1:14">
      <c r="A2713" s="8" t="s">
        <v>2725</v>
      </c>
      <c r="B2713" s="2">
        <f>HYPERLINK("https://www.suredividend.com/sure-analysis-research-database/","Theravance Biopharma Inc")</f>
        <v>0</v>
      </c>
      <c r="C2713" s="1" t="s">
        <v>3176</v>
      </c>
      <c r="D2713" s="3">
        <v>8.77</v>
      </c>
      <c r="E2713" s="4">
        <v>0</v>
      </c>
      <c r="F2713" s="4" t="s">
        <v>3178</v>
      </c>
      <c r="G2713" s="4" t="s">
        <v>3178</v>
      </c>
      <c r="H2713" s="3">
        <v>0</v>
      </c>
      <c r="I2713" s="5">
        <v>426.513374</v>
      </c>
      <c r="J2713" s="6" t="s">
        <v>3178</v>
      </c>
      <c r="K2713" s="4">
        <v>-0</v>
      </c>
      <c r="L2713" s="7">
        <v>0.567750515413972</v>
      </c>
      <c r="M2713" s="3">
        <v>11.71</v>
      </c>
      <c r="N2713" s="3">
        <v>8.130000000000001</v>
      </c>
    </row>
    <row r="2714" spans="1:14">
      <c r="A2714" s="8" t="s">
        <v>2726</v>
      </c>
      <c r="B2714" s="2">
        <f>HYPERLINK("https://www.suredividend.com/sure-analysis-research-database/","Texas Capital Bancshares, Inc.")</f>
        <v>0</v>
      </c>
      <c r="C2714" s="1" t="s">
        <v>3180</v>
      </c>
      <c r="D2714" s="3">
        <v>58.71</v>
      </c>
      <c r="E2714" s="4">
        <v>0</v>
      </c>
      <c r="F2714" s="4" t="s">
        <v>3178</v>
      </c>
      <c r="G2714" s="4" t="s">
        <v>3178</v>
      </c>
      <c r="H2714" s="3">
        <v>0</v>
      </c>
      <c r="I2714" s="5">
        <v>2739.003971</v>
      </c>
      <c r="J2714" s="6">
        <v>17.18623077253219</v>
      </c>
      <c r="K2714" s="4">
        <v>0</v>
      </c>
      <c r="L2714" s="7">
        <v>1.132757247100047</v>
      </c>
      <c r="M2714" s="3">
        <v>66.18000000000001</v>
      </c>
      <c r="N2714" s="3">
        <v>48.41</v>
      </c>
    </row>
    <row r="2715" spans="1:14">
      <c r="A2715" s="8" t="s">
        <v>2727</v>
      </c>
      <c r="B2715" s="2">
        <f>HYPERLINK("https://www.suredividend.com/sure-analysis-research-database/","Trico Bancshares")</f>
        <v>0</v>
      </c>
      <c r="C2715" s="1" t="s">
        <v>3180</v>
      </c>
      <c r="D2715" s="3">
        <v>36.6</v>
      </c>
      <c r="E2715" s="4">
        <v>0.03354930530713601</v>
      </c>
      <c r="F2715" s="4">
        <v>0.09999999999999987</v>
      </c>
      <c r="G2715" s="4">
        <v>0.08447177119769855</v>
      </c>
      <c r="H2715" s="3">
        <v>1.22790457424119</v>
      </c>
      <c r="I2715" s="5">
        <v>1214.182491</v>
      </c>
      <c r="J2715" s="6">
        <v>11.10810468775731</v>
      </c>
      <c r="K2715" s="4">
        <v>0.3743611506832896</v>
      </c>
      <c r="L2715" s="7">
        <v>1.066609781118662</v>
      </c>
      <c r="M2715" s="3">
        <v>44.18</v>
      </c>
      <c r="N2715" s="3">
        <v>27.87</v>
      </c>
    </row>
    <row r="2716" spans="1:14">
      <c r="A2716" s="8" t="s">
        <v>2728</v>
      </c>
      <c r="B2716" s="2">
        <f>HYPERLINK("https://www.suredividend.com/sure-analysis-research-database/","Tricida Inc")</f>
        <v>0</v>
      </c>
      <c r="C2716" s="1" t="s">
        <v>3176</v>
      </c>
      <c r="D2716" s="3">
        <v>0.108</v>
      </c>
      <c r="E2716" s="4">
        <v>0</v>
      </c>
      <c r="F2716" s="4" t="s">
        <v>3178</v>
      </c>
      <c r="G2716" s="4" t="s">
        <v>3178</v>
      </c>
      <c r="H2716" s="3">
        <v>0</v>
      </c>
      <c r="I2716" s="5">
        <v>0</v>
      </c>
      <c r="J2716" s="6">
        <v>0</v>
      </c>
      <c r="K2716" s="4" t="s">
        <v>3178</v>
      </c>
    </row>
    <row r="2717" spans="1:14">
      <c r="A2717" s="8" t="s">
        <v>2729</v>
      </c>
      <c r="B2717" s="2">
        <f>HYPERLINK("https://www.suredividend.com/sure-analysis-research-database/","TCF Financial Corp")</f>
        <v>0</v>
      </c>
      <c r="C2717" s="1" t="s">
        <v>3180</v>
      </c>
      <c r="D2717" s="3">
        <v>45.18</v>
      </c>
      <c r="E2717" s="4">
        <v>0</v>
      </c>
      <c r="F2717" s="4" t="s">
        <v>3178</v>
      </c>
      <c r="G2717" s="4" t="s">
        <v>3178</v>
      </c>
      <c r="H2717" s="3">
        <v>1.049999982118606</v>
      </c>
      <c r="I2717" s="5">
        <v>0</v>
      </c>
      <c r="J2717" s="6">
        <v>0</v>
      </c>
      <c r="K2717" s="4">
        <v>0.5614973166409657</v>
      </c>
    </row>
    <row r="2718" spans="1:14">
      <c r="A2718" s="8" t="s">
        <v>2730</v>
      </c>
      <c r="B2718" s="2">
        <f>HYPERLINK("https://www.suredividend.com/sure-analysis-research-database/","Community Financial Corp")</f>
        <v>0</v>
      </c>
      <c r="C2718" s="1" t="s">
        <v>3180</v>
      </c>
      <c r="D2718" s="3">
        <v>27.09</v>
      </c>
      <c r="E2718" s="4">
        <v>0</v>
      </c>
      <c r="F2718" s="4" t="s">
        <v>3178</v>
      </c>
      <c r="G2718" s="4" t="s">
        <v>3178</v>
      </c>
      <c r="H2718" s="3">
        <v>0.699999988079071</v>
      </c>
      <c r="I2718" s="5">
        <v>0</v>
      </c>
      <c r="J2718" s="6">
        <v>0</v>
      </c>
      <c r="K2718" s="4" t="s">
        <v>3178</v>
      </c>
    </row>
    <row r="2719" spans="1:14">
      <c r="A2719" s="8" t="s">
        <v>2731</v>
      </c>
      <c r="B2719" s="2">
        <f>HYPERLINK("https://www.suredividend.com/sure-analysis-research-database/","Transcontinental Realty Investors, Inc.")</f>
        <v>0</v>
      </c>
      <c r="C2719" s="1" t="s">
        <v>3183</v>
      </c>
      <c r="D2719" s="3">
        <v>28.84</v>
      </c>
      <c r="E2719" s="4">
        <v>0</v>
      </c>
      <c r="F2719" s="4" t="s">
        <v>3178</v>
      </c>
      <c r="G2719" s="4" t="s">
        <v>3178</v>
      </c>
      <c r="H2719" s="3">
        <v>0</v>
      </c>
      <c r="I2719" s="5">
        <v>249.157873</v>
      </c>
      <c r="J2719" s="6">
        <v>50.14245792714832</v>
      </c>
      <c r="K2719" s="4">
        <v>0</v>
      </c>
      <c r="L2719" s="7">
        <v>0.4631181472283231</v>
      </c>
      <c r="M2719" s="3">
        <v>43.4</v>
      </c>
      <c r="N2719" s="3">
        <v>27.19</v>
      </c>
    </row>
    <row r="2720" spans="1:14">
      <c r="A2720" s="8" t="s">
        <v>2732</v>
      </c>
      <c r="B2720" s="2">
        <f>HYPERLINK("https://www.suredividend.com/sure-analysis-research-database/","Tactile Systems Technology Inc")</f>
        <v>0</v>
      </c>
      <c r="C2720" s="1" t="s">
        <v>3176</v>
      </c>
      <c r="D2720" s="3">
        <v>12.03</v>
      </c>
      <c r="E2720" s="4">
        <v>0</v>
      </c>
      <c r="F2720" s="4" t="s">
        <v>3178</v>
      </c>
      <c r="G2720" s="4" t="s">
        <v>3178</v>
      </c>
      <c r="H2720" s="3">
        <v>0</v>
      </c>
      <c r="I2720" s="5">
        <v>285.858833</v>
      </c>
      <c r="J2720" s="6">
        <v>10.13971456157775</v>
      </c>
      <c r="K2720" s="4">
        <v>0</v>
      </c>
      <c r="L2720" s="7">
        <v>1.327954865235155</v>
      </c>
      <c r="M2720" s="3">
        <v>26.11</v>
      </c>
      <c r="N2720" s="3">
        <v>9.699999999999999</v>
      </c>
    </row>
    <row r="2721" spans="1:14">
      <c r="A2721" s="8" t="s">
        <v>2733</v>
      </c>
      <c r="B2721" s="2">
        <f>HYPERLINK("https://www.suredividend.com/sure-analysis-research-database/","Taubman Centers, Inc.")</f>
        <v>0</v>
      </c>
      <c r="C2721" s="1" t="s">
        <v>3183</v>
      </c>
      <c r="D2721" s="3">
        <v>42.99</v>
      </c>
      <c r="E2721" s="4">
        <v>0.015701326167037</v>
      </c>
      <c r="F2721" s="4" t="s">
        <v>3178</v>
      </c>
      <c r="G2721" s="4" t="s">
        <v>3178</v>
      </c>
      <c r="H2721" s="3">
        <v>0.6750000119209291</v>
      </c>
      <c r="I2721" s="5">
        <v>2653.572797</v>
      </c>
      <c r="J2721" s="6" t="s">
        <v>3178</v>
      </c>
      <c r="K2721" s="4" t="s">
        <v>3178</v>
      </c>
      <c r="M2721" s="3">
        <v>52.49</v>
      </c>
      <c r="N2721" s="3">
        <v>26.04</v>
      </c>
    </row>
    <row r="2722" spans="1:14">
      <c r="A2722" s="8" t="s">
        <v>2734</v>
      </c>
      <c r="B2722" s="2">
        <f>HYPERLINK("https://www.suredividend.com/sure-analysis-research-database/","TRACON Pharmaceuticals Inc")</f>
        <v>0</v>
      </c>
      <c r="C2722" s="1" t="s">
        <v>3176</v>
      </c>
      <c r="D2722" s="3">
        <v>1.14</v>
      </c>
      <c r="E2722" s="4">
        <v>0</v>
      </c>
      <c r="F2722" s="4" t="s">
        <v>3178</v>
      </c>
      <c r="G2722" s="4" t="s">
        <v>3178</v>
      </c>
      <c r="H2722" s="3">
        <v>0</v>
      </c>
      <c r="I2722" s="5">
        <v>3.0541</v>
      </c>
      <c r="J2722" s="6">
        <v>0</v>
      </c>
      <c r="K2722" s="4" t="s">
        <v>3178</v>
      </c>
      <c r="M2722" s="3">
        <v>14.75</v>
      </c>
      <c r="N2722" s="3">
        <v>1.1</v>
      </c>
    </row>
    <row r="2723" spans="1:14">
      <c r="A2723" s="8" t="s">
        <v>2735</v>
      </c>
      <c r="B2723" s="2">
        <f>HYPERLINK("https://www.suredividend.com/sure-analysis-research-database/","Container Store Group Inc")</f>
        <v>0</v>
      </c>
      <c r="C2723" s="1" t="s">
        <v>3182</v>
      </c>
      <c r="D2723" s="3">
        <v>0.6705</v>
      </c>
      <c r="E2723" s="4">
        <v>0</v>
      </c>
      <c r="F2723" s="4" t="s">
        <v>3178</v>
      </c>
      <c r="G2723" s="4" t="s">
        <v>3178</v>
      </c>
      <c r="H2723" s="3">
        <v>0</v>
      </c>
      <c r="I2723" s="5">
        <v>33.703124</v>
      </c>
      <c r="J2723" s="6" t="s">
        <v>3178</v>
      </c>
      <c r="K2723" s="4">
        <v>-0</v>
      </c>
      <c r="L2723" s="7">
        <v>1.513727489957265</v>
      </c>
      <c r="M2723" s="3">
        <v>3.71</v>
      </c>
      <c r="N2723" s="3">
        <v>0.6101</v>
      </c>
    </row>
    <row r="2724" spans="1:14">
      <c r="A2724" s="8" t="s">
        <v>2736</v>
      </c>
      <c r="B2724" s="2">
        <f>HYPERLINK("https://www.suredividend.com/sure-analysis-research-database/","Teradata Corp")</f>
        <v>0</v>
      </c>
      <c r="C2724" s="1" t="s">
        <v>3181</v>
      </c>
      <c r="D2724" s="3">
        <v>32.31</v>
      </c>
      <c r="E2724" s="4">
        <v>0</v>
      </c>
      <c r="F2724" s="4" t="s">
        <v>3178</v>
      </c>
      <c r="G2724" s="4" t="s">
        <v>3178</v>
      </c>
      <c r="H2724" s="3">
        <v>0</v>
      </c>
      <c r="I2724" s="5">
        <v>3124.377</v>
      </c>
      <c r="J2724" s="6">
        <v>74.38992857142857</v>
      </c>
      <c r="K2724" s="4">
        <v>0</v>
      </c>
      <c r="L2724" s="7">
        <v>1.299498500791702</v>
      </c>
      <c r="M2724" s="3">
        <v>57.73</v>
      </c>
      <c r="N2724" s="3">
        <v>31.48</v>
      </c>
    </row>
    <row r="2725" spans="1:14">
      <c r="A2725" s="8" t="s">
        <v>2737</v>
      </c>
      <c r="B2725" s="2">
        <f>HYPERLINK("https://www.suredividend.com/sure-analysis-research-database/","Transdigm Group Incorporated")</f>
        <v>0</v>
      </c>
      <c r="C2725" s="1" t="s">
        <v>3179</v>
      </c>
      <c r="D2725" s="3">
        <v>1310</v>
      </c>
      <c r="E2725" s="4">
        <v>0</v>
      </c>
      <c r="F2725" s="4" t="s">
        <v>3178</v>
      </c>
      <c r="G2725" s="4" t="s">
        <v>3178</v>
      </c>
      <c r="H2725" s="3">
        <v>0</v>
      </c>
      <c r="I2725" s="5">
        <v>73305.6088</v>
      </c>
      <c r="J2725" s="6">
        <v>50.55559227586208</v>
      </c>
      <c r="K2725" s="4">
        <v>0</v>
      </c>
      <c r="L2725" s="7">
        <v>0.899100638823738</v>
      </c>
      <c r="M2725" s="3">
        <v>1369.58</v>
      </c>
      <c r="N2725" s="3">
        <v>766.78</v>
      </c>
    </row>
    <row r="2726" spans="1:14">
      <c r="A2726" s="8" t="s">
        <v>2738</v>
      </c>
      <c r="B2726" s="2">
        <f>HYPERLINK("https://www.suredividend.com/sure-analysis-research-database/","Teladoc Health Inc")</f>
        <v>0</v>
      </c>
      <c r="C2726" s="1" t="s">
        <v>3176</v>
      </c>
      <c r="D2726" s="3">
        <v>10.64</v>
      </c>
      <c r="E2726" s="4">
        <v>0</v>
      </c>
      <c r="F2726" s="4" t="s">
        <v>3178</v>
      </c>
      <c r="G2726" s="4" t="s">
        <v>3178</v>
      </c>
      <c r="H2726" s="3">
        <v>0</v>
      </c>
      <c r="I2726" s="5">
        <v>1804.418139</v>
      </c>
      <c r="J2726" s="6" t="s">
        <v>3178</v>
      </c>
      <c r="K2726" s="4">
        <v>-0</v>
      </c>
      <c r="L2726" s="7">
        <v>1.98361877720025</v>
      </c>
      <c r="M2726" s="3">
        <v>30.41</v>
      </c>
      <c r="N2726" s="3">
        <v>10.63</v>
      </c>
    </row>
    <row r="2727" spans="1:14">
      <c r="A2727" s="8" t="s">
        <v>2739</v>
      </c>
      <c r="B2727" s="2">
        <f>HYPERLINK("https://www.suredividend.com/sure-analysis-TDS/","Telephone And Data Systems, Inc.")</f>
        <v>0</v>
      </c>
      <c r="C2727" s="1" t="s">
        <v>3187</v>
      </c>
      <c r="D2727" s="3">
        <v>21.45</v>
      </c>
      <c r="E2727" s="4">
        <v>0.007459207459207459</v>
      </c>
      <c r="F2727" s="4">
        <v>0.02702702702702697</v>
      </c>
      <c r="G2727" s="4">
        <v>0.02861755351046824</v>
      </c>
      <c r="H2727" s="3">
        <v>0.732934781499578</v>
      </c>
      <c r="I2727" s="5">
        <v>2273.7</v>
      </c>
      <c r="J2727" s="6" t="s">
        <v>3178</v>
      </c>
      <c r="K2727" s="4" t="s">
        <v>3178</v>
      </c>
      <c r="L2727" s="7">
        <v>0.7513646175184601</v>
      </c>
      <c r="M2727" s="3">
        <v>23.35</v>
      </c>
      <c r="N2727" s="3">
        <v>6.77</v>
      </c>
    </row>
    <row r="2728" spans="1:14">
      <c r="A2728" s="8" t="s">
        <v>2740</v>
      </c>
      <c r="B2728" s="2">
        <f>HYPERLINK("https://www.suredividend.com/sure-analysis-research-database/","Tidewater Inc.")</f>
        <v>0</v>
      </c>
      <c r="C2728" s="1" t="s">
        <v>3185</v>
      </c>
      <c r="D2728" s="3">
        <v>93.48</v>
      </c>
      <c r="E2728" s="4">
        <v>0</v>
      </c>
      <c r="F2728" s="4" t="s">
        <v>3178</v>
      </c>
      <c r="G2728" s="4" t="s">
        <v>3178</v>
      </c>
      <c r="H2728" s="3">
        <v>0</v>
      </c>
      <c r="I2728" s="5">
        <v>4932.212606</v>
      </c>
      <c r="J2728" s="6">
        <v>36.95288639679935</v>
      </c>
      <c r="K2728" s="4">
        <v>0</v>
      </c>
      <c r="L2728" s="7">
        <v>0.8939864152659891</v>
      </c>
      <c r="M2728" s="3">
        <v>111.42</v>
      </c>
      <c r="N2728" s="3">
        <v>42.62</v>
      </c>
    </row>
    <row r="2729" spans="1:14">
      <c r="A2729" s="8" t="s">
        <v>2741</v>
      </c>
      <c r="B2729" s="2">
        <f>HYPERLINK("https://www.suredividend.com/sure-analysis-research-database/","Teledyne Technologies Inc")</f>
        <v>0</v>
      </c>
      <c r="C2729" s="1" t="s">
        <v>3181</v>
      </c>
      <c r="D2729" s="3">
        <v>389.06</v>
      </c>
      <c r="E2729" s="4">
        <v>0</v>
      </c>
      <c r="F2729" s="4" t="s">
        <v>3178</v>
      </c>
      <c r="G2729" s="4" t="s">
        <v>3178</v>
      </c>
      <c r="H2729" s="3">
        <v>0</v>
      </c>
      <c r="I2729" s="5">
        <v>18434.176748</v>
      </c>
      <c r="J2729" s="6">
        <v>20.81781676822134</v>
      </c>
      <c r="K2729" s="4">
        <v>0</v>
      </c>
      <c r="L2729" s="7">
        <v>0.8850380184996891</v>
      </c>
      <c r="M2729" s="3">
        <v>448.19</v>
      </c>
      <c r="N2729" s="3">
        <v>355.41</v>
      </c>
    </row>
    <row r="2730" spans="1:14">
      <c r="A2730" s="8" t="s">
        <v>2742</v>
      </c>
      <c r="B2730" s="2">
        <f>HYPERLINK("https://www.suredividend.com/sure-analysis-research-database/","Tech Data Corp.")</f>
        <v>0</v>
      </c>
      <c r="C2730" s="1" t="s">
        <v>3181</v>
      </c>
      <c r="D2730" s="3">
        <v>144.9</v>
      </c>
      <c r="E2730" s="4">
        <v>0</v>
      </c>
      <c r="F2730" s="4" t="s">
        <v>3178</v>
      </c>
      <c r="G2730" s="4" t="s">
        <v>3178</v>
      </c>
      <c r="H2730" s="3">
        <v>0</v>
      </c>
      <c r="I2730" s="5">
        <v>0</v>
      </c>
      <c r="J2730" s="6">
        <v>0</v>
      </c>
      <c r="K2730" s="4" t="s">
        <v>3178</v>
      </c>
    </row>
    <row r="2731" spans="1:14">
      <c r="A2731" s="8" t="s">
        <v>2743</v>
      </c>
      <c r="B2731" s="2">
        <f>HYPERLINK("https://www.suredividend.com/sure-analysis-research-database/","Bio-Techne Corp")</f>
        <v>0</v>
      </c>
      <c r="C2731" s="1" t="s">
        <v>3176</v>
      </c>
      <c r="D2731" s="3">
        <v>77.63</v>
      </c>
      <c r="E2731" s="4">
        <v>0.004108274338634</v>
      </c>
      <c r="F2731" s="4">
        <v>0</v>
      </c>
      <c r="G2731" s="4">
        <v>-0.242141716744801</v>
      </c>
      <c r="H2731" s="3">
        <v>0.318925336908199</v>
      </c>
      <c r="I2731" s="5">
        <v>12233.29537</v>
      </c>
      <c r="J2731" s="6">
        <v>60.27203978119703</v>
      </c>
      <c r="K2731" s="4">
        <v>0.2531153467525389</v>
      </c>
      <c r="L2731" s="7">
        <v>1.104778497254387</v>
      </c>
      <c r="M2731" s="3">
        <v>89.19</v>
      </c>
      <c r="N2731" s="3">
        <v>51.42</v>
      </c>
    </row>
    <row r="2732" spans="1:14">
      <c r="A2732" s="8" t="s">
        <v>2744</v>
      </c>
      <c r="B2732" s="2">
        <f>HYPERLINK("https://www.suredividend.com/sure-analysis-TEL/","TE Connectivity Ltd")</f>
        <v>0</v>
      </c>
      <c r="C2732" s="1" t="s">
        <v>3181</v>
      </c>
      <c r="D2732" s="3">
        <v>149.17</v>
      </c>
      <c r="E2732" s="4">
        <v>0.01582087551116176</v>
      </c>
      <c r="F2732" s="4">
        <v>0.1016949152542375</v>
      </c>
      <c r="G2732" s="4">
        <v>0.07159605222536181</v>
      </c>
      <c r="H2732" s="3">
        <v>2.40494022216406</v>
      </c>
      <c r="I2732" s="5">
        <v>45680.10445</v>
      </c>
      <c r="J2732" s="6">
        <v>13.34115200057827</v>
      </c>
      <c r="K2732" s="4">
        <v>0.2202326210772949</v>
      </c>
      <c r="L2732" s="7">
        <v>1.146814828606308</v>
      </c>
      <c r="M2732" s="3">
        <v>152.32</v>
      </c>
      <c r="N2732" s="3">
        <v>113.52</v>
      </c>
    </row>
    <row r="2733" spans="1:14">
      <c r="A2733" s="8" t="s">
        <v>2745</v>
      </c>
      <c r="B2733" s="2">
        <f>HYPERLINK("https://www.suredividend.com/sure-analysis-research-database/","Tellurian Inc")</f>
        <v>0</v>
      </c>
      <c r="C2733" s="1" t="s">
        <v>3185</v>
      </c>
      <c r="D2733" s="3">
        <v>0.7484000000000001</v>
      </c>
      <c r="E2733" s="4">
        <v>0</v>
      </c>
      <c r="F2733" s="4" t="s">
        <v>3178</v>
      </c>
      <c r="G2733" s="4" t="s">
        <v>3178</v>
      </c>
      <c r="H2733" s="3">
        <v>0</v>
      </c>
      <c r="I2733" s="5">
        <v>625.832084</v>
      </c>
      <c r="J2733" s="6" t="s">
        <v>3178</v>
      </c>
      <c r="K2733" s="4">
        <v>-0</v>
      </c>
      <c r="L2733" s="7">
        <v>1.168675133786633</v>
      </c>
      <c r="M2733" s="3">
        <v>1.76</v>
      </c>
      <c r="N2733" s="3">
        <v>0.3552</v>
      </c>
    </row>
    <row r="2734" spans="1:14">
      <c r="A2734" s="8" t="s">
        <v>2746</v>
      </c>
      <c r="B2734" s="2">
        <f>HYPERLINK("https://www.suredividend.com/sure-analysis-research-database/","Tenneco, Inc.")</f>
        <v>0</v>
      </c>
      <c r="C2734" s="1" t="s">
        <v>3182</v>
      </c>
      <c r="D2734" s="3">
        <v>19.99</v>
      </c>
      <c r="E2734" s="4">
        <v>0</v>
      </c>
      <c r="F2734" s="4" t="s">
        <v>3178</v>
      </c>
      <c r="G2734" s="4" t="s">
        <v>3178</v>
      </c>
      <c r="H2734" s="3">
        <v>0</v>
      </c>
      <c r="I2734" s="5">
        <v>1669.011637</v>
      </c>
      <c r="J2734" s="6" t="s">
        <v>3178</v>
      </c>
      <c r="K2734" s="4">
        <v>-0</v>
      </c>
      <c r="L2734" s="7">
        <v>0.32889335868289</v>
      </c>
      <c r="M2734" s="3">
        <v>19.99</v>
      </c>
      <c r="N2734" s="3">
        <v>9.51</v>
      </c>
    </row>
    <row r="2735" spans="1:14">
      <c r="A2735" s="8" t="s">
        <v>2747</v>
      </c>
      <c r="B2735" s="2">
        <f>HYPERLINK("https://www.suredividend.com/sure-analysis-research-database/","Tenable Holdings Inc")</f>
        <v>0</v>
      </c>
      <c r="C2735" s="1" t="s">
        <v>3181</v>
      </c>
      <c r="D2735" s="3">
        <v>40.45</v>
      </c>
      <c r="E2735" s="4">
        <v>0</v>
      </c>
      <c r="F2735" s="4" t="s">
        <v>3178</v>
      </c>
      <c r="G2735" s="4" t="s">
        <v>3178</v>
      </c>
      <c r="H2735" s="3">
        <v>0</v>
      </c>
      <c r="I2735" s="5">
        <v>4808.203724</v>
      </c>
      <c r="J2735" s="6" t="s">
        <v>3178</v>
      </c>
      <c r="K2735" s="4">
        <v>-0</v>
      </c>
      <c r="L2735" s="7">
        <v>1.113334994996365</v>
      </c>
      <c r="M2735" s="3">
        <v>53.5</v>
      </c>
      <c r="N2735" s="3">
        <v>33.85</v>
      </c>
    </row>
    <row r="2736" spans="1:14">
      <c r="A2736" s="8" t="s">
        <v>2748</v>
      </c>
      <c r="B2736" s="2">
        <f>HYPERLINK("https://www.suredividend.com/sure-analysis-research-database/","Tenax Therapeutics Inc")</f>
        <v>0</v>
      </c>
      <c r="C2736" s="1" t="s">
        <v>3176</v>
      </c>
      <c r="D2736" s="3">
        <v>3.45</v>
      </c>
      <c r="E2736" s="4">
        <v>0</v>
      </c>
      <c r="F2736" s="4" t="s">
        <v>3178</v>
      </c>
      <c r="G2736" s="4" t="s">
        <v>3178</v>
      </c>
      <c r="H2736" s="3">
        <v>0</v>
      </c>
      <c r="I2736" s="5">
        <v>6.1065</v>
      </c>
      <c r="J2736" s="6">
        <v>0</v>
      </c>
      <c r="K2736" s="4" t="s">
        <v>3178</v>
      </c>
      <c r="L2736" s="7">
        <v>-0.271556988699768</v>
      </c>
      <c r="M2736" s="3">
        <v>61.2</v>
      </c>
      <c r="N2736" s="3">
        <v>3.43</v>
      </c>
    </row>
    <row r="2737" spans="1:14">
      <c r="A2737" s="8" t="s">
        <v>2749</v>
      </c>
      <c r="B2737" s="2">
        <f>HYPERLINK("https://www.suredividend.com/sure-analysis-research-database/","Teradyne, Inc.")</f>
        <v>0</v>
      </c>
      <c r="C2737" s="1" t="s">
        <v>3181</v>
      </c>
      <c r="D2737" s="3">
        <v>140.9</v>
      </c>
      <c r="E2737" s="4">
        <v>0.003255049070216</v>
      </c>
      <c r="F2737" s="4">
        <v>0.09090909090909083</v>
      </c>
      <c r="G2737" s="4">
        <v>0.05922384104881218</v>
      </c>
      <c r="H2737" s="3">
        <v>0.458636413993515</v>
      </c>
      <c r="I2737" s="5">
        <v>21996.164597</v>
      </c>
      <c r="J2737" s="6">
        <v>51.22320116180505</v>
      </c>
      <c r="K2737" s="4">
        <v>0.1743864691990551</v>
      </c>
      <c r="L2737" s="7">
        <v>2.051134284443508</v>
      </c>
      <c r="M2737" s="3">
        <v>146.53</v>
      </c>
      <c r="N2737" s="3">
        <v>80.55</v>
      </c>
    </row>
    <row r="2738" spans="1:14">
      <c r="A2738" s="8" t="s">
        <v>2750</v>
      </c>
      <c r="B2738" s="2">
        <f>HYPERLINK("https://www.suredividend.com/sure-analysis-research-database/","Tessco Technologies, Inc.")</f>
        <v>0</v>
      </c>
      <c r="C2738" s="1" t="s">
        <v>3181</v>
      </c>
      <c r="D2738" s="3">
        <v>8.99</v>
      </c>
      <c r="E2738" s="4">
        <v>0</v>
      </c>
      <c r="F2738" s="4" t="s">
        <v>3178</v>
      </c>
      <c r="G2738" s="4" t="s">
        <v>3178</v>
      </c>
      <c r="H2738" s="3">
        <v>0</v>
      </c>
      <c r="I2738" s="5">
        <v>0</v>
      </c>
      <c r="J2738" s="6">
        <v>0</v>
      </c>
      <c r="K2738" s="4">
        <v>-0</v>
      </c>
    </row>
    <row r="2739" spans="1:14">
      <c r="A2739" s="8" t="s">
        <v>2751</v>
      </c>
      <c r="B2739" s="2">
        <f>HYPERLINK("https://www.suredividend.com/sure-analysis-research-database/","Pareteum Corp")</f>
        <v>0</v>
      </c>
      <c r="C2739" s="1" t="s">
        <v>3187</v>
      </c>
      <c r="D2739" s="3">
        <v>0.0001</v>
      </c>
      <c r="E2739" s="4">
        <v>0</v>
      </c>
      <c r="F2739" s="4" t="s">
        <v>3178</v>
      </c>
      <c r="G2739" s="4" t="s">
        <v>3178</v>
      </c>
      <c r="H2739" s="3">
        <v>0</v>
      </c>
      <c r="I2739" s="5">
        <v>0.01427</v>
      </c>
      <c r="J2739" s="6">
        <v>0</v>
      </c>
      <c r="K2739" s="4" t="s">
        <v>3178</v>
      </c>
      <c r="M2739" s="3">
        <v>0.14</v>
      </c>
      <c r="N2739" s="3">
        <v>0.0001</v>
      </c>
    </row>
    <row r="2740" spans="1:14">
      <c r="A2740" s="8" t="s">
        <v>2752</v>
      </c>
      <c r="B2740" s="2">
        <f>HYPERLINK("https://www.suredividend.com/sure-analysis-research-database/","Terex Corp.")</f>
        <v>0</v>
      </c>
      <c r="C2740" s="1" t="s">
        <v>3179</v>
      </c>
      <c r="D2740" s="3">
        <v>56.66</v>
      </c>
      <c r="E2740" s="4">
        <v>0.011946509874919</v>
      </c>
      <c r="F2740" s="4" t="s">
        <v>3178</v>
      </c>
      <c r="G2740" s="4" t="s">
        <v>3178</v>
      </c>
      <c r="H2740" s="3">
        <v>0.6768892495129171</v>
      </c>
      <c r="I2740" s="5">
        <v>3813.218</v>
      </c>
      <c r="J2740" s="6">
        <v>7.420155672309787</v>
      </c>
      <c r="K2740" s="4">
        <v>0.08965420523349896</v>
      </c>
      <c r="L2740" s="7">
        <v>1.557245518370322</v>
      </c>
      <c r="M2740" s="3">
        <v>65.7</v>
      </c>
      <c r="N2740" s="3">
        <v>43.29</v>
      </c>
    </row>
    <row r="2741" spans="1:14">
      <c r="A2741" s="8" t="s">
        <v>2753</v>
      </c>
      <c r="B2741" s="2">
        <f>HYPERLINK("https://www.suredividend.com/sure-analysis-TFSL/","TFS Financial Corporation")</f>
        <v>0</v>
      </c>
      <c r="C2741" s="1" t="s">
        <v>3180</v>
      </c>
      <c r="D2741" s="3">
        <v>12.48</v>
      </c>
      <c r="E2741" s="4">
        <v>0.09054487179487178</v>
      </c>
      <c r="F2741" s="4">
        <v>0</v>
      </c>
      <c r="G2741" s="4">
        <v>0.02474471859817773</v>
      </c>
      <c r="H2741" s="3">
        <v>0.824098909982079</v>
      </c>
      <c r="I2741" s="5">
        <v>3503.271458</v>
      </c>
      <c r="J2741" s="6">
        <v>45.48108400846457</v>
      </c>
      <c r="K2741" s="4">
        <v>2.98370351188298</v>
      </c>
      <c r="L2741" s="7">
        <v>0.8805746565968441</v>
      </c>
      <c r="M2741" s="3">
        <v>14.92</v>
      </c>
      <c r="N2741" s="3">
        <v>10.29</v>
      </c>
    </row>
    <row r="2742" spans="1:14">
      <c r="A2742" s="8" t="s">
        <v>2754</v>
      </c>
      <c r="B2742" s="2">
        <f>HYPERLINK("https://www.suredividend.com/sure-analysis-research-database/","Teleflex Incorporated")</f>
        <v>0</v>
      </c>
      <c r="C2742" s="1" t="s">
        <v>3176</v>
      </c>
      <c r="D2742" s="3">
        <v>212.57</v>
      </c>
      <c r="E2742" s="4">
        <v>0.006382532896633</v>
      </c>
      <c r="F2742" s="4">
        <v>0</v>
      </c>
      <c r="G2742" s="4">
        <v>0</v>
      </c>
      <c r="H2742" s="3">
        <v>1.356735017837387</v>
      </c>
      <c r="I2742" s="5">
        <v>10012.591604</v>
      </c>
      <c r="J2742" s="6">
        <v>33.95606728526905</v>
      </c>
      <c r="K2742" s="4">
        <v>0.2177744811938021</v>
      </c>
      <c r="L2742" s="7">
        <v>1.145820246150418</v>
      </c>
      <c r="M2742" s="3">
        <v>261.31</v>
      </c>
      <c r="N2742" s="3">
        <v>176.78</v>
      </c>
    </row>
    <row r="2743" spans="1:14">
      <c r="A2743" s="8" t="s">
        <v>2755</v>
      </c>
      <c r="B2743" s="2">
        <f>HYPERLINK("https://www.suredividend.com/sure-analysis-research-database/","Tredegar Corp.")</f>
        <v>0</v>
      </c>
      <c r="C2743" s="1" t="s">
        <v>3177</v>
      </c>
      <c r="D2743" s="3">
        <v>5.34</v>
      </c>
      <c r="E2743" s="4">
        <v>0.024344568395436</v>
      </c>
      <c r="F2743" s="4" t="s">
        <v>3178</v>
      </c>
      <c r="G2743" s="4" t="s">
        <v>3178</v>
      </c>
      <c r="H2743" s="3">
        <v>0.129999995231628</v>
      </c>
      <c r="I2743" s="5">
        <v>184.149329</v>
      </c>
      <c r="J2743" s="6" t="s">
        <v>3178</v>
      </c>
      <c r="K2743" s="4" t="s">
        <v>3178</v>
      </c>
      <c r="L2743" s="7">
        <v>0.9971676946067661</v>
      </c>
      <c r="M2743" s="3">
        <v>7.17</v>
      </c>
      <c r="N2743" s="3">
        <v>3.98</v>
      </c>
    </row>
    <row r="2744" spans="1:14">
      <c r="A2744" s="8" t="s">
        <v>2756</v>
      </c>
      <c r="B2744" s="2">
        <f>HYPERLINK("https://www.suredividend.com/sure-analysis-research-database/","Tecogen Inc")</f>
        <v>0</v>
      </c>
      <c r="C2744" s="1" t="s">
        <v>3179</v>
      </c>
      <c r="D2744" s="3">
        <v>0.7667</v>
      </c>
      <c r="E2744" s="4">
        <v>0</v>
      </c>
      <c r="F2744" s="4" t="s">
        <v>3178</v>
      </c>
      <c r="G2744" s="4" t="s">
        <v>3178</v>
      </c>
      <c r="H2744" s="3">
        <v>0</v>
      </c>
      <c r="I2744" s="5">
        <v>19.052607</v>
      </c>
      <c r="J2744" s="6">
        <v>0</v>
      </c>
      <c r="K2744" s="4" t="s">
        <v>3178</v>
      </c>
      <c r="M2744" s="3">
        <v>1.29</v>
      </c>
      <c r="N2744" s="3">
        <v>0.585</v>
      </c>
    </row>
    <row r="2745" spans="1:14">
      <c r="A2745" s="8" t="s">
        <v>2757</v>
      </c>
      <c r="B2745" s="2">
        <f>HYPERLINK("https://www.suredividend.com/sure-analysis-research-database/","Triumph Group Inc.")</f>
        <v>0</v>
      </c>
      <c r="C2745" s="1" t="s">
        <v>3179</v>
      </c>
      <c r="D2745" s="3">
        <v>15.03</v>
      </c>
      <c r="E2745" s="4">
        <v>0</v>
      </c>
      <c r="F2745" s="4" t="s">
        <v>3178</v>
      </c>
      <c r="G2745" s="4" t="s">
        <v>3178</v>
      </c>
      <c r="H2745" s="3">
        <v>0</v>
      </c>
      <c r="I2745" s="5">
        <v>1157.7283</v>
      </c>
      <c r="J2745" s="6">
        <v>2.259493465701505</v>
      </c>
      <c r="K2745" s="4">
        <v>0</v>
      </c>
      <c r="L2745" s="7">
        <v>1.538627762483994</v>
      </c>
      <c r="M2745" s="3">
        <v>17.27</v>
      </c>
      <c r="N2745" s="3">
        <v>7</v>
      </c>
    </row>
    <row r="2746" spans="1:14">
      <c r="A2746" s="8" t="s">
        <v>2758</v>
      </c>
      <c r="B2746" s="2">
        <f>HYPERLINK("https://www.suredividend.com/sure-analysis-research-database/","Tecnoglass Inc")</f>
        <v>0</v>
      </c>
      <c r="C2746" s="1" t="s">
        <v>3179</v>
      </c>
      <c r="D2746" s="3">
        <v>45.58</v>
      </c>
      <c r="E2746" s="4">
        <v>0.008311722238883001</v>
      </c>
      <c r="F2746" s="4" t="s">
        <v>3178</v>
      </c>
      <c r="G2746" s="4" t="s">
        <v>3178</v>
      </c>
      <c r="H2746" s="3">
        <v>0.378848299648297</v>
      </c>
      <c r="I2746" s="5">
        <v>2142.109951</v>
      </c>
      <c r="J2746" s="6">
        <v>13.03168904798116</v>
      </c>
      <c r="K2746" s="4">
        <v>0.109178184336685</v>
      </c>
      <c r="L2746" s="7">
        <v>1.584326205580729</v>
      </c>
      <c r="M2746" s="3">
        <v>59.76</v>
      </c>
      <c r="N2746" s="3">
        <v>28.1</v>
      </c>
    </row>
    <row r="2747" spans="1:14">
      <c r="A2747" s="8" t="s">
        <v>2759</v>
      </c>
      <c r="B2747" s="2">
        <f>HYPERLINK("https://www.suredividend.com/sure-analysis-research-database/","TEGNA Inc")</f>
        <v>0</v>
      </c>
      <c r="C2747" s="1" t="s">
        <v>3187</v>
      </c>
      <c r="D2747" s="3">
        <v>14.16</v>
      </c>
      <c r="E2747" s="4">
        <v>0.032586577175494</v>
      </c>
      <c r="F2747" s="4">
        <v>0.3157894736842106</v>
      </c>
      <c r="G2747" s="4">
        <v>0.1229551070568209</v>
      </c>
      <c r="H2747" s="3">
        <v>0.461425932805004</v>
      </c>
      <c r="I2747" s="5">
        <v>2401.610283</v>
      </c>
      <c r="J2747" s="6">
        <v>4.273472383158861</v>
      </c>
      <c r="K2747" s="4">
        <v>0.1613377387430084</v>
      </c>
      <c r="L2747" s="7">
        <v>0.5948515304896691</v>
      </c>
      <c r="M2747" s="3">
        <v>16.95</v>
      </c>
      <c r="N2747" s="3">
        <v>13.06</v>
      </c>
    </row>
    <row r="2748" spans="1:14">
      <c r="A2748" s="8" t="s">
        <v>2760</v>
      </c>
      <c r="B2748" s="2">
        <f>HYPERLINK("https://www.suredividend.com/sure-analysis-TGT/","Target Corp")</f>
        <v>0</v>
      </c>
      <c r="C2748" s="1" t="s">
        <v>3184</v>
      </c>
      <c r="D2748" s="3">
        <v>146</v>
      </c>
      <c r="E2748" s="4">
        <v>0.03013698630136986</v>
      </c>
      <c r="F2748" s="4">
        <v>0</v>
      </c>
      <c r="G2748" s="4">
        <v>0.1075663432482901</v>
      </c>
      <c r="H2748" s="3">
        <v>4.350257754825636</v>
      </c>
      <c r="I2748" s="5">
        <v>67544.939658</v>
      </c>
      <c r="J2748" s="6">
        <v>16.35470693898305</v>
      </c>
      <c r="K2748" s="4">
        <v>0.4876970577158785</v>
      </c>
      <c r="L2748" s="7">
        <v>0.5727825492726281</v>
      </c>
      <c r="M2748" s="3">
        <v>180.62</v>
      </c>
      <c r="N2748" s="3">
        <v>100.43</v>
      </c>
    </row>
    <row r="2749" spans="1:14">
      <c r="A2749" s="8" t="s">
        <v>2761</v>
      </c>
      <c r="B2749" s="2">
        <f>HYPERLINK("https://www.suredividend.com/sure-analysis-research-database/","TG Therapeutics Inc")</f>
        <v>0</v>
      </c>
      <c r="C2749" s="1" t="s">
        <v>3176</v>
      </c>
      <c r="D2749" s="3">
        <v>15.85</v>
      </c>
      <c r="E2749" s="4">
        <v>0</v>
      </c>
      <c r="F2749" s="4" t="s">
        <v>3178</v>
      </c>
      <c r="G2749" s="4" t="s">
        <v>3178</v>
      </c>
      <c r="H2749" s="3">
        <v>0</v>
      </c>
      <c r="I2749" s="5">
        <v>2449.505678</v>
      </c>
      <c r="J2749" s="6">
        <v>58.90075452064347</v>
      </c>
      <c r="K2749" s="4">
        <v>0</v>
      </c>
      <c r="L2749" s="7">
        <v>1.382010557382611</v>
      </c>
      <c r="M2749" s="3">
        <v>27.86</v>
      </c>
      <c r="N2749" s="3">
        <v>6.46</v>
      </c>
    </row>
    <row r="2750" spans="1:14">
      <c r="A2750" s="8" t="s">
        <v>2762</v>
      </c>
      <c r="B2750" s="2">
        <f>HYPERLINK("https://www.suredividend.com/sure-analysis-research-database/","Target Hospitality Corp")</f>
        <v>0</v>
      </c>
      <c r="C2750" s="1" t="s">
        <v>3185</v>
      </c>
      <c r="D2750" s="3">
        <v>11.15</v>
      </c>
      <c r="E2750" s="4">
        <v>0</v>
      </c>
      <c r="F2750" s="4" t="s">
        <v>3178</v>
      </c>
      <c r="G2750" s="4" t="s">
        <v>3178</v>
      </c>
      <c r="H2750" s="3">
        <v>0</v>
      </c>
      <c r="I2750" s="5">
        <v>1118.091583</v>
      </c>
      <c r="J2750" s="6">
        <v>7.44114511573427</v>
      </c>
      <c r="K2750" s="4">
        <v>0</v>
      </c>
      <c r="L2750" s="7">
        <v>-0.043592656640854</v>
      </c>
      <c r="M2750" s="3">
        <v>16.8</v>
      </c>
      <c r="N2750" s="3">
        <v>8.49</v>
      </c>
    </row>
    <row r="2751" spans="1:14">
      <c r="A2751" s="8" t="s">
        <v>2763</v>
      </c>
      <c r="B2751" s="2">
        <f>HYPERLINK("https://www.suredividend.com/sure-analysis-research-database/","Tenet Healthcare Corp.")</f>
        <v>0</v>
      </c>
      <c r="C2751" s="1" t="s">
        <v>3176</v>
      </c>
      <c r="D2751" s="3">
        <v>133.73</v>
      </c>
      <c r="E2751" s="4">
        <v>0</v>
      </c>
      <c r="F2751" s="4" t="s">
        <v>3178</v>
      </c>
      <c r="G2751" s="4" t="s">
        <v>3178</v>
      </c>
      <c r="H2751" s="3">
        <v>0</v>
      </c>
      <c r="I2751" s="5">
        <v>13063.14759</v>
      </c>
      <c r="J2751" s="6">
        <v>4.987837949599085</v>
      </c>
      <c r="K2751" s="4">
        <v>0</v>
      </c>
      <c r="L2751" s="7">
        <v>1.340974065610766</v>
      </c>
      <c r="M2751" s="3">
        <v>136.8</v>
      </c>
      <c r="N2751" s="3">
        <v>51.04</v>
      </c>
    </row>
    <row r="2752" spans="1:14">
      <c r="A2752" s="8" t="s">
        <v>2764</v>
      </c>
      <c r="B2752" s="2">
        <f>HYPERLINK("https://www.suredividend.com/sure-analysis-THFF/","First Financial Corp. - Indiana")</f>
        <v>0</v>
      </c>
      <c r="C2752" s="1" t="s">
        <v>3180</v>
      </c>
      <c r="D2752" s="3">
        <v>36.14</v>
      </c>
      <c r="E2752" s="4">
        <v>0.04980630879911455</v>
      </c>
      <c r="F2752" s="4" t="s">
        <v>3178</v>
      </c>
      <c r="G2752" s="4" t="s">
        <v>3178</v>
      </c>
      <c r="H2752" s="3">
        <v>1.417525152042421</v>
      </c>
      <c r="I2752" s="5">
        <v>426.961321</v>
      </c>
      <c r="J2752" s="6">
        <v>7.676951255394131</v>
      </c>
      <c r="K2752" s="4">
        <v>0.3028899897526541</v>
      </c>
      <c r="L2752" s="7">
        <v>0.9402086386876221</v>
      </c>
      <c r="M2752" s="3">
        <v>43.48</v>
      </c>
      <c r="N2752" s="3">
        <v>30.55</v>
      </c>
    </row>
    <row r="2753" spans="1:14">
      <c r="A2753" s="8" t="s">
        <v>2765</v>
      </c>
      <c r="B2753" s="2">
        <f>HYPERLINK("https://www.suredividend.com/sure-analysis-THG/","Hanover Insurance Group Inc")</f>
        <v>0</v>
      </c>
      <c r="C2753" s="1" t="s">
        <v>3180</v>
      </c>
      <c r="D2753" s="3">
        <v>129.34</v>
      </c>
      <c r="E2753" s="4">
        <v>0.02628730477810422</v>
      </c>
      <c r="F2753" s="4">
        <v>0.04938271604938271</v>
      </c>
      <c r="G2753" s="4">
        <v>0.07214502590085092</v>
      </c>
      <c r="H2753" s="3">
        <v>3.287249265660679</v>
      </c>
      <c r="I2753" s="5">
        <v>4648.860636</v>
      </c>
      <c r="J2753" s="6">
        <v>28.55565501007371</v>
      </c>
      <c r="K2753" s="4">
        <v>0.7321267852250954</v>
      </c>
      <c r="L2753" s="7">
        <v>0.307496669140181</v>
      </c>
      <c r="M2753" s="3">
        <v>138.3</v>
      </c>
      <c r="N2753" s="3">
        <v>101.7</v>
      </c>
    </row>
    <row r="2754" spans="1:14">
      <c r="A2754" s="8" t="s">
        <v>2766</v>
      </c>
      <c r="B2754" s="2">
        <f>HYPERLINK("https://www.suredividend.com/sure-analysis-THO/","Thor Industries, Inc.")</f>
        <v>0</v>
      </c>
      <c r="C2754" s="1" t="s">
        <v>3182</v>
      </c>
      <c r="D2754" s="3">
        <v>97.33</v>
      </c>
      <c r="E2754" s="4">
        <v>0.01972670296927977</v>
      </c>
      <c r="F2754" s="4">
        <v>0.06666666666666665</v>
      </c>
      <c r="G2754" s="4">
        <v>0.0424022162772979</v>
      </c>
      <c r="H2754" s="3">
        <v>1.877811952530701</v>
      </c>
      <c r="I2754" s="5">
        <v>5190.077965</v>
      </c>
      <c r="J2754" s="6">
        <v>19.54242776131486</v>
      </c>
      <c r="K2754" s="4">
        <v>0.3801238770305063</v>
      </c>
      <c r="L2754" s="7">
        <v>1.372034979798057</v>
      </c>
      <c r="M2754" s="3">
        <v>128.76</v>
      </c>
      <c r="N2754" s="3">
        <v>83.38</v>
      </c>
    </row>
    <row r="2755" spans="1:14">
      <c r="A2755" s="8" t="s">
        <v>2767</v>
      </c>
      <c r="B2755" s="2">
        <f>HYPERLINK("https://www.suredividend.com/sure-analysis-research-database/","Thermon Group Holdings Inc")</f>
        <v>0</v>
      </c>
      <c r="C2755" s="1" t="s">
        <v>3179</v>
      </c>
      <c r="D2755" s="3">
        <v>30.15</v>
      </c>
      <c r="E2755" s="4">
        <v>0</v>
      </c>
      <c r="F2755" s="4" t="s">
        <v>3178</v>
      </c>
      <c r="G2755" s="4" t="s">
        <v>3178</v>
      </c>
      <c r="H2755" s="3">
        <v>0</v>
      </c>
      <c r="I2755" s="5">
        <v>1018.079874</v>
      </c>
      <c r="J2755" s="6">
        <v>19.73481960921145</v>
      </c>
      <c r="K2755" s="4">
        <v>0</v>
      </c>
      <c r="L2755" s="7">
        <v>0.9182144931598301</v>
      </c>
      <c r="M2755" s="3">
        <v>35.93</v>
      </c>
      <c r="N2755" s="3">
        <v>23.76</v>
      </c>
    </row>
    <row r="2756" spans="1:14">
      <c r="A2756" s="8" t="s">
        <v>2768</v>
      </c>
      <c r="B2756" s="2">
        <f>HYPERLINK("https://www.suredividend.com/sure-analysis-research-database/","Gentherm Inc")</f>
        <v>0</v>
      </c>
      <c r="C2756" s="1" t="s">
        <v>3182</v>
      </c>
      <c r="D2756" s="3">
        <v>53.76</v>
      </c>
      <c r="E2756" s="4">
        <v>0</v>
      </c>
      <c r="F2756" s="4" t="s">
        <v>3178</v>
      </c>
      <c r="G2756" s="4" t="s">
        <v>3178</v>
      </c>
      <c r="H2756" s="3">
        <v>0</v>
      </c>
      <c r="I2756" s="5">
        <v>1701.231652</v>
      </c>
      <c r="J2756" s="6">
        <v>36.06979013760203</v>
      </c>
      <c r="K2756" s="4">
        <v>0</v>
      </c>
      <c r="L2756" s="7">
        <v>1.419170727931219</v>
      </c>
      <c r="M2756" s="3">
        <v>66.54000000000001</v>
      </c>
      <c r="N2756" s="3">
        <v>38.21</v>
      </c>
    </row>
    <row r="2757" spans="1:14">
      <c r="A2757" s="8" t="s">
        <v>2769</v>
      </c>
      <c r="B2757" s="2">
        <f>HYPERLINK("https://www.suredividend.com/sure-analysis-research-database/","Treehouse Foods Inc")</f>
        <v>0</v>
      </c>
      <c r="C2757" s="1" t="s">
        <v>3184</v>
      </c>
      <c r="D2757" s="3">
        <v>36.24</v>
      </c>
      <c r="E2757" s="4">
        <v>0</v>
      </c>
      <c r="F2757" s="4" t="s">
        <v>3178</v>
      </c>
      <c r="G2757" s="4" t="s">
        <v>3178</v>
      </c>
      <c r="H2757" s="3">
        <v>0</v>
      </c>
      <c r="I2757" s="5">
        <v>1906.224</v>
      </c>
      <c r="J2757" s="6">
        <v>72.75664122137405</v>
      </c>
      <c r="K2757" s="4">
        <v>0</v>
      </c>
      <c r="L2757" s="7">
        <v>0.442457596275986</v>
      </c>
      <c r="M2757" s="3">
        <v>54.52</v>
      </c>
      <c r="N2757" s="3">
        <v>33.28</v>
      </c>
    </row>
    <row r="2758" spans="1:14">
      <c r="A2758" s="8" t="s">
        <v>2770</v>
      </c>
      <c r="B2758" s="2">
        <f>HYPERLINK("https://www.suredividend.com/sure-analysis-research-database/","Tiffany &amp; Co.")</f>
        <v>0</v>
      </c>
      <c r="C2758" s="1" t="s">
        <v>3182</v>
      </c>
      <c r="D2758" s="3">
        <v>131.46</v>
      </c>
      <c r="E2758" s="4">
        <v>0.017524473752942</v>
      </c>
      <c r="F2758" s="4" t="s">
        <v>3178</v>
      </c>
      <c r="G2758" s="4" t="s">
        <v>3178</v>
      </c>
      <c r="H2758" s="3">
        <v>2.303767319561764</v>
      </c>
      <c r="I2758" s="5">
        <v>15960.711882</v>
      </c>
      <c r="J2758" s="6">
        <v>55.5155195908174</v>
      </c>
      <c r="K2758" s="4">
        <v>0.9761725930346458</v>
      </c>
      <c r="L2758" s="7">
        <v>0.243947514158117</v>
      </c>
      <c r="M2758" s="3">
        <v>131.77</v>
      </c>
      <c r="N2758" s="3">
        <v>109.07</v>
      </c>
    </row>
    <row r="2759" spans="1:14">
      <c r="A2759" s="8" t="s">
        <v>2771</v>
      </c>
      <c r="B2759" s="2">
        <f>HYPERLINK("https://www.suredividend.com/sure-analysis-research-database/","Interface Inc.")</f>
        <v>0</v>
      </c>
      <c r="C2759" s="1" t="s">
        <v>3182</v>
      </c>
      <c r="D2759" s="3">
        <v>14.84</v>
      </c>
      <c r="E2759" s="4">
        <v>0.002690795088719</v>
      </c>
      <c r="F2759" s="4">
        <v>0</v>
      </c>
      <c r="G2759" s="4">
        <v>-0.312271014707454</v>
      </c>
      <c r="H2759" s="3">
        <v>0.039931399116595</v>
      </c>
      <c r="I2759" s="5">
        <v>864.3236419999999</v>
      </c>
      <c r="J2759" s="6">
        <v>14.58306436282036</v>
      </c>
      <c r="K2759" s="4">
        <v>0.03953603872930198</v>
      </c>
      <c r="L2759" s="7">
        <v>1.408547582054106</v>
      </c>
      <c r="M2759" s="3">
        <v>18.44</v>
      </c>
      <c r="N2759" s="3">
        <v>7.93</v>
      </c>
    </row>
    <row r="2760" spans="1:14">
      <c r="A2760" s="8" t="s">
        <v>2772</v>
      </c>
      <c r="B2760" s="2">
        <f>HYPERLINK("https://www.suredividend.com/sure-analysis-research-database/","Tiptree Inc")</f>
        <v>0</v>
      </c>
      <c r="C2760" s="1" t="s">
        <v>3180</v>
      </c>
      <c r="D2760" s="3">
        <v>17.69</v>
      </c>
      <c r="E2760" s="4">
        <v>0.012336267104476</v>
      </c>
      <c r="F2760" s="4">
        <v>0.2</v>
      </c>
      <c r="G2760" s="4">
        <v>0.08447177119769855</v>
      </c>
      <c r="H2760" s="3">
        <v>0.218228565078196</v>
      </c>
      <c r="I2760" s="5">
        <v>650.732045</v>
      </c>
      <c r="J2760" s="6">
        <v>0</v>
      </c>
      <c r="K2760" s="4" t="s">
        <v>3178</v>
      </c>
      <c r="L2760" s="7">
        <v>0.9354194262067471</v>
      </c>
      <c r="M2760" s="3">
        <v>20.58</v>
      </c>
      <c r="N2760" s="3">
        <v>13.1</v>
      </c>
    </row>
    <row r="2761" spans="1:14">
      <c r="A2761" s="8" t="s">
        <v>2773</v>
      </c>
      <c r="B2761" s="2">
        <f>HYPERLINK("https://www.suredividend.com/sure-analysis-research-database/","Team, Inc.")</f>
        <v>0</v>
      </c>
      <c r="C2761" s="1" t="s">
        <v>3179</v>
      </c>
      <c r="D2761" s="3">
        <v>8.15</v>
      </c>
      <c r="E2761" s="4">
        <v>0</v>
      </c>
      <c r="F2761" s="4" t="s">
        <v>3178</v>
      </c>
      <c r="G2761" s="4" t="s">
        <v>3178</v>
      </c>
      <c r="H2761" s="3">
        <v>0</v>
      </c>
      <c r="I2761" s="5">
        <v>35.983888</v>
      </c>
      <c r="J2761" s="6" t="s">
        <v>3178</v>
      </c>
      <c r="K2761" s="4">
        <v>-0</v>
      </c>
      <c r="L2761" s="7">
        <v>0.631492489202598</v>
      </c>
      <c r="M2761" s="3">
        <v>11.25</v>
      </c>
      <c r="N2761" s="3">
        <v>5.05</v>
      </c>
    </row>
    <row r="2762" spans="1:14">
      <c r="A2762" s="8" t="s">
        <v>2774</v>
      </c>
      <c r="B2762" s="2">
        <f>HYPERLINK("https://www.suredividend.com/sure-analysis-research-database/","Titan Machinery Inc")</f>
        <v>0</v>
      </c>
      <c r="C2762" s="1" t="s">
        <v>3179</v>
      </c>
      <c r="D2762" s="3">
        <v>17.41</v>
      </c>
      <c r="E2762" s="4">
        <v>0</v>
      </c>
      <c r="F2762" s="4" t="s">
        <v>3178</v>
      </c>
      <c r="G2762" s="4" t="s">
        <v>3178</v>
      </c>
      <c r="H2762" s="3">
        <v>0</v>
      </c>
      <c r="I2762" s="5">
        <v>397.277345</v>
      </c>
      <c r="J2762" s="6">
        <v>3.581591974270208</v>
      </c>
      <c r="K2762" s="4">
        <v>0</v>
      </c>
      <c r="L2762" s="7">
        <v>1.120304051061604</v>
      </c>
      <c r="M2762" s="3">
        <v>34.99</v>
      </c>
      <c r="N2762" s="3">
        <v>17.11</v>
      </c>
    </row>
    <row r="2763" spans="1:14">
      <c r="A2763" s="8" t="s">
        <v>2775</v>
      </c>
      <c r="B2763" s="2">
        <f>HYPERLINK("https://www.suredividend.com/sure-analysis-TJX/","TJX Companies, Inc.")</f>
        <v>0</v>
      </c>
      <c r="C2763" s="1" t="s">
        <v>3182</v>
      </c>
      <c r="D2763" s="3">
        <v>107.44</v>
      </c>
      <c r="E2763" s="4">
        <v>0.01396128071481757</v>
      </c>
      <c r="F2763" s="4" t="s">
        <v>3178</v>
      </c>
      <c r="G2763" s="4" t="s">
        <v>3178</v>
      </c>
      <c r="H2763" s="3">
        <v>1.365265255005362</v>
      </c>
      <c r="I2763" s="5">
        <v>121423.225321</v>
      </c>
      <c r="J2763" s="6">
        <v>26.0956856481066</v>
      </c>
      <c r="K2763" s="4">
        <v>0.338775497519941</v>
      </c>
      <c r="L2763" s="7">
        <v>0.6636915257945011</v>
      </c>
      <c r="M2763" s="3">
        <v>108.58</v>
      </c>
      <c r="N2763" s="3">
        <v>78.18000000000001</v>
      </c>
    </row>
    <row r="2764" spans="1:14">
      <c r="A2764" s="8" t="s">
        <v>2776</v>
      </c>
      <c r="B2764" s="2">
        <f>HYPERLINK("https://www.suredividend.com/sure-analysis-TKR/","Timken Co.")</f>
        <v>0</v>
      </c>
      <c r="C2764" s="1" t="s">
        <v>3179</v>
      </c>
      <c r="D2764" s="3">
        <v>83.56999999999999</v>
      </c>
      <c r="E2764" s="4">
        <v>0.01627378245781979</v>
      </c>
      <c r="F2764" s="4">
        <v>0.03030303030303028</v>
      </c>
      <c r="G2764" s="4">
        <v>0.03959498820755258</v>
      </c>
      <c r="H2764" s="3">
        <v>1.322159406785965</v>
      </c>
      <c r="I2764" s="5">
        <v>5884.372207</v>
      </c>
      <c r="J2764" s="6">
        <v>15.67911592632561</v>
      </c>
      <c r="K2764" s="4">
        <v>0.2518398870068504</v>
      </c>
      <c r="L2764" s="7">
        <v>1.162874792922477</v>
      </c>
      <c r="M2764" s="3">
        <v>94.34999999999999</v>
      </c>
      <c r="N2764" s="3">
        <v>64.90000000000001</v>
      </c>
    </row>
    <row r="2765" spans="1:14">
      <c r="A2765" s="8" t="s">
        <v>2777</v>
      </c>
      <c r="B2765" s="2">
        <f>HYPERLINK("https://www.suredividend.com/sure-analysis-research-database/","Tandy Leather Factory Inc")</f>
        <v>0</v>
      </c>
      <c r="C2765" s="1" t="s">
        <v>3182</v>
      </c>
      <c r="D2765" s="3">
        <v>4.58</v>
      </c>
      <c r="E2765" s="4">
        <v>0</v>
      </c>
      <c r="F2765" s="4" t="s">
        <v>3178</v>
      </c>
      <c r="G2765" s="4" t="s">
        <v>3178</v>
      </c>
      <c r="H2765" s="3">
        <v>0</v>
      </c>
      <c r="I2765" s="5">
        <v>37.472795</v>
      </c>
      <c r="J2765" s="6">
        <v>0</v>
      </c>
      <c r="K2765" s="4" t="s">
        <v>3178</v>
      </c>
      <c r="M2765" s="3">
        <v>5.01</v>
      </c>
      <c r="N2765" s="3">
        <v>3.9</v>
      </c>
    </row>
    <row r="2766" spans="1:14">
      <c r="A2766" s="8" t="s">
        <v>2778</v>
      </c>
      <c r="B2766" s="2">
        <f>HYPERLINK("https://www.suredividend.com/sure-analysis-research-database/","Teligent Inc")</f>
        <v>0</v>
      </c>
      <c r="C2766" s="1" t="s">
        <v>3176</v>
      </c>
      <c r="D2766" s="3">
        <v>0.1735</v>
      </c>
      <c r="E2766" s="4">
        <v>0</v>
      </c>
      <c r="F2766" s="4" t="s">
        <v>3178</v>
      </c>
      <c r="G2766" s="4" t="s">
        <v>3178</v>
      </c>
      <c r="H2766" s="3">
        <v>0</v>
      </c>
      <c r="I2766" s="5">
        <v>0</v>
      </c>
      <c r="J2766" s="6">
        <v>0</v>
      </c>
      <c r="K2766" s="4" t="s">
        <v>3178</v>
      </c>
    </row>
    <row r="2767" spans="1:14">
      <c r="A2767" s="8" t="s">
        <v>2779</v>
      </c>
      <c r="B2767" s="2">
        <f>HYPERLINK("https://www.suredividend.com/sure-analysis-research-database/","Tillys Inc")</f>
        <v>0</v>
      </c>
      <c r="C2767" s="1" t="s">
        <v>3182</v>
      </c>
      <c r="D2767" s="3">
        <v>5.62</v>
      </c>
      <c r="E2767" s="4">
        <v>0</v>
      </c>
      <c r="F2767" s="4" t="s">
        <v>3178</v>
      </c>
      <c r="G2767" s="4" t="s">
        <v>3178</v>
      </c>
      <c r="H2767" s="3">
        <v>0</v>
      </c>
      <c r="I2767" s="5">
        <v>127.858456</v>
      </c>
      <c r="J2767" s="6" t="s">
        <v>3178</v>
      </c>
      <c r="K2767" s="4">
        <v>-0</v>
      </c>
      <c r="L2767" s="7">
        <v>0.9846631467469871</v>
      </c>
      <c r="M2767" s="3">
        <v>9.5</v>
      </c>
      <c r="N2767" s="3">
        <v>5.19</v>
      </c>
    </row>
    <row r="2768" spans="1:14">
      <c r="A2768" s="8" t="s">
        <v>2780</v>
      </c>
      <c r="B2768" s="2">
        <f>HYPERLINK("https://www.suredividend.com/sure-analysis-research-database/","Transmedics Group Inc")</f>
        <v>0</v>
      </c>
      <c r="C2768" s="1" t="s">
        <v>3176</v>
      </c>
      <c r="D2768" s="3">
        <v>137.18</v>
      </c>
      <c r="E2768" s="4">
        <v>0</v>
      </c>
      <c r="F2768" s="4" t="s">
        <v>3178</v>
      </c>
      <c r="G2768" s="4" t="s">
        <v>3178</v>
      </c>
      <c r="H2768" s="3">
        <v>0</v>
      </c>
      <c r="I2768" s="5">
        <v>4518.338265</v>
      </c>
      <c r="J2768" s="6" t="s">
        <v>3178</v>
      </c>
      <c r="K2768" s="4">
        <v>-0</v>
      </c>
      <c r="L2768" s="7">
        <v>1.677033512155535</v>
      </c>
      <c r="M2768" s="3">
        <v>144.23</v>
      </c>
      <c r="N2768" s="3">
        <v>36.42</v>
      </c>
    </row>
    <row r="2769" spans="1:14">
      <c r="A2769" s="8" t="s">
        <v>2781</v>
      </c>
      <c r="B2769" s="2">
        <f>HYPERLINK("https://www.suredividend.com/sure-analysis-research-database/","Taylor Morrison Home Corp.")</f>
        <v>0</v>
      </c>
      <c r="C2769" s="1" t="s">
        <v>3182</v>
      </c>
      <c r="D2769" s="3">
        <v>55.52</v>
      </c>
      <c r="E2769" s="4">
        <v>0</v>
      </c>
      <c r="F2769" s="4" t="s">
        <v>3178</v>
      </c>
      <c r="G2769" s="4" t="s">
        <v>3178</v>
      </c>
      <c r="H2769" s="3">
        <v>0</v>
      </c>
      <c r="I2769" s="5">
        <v>5872.040765</v>
      </c>
      <c r="J2769" s="6">
        <v>7.644413270567652</v>
      </c>
      <c r="K2769" s="4">
        <v>0</v>
      </c>
      <c r="L2769" s="7">
        <v>1.768929069863556</v>
      </c>
      <c r="M2769" s="3">
        <v>62.64</v>
      </c>
      <c r="N2769" s="3">
        <v>37.23</v>
      </c>
    </row>
    <row r="2770" spans="1:14">
      <c r="A2770" s="8" t="s">
        <v>2782</v>
      </c>
      <c r="B2770" s="2">
        <f>HYPERLINK("https://www.suredividend.com/sure-analysis-TMO/","Thermo Fisher Scientific Inc.")</f>
        <v>0</v>
      </c>
      <c r="C2770" s="1" t="s">
        <v>3176</v>
      </c>
      <c r="D2770" s="3">
        <v>581.09</v>
      </c>
      <c r="E2770" s="4">
        <v>0.002684609957149495</v>
      </c>
      <c r="F2770" s="4">
        <v>0.1142857142857143</v>
      </c>
      <c r="G2770" s="4">
        <v>0.1546814827060505</v>
      </c>
      <c r="H2770" s="3">
        <v>1.438598105967749</v>
      </c>
      <c r="I2770" s="5">
        <v>221811.538132</v>
      </c>
      <c r="J2770" s="6">
        <v>36.76028142725721</v>
      </c>
      <c r="K2770" s="4">
        <v>0.09227697921537839</v>
      </c>
      <c r="L2770" s="7">
        <v>0.9498570259097601</v>
      </c>
      <c r="M2770" s="3">
        <v>603.42</v>
      </c>
      <c r="N2770" s="3">
        <v>415.05</v>
      </c>
    </row>
    <row r="2771" spans="1:14">
      <c r="A2771" s="8" t="s">
        <v>2783</v>
      </c>
      <c r="B2771" s="2">
        <f>HYPERLINK("https://www.suredividend.com/sure-analysis-TMP/","Tompkins Financial Corp")</f>
        <v>0</v>
      </c>
      <c r="C2771" s="1" t="s">
        <v>3180</v>
      </c>
      <c r="D2771" s="3">
        <v>44.67</v>
      </c>
      <c r="E2771" s="4">
        <v>0.0546227893440788</v>
      </c>
      <c r="F2771" s="4">
        <v>0.01666666666666639</v>
      </c>
      <c r="G2771" s="4">
        <v>0.04057159395880827</v>
      </c>
      <c r="H2771" s="3">
        <v>2.322595979977169</v>
      </c>
      <c r="I2771" s="5">
        <v>643.44839</v>
      </c>
      <c r="J2771" s="6">
        <v>92.29035995697072</v>
      </c>
      <c r="K2771" s="4">
        <v>4.751628436941835</v>
      </c>
      <c r="L2771" s="7">
        <v>1.102430825508522</v>
      </c>
      <c r="M2771" s="3">
        <v>62.29</v>
      </c>
      <c r="N2771" s="3">
        <v>41.98</v>
      </c>
    </row>
    <row r="2772" spans="1:14">
      <c r="A2772" s="8" t="s">
        <v>2784</v>
      </c>
      <c r="B2772" s="2">
        <f>HYPERLINK("https://www.suredividend.com/sure-analysis-research-database/","T-Mobile US Inc")</f>
        <v>0</v>
      </c>
      <c r="C2772" s="1" t="s">
        <v>3187</v>
      </c>
      <c r="D2772" s="3">
        <v>179.82</v>
      </c>
      <c r="E2772" s="4">
        <v>0.007201983477756001</v>
      </c>
      <c r="F2772" s="4" t="s">
        <v>3178</v>
      </c>
      <c r="G2772" s="4" t="s">
        <v>3178</v>
      </c>
      <c r="H2772" s="3">
        <v>1.295060668970205</v>
      </c>
      <c r="I2772" s="5">
        <v>210722.832853</v>
      </c>
      <c r="J2772" s="6">
        <v>24.07985748524512</v>
      </c>
      <c r="K2772" s="4">
        <v>0.1761987304721367</v>
      </c>
      <c r="L2772" s="7">
        <v>0.388458667160212</v>
      </c>
      <c r="M2772" s="3">
        <v>182.67</v>
      </c>
      <c r="N2772" s="3">
        <v>124.66</v>
      </c>
    </row>
    <row r="2773" spans="1:14">
      <c r="A2773" s="8" t="s">
        <v>2785</v>
      </c>
      <c r="B2773" s="2">
        <f>HYPERLINK("https://www.suredividend.com/sure-analysis-research-database/","Telenav Inc")</f>
        <v>0</v>
      </c>
      <c r="C2773" s="1" t="s">
        <v>3181</v>
      </c>
      <c r="D2773" s="3">
        <v>4.79</v>
      </c>
      <c r="E2773" s="4">
        <v>0</v>
      </c>
      <c r="F2773" s="4" t="s">
        <v>3178</v>
      </c>
      <c r="G2773" s="4" t="s">
        <v>3178</v>
      </c>
      <c r="H2773" s="3">
        <v>0</v>
      </c>
      <c r="I2773" s="5">
        <v>0</v>
      </c>
      <c r="J2773" s="6">
        <v>0</v>
      </c>
      <c r="K2773" s="4">
        <v>-0</v>
      </c>
    </row>
    <row r="2774" spans="1:14">
      <c r="A2774" s="8" t="s">
        <v>2786</v>
      </c>
      <c r="B2774" s="2">
        <f>HYPERLINK("https://www.suredividend.com/sure-analysis-TNC/","Tennant Co.")</f>
        <v>0</v>
      </c>
      <c r="C2774" s="1" t="s">
        <v>3179</v>
      </c>
      <c r="D2774" s="3">
        <v>99</v>
      </c>
      <c r="E2774" s="4">
        <v>0.01131313131313131</v>
      </c>
      <c r="F2774" s="4">
        <v>0.05660377358490565</v>
      </c>
      <c r="G2774" s="4">
        <v>0.04941452284458392</v>
      </c>
      <c r="H2774" s="3">
        <v>1.100553684461273</v>
      </c>
      <c r="I2774" s="5">
        <v>1881.73854</v>
      </c>
      <c r="J2774" s="6">
        <v>16.56459982394366</v>
      </c>
      <c r="K2774" s="4">
        <v>0.1828162266546965</v>
      </c>
      <c r="L2774" s="7">
        <v>0.7723553976314891</v>
      </c>
      <c r="M2774" s="3">
        <v>123.77</v>
      </c>
      <c r="N2774" s="3">
        <v>72.2</v>
      </c>
    </row>
    <row r="2775" spans="1:14">
      <c r="A2775" s="8" t="s">
        <v>2787</v>
      </c>
      <c r="B2775" s="2">
        <f>HYPERLINK("https://www.suredividend.com/sure-analysis-research-database/","Tandem Diabetes Care Inc")</f>
        <v>0</v>
      </c>
      <c r="C2775" s="1" t="s">
        <v>3176</v>
      </c>
      <c r="D2775" s="3">
        <v>48.85</v>
      </c>
      <c r="E2775" s="4">
        <v>0</v>
      </c>
      <c r="F2775" s="4" t="s">
        <v>3178</v>
      </c>
      <c r="G2775" s="4" t="s">
        <v>3178</v>
      </c>
      <c r="H2775" s="3">
        <v>0</v>
      </c>
      <c r="I2775" s="5">
        <v>3155.197954</v>
      </c>
      <c r="J2775" s="6" t="s">
        <v>3178</v>
      </c>
      <c r="K2775" s="4">
        <v>-0</v>
      </c>
      <c r="L2775" s="7">
        <v>1.682727263170053</v>
      </c>
      <c r="M2775" s="3">
        <v>53.69</v>
      </c>
      <c r="N2775" s="3">
        <v>13.82</v>
      </c>
    </row>
    <row r="2776" spans="1:14">
      <c r="A2776" s="8" t="s">
        <v>2788</v>
      </c>
      <c r="B2776" s="2">
        <f>HYPERLINK("https://www.suredividend.com/sure-analysis-research-database/","TriNet Group Inc")</f>
        <v>0</v>
      </c>
      <c r="C2776" s="1" t="s">
        <v>3179</v>
      </c>
      <c r="D2776" s="3">
        <v>105.81</v>
      </c>
      <c r="E2776" s="4">
        <v>0.002362725640298</v>
      </c>
      <c r="F2776" s="4" t="s">
        <v>3178</v>
      </c>
      <c r="G2776" s="4" t="s">
        <v>3178</v>
      </c>
      <c r="H2776" s="3">
        <v>0.25</v>
      </c>
      <c r="I2776" s="5">
        <v>5350.160863</v>
      </c>
      <c r="J2776" s="6">
        <v>15.97062944086567</v>
      </c>
      <c r="K2776" s="4">
        <v>0.04084967320261438</v>
      </c>
      <c r="L2776" s="7">
        <v>0.568619562543478</v>
      </c>
      <c r="M2776" s="3">
        <v>134.67</v>
      </c>
      <c r="N2776" s="3">
        <v>90.38</v>
      </c>
    </row>
    <row r="2777" spans="1:14">
      <c r="A2777" s="8" t="s">
        <v>2789</v>
      </c>
      <c r="B2777" s="2">
        <f>HYPERLINK("https://www.suredividend.com/sure-analysis-research-database/","Tonix Pharmaceuticals Holding Corp")</f>
        <v>0</v>
      </c>
      <c r="C2777" s="1" t="s">
        <v>3176</v>
      </c>
      <c r="D2777" s="3">
        <v>0.1041</v>
      </c>
      <c r="E2777" s="4">
        <v>0</v>
      </c>
      <c r="F2777" s="4" t="s">
        <v>3178</v>
      </c>
      <c r="G2777" s="4" t="s">
        <v>3178</v>
      </c>
      <c r="H2777" s="3">
        <v>0</v>
      </c>
      <c r="I2777" s="5">
        <v>9.946109999999999</v>
      </c>
      <c r="J2777" s="6">
        <v>0</v>
      </c>
      <c r="K2777" s="4" t="s">
        <v>3178</v>
      </c>
      <c r="L2777" s="7">
        <v>1.223058667688916</v>
      </c>
      <c r="M2777" s="3">
        <v>1.99</v>
      </c>
      <c r="N2777" s="3">
        <v>0.1006</v>
      </c>
    </row>
    <row r="2778" spans="1:14">
      <c r="A2778" s="8" t="s">
        <v>2790</v>
      </c>
      <c r="B2778" s="2">
        <f>HYPERLINK("https://www.suredividend.com/sure-analysis-research-database/","Toll Brothers Inc.")</f>
        <v>0</v>
      </c>
      <c r="C2778" s="1" t="s">
        <v>3182</v>
      </c>
      <c r="D2778" s="3">
        <v>117.09</v>
      </c>
      <c r="E2778" s="4">
        <v>0.007322436432581</v>
      </c>
      <c r="F2778" s="4">
        <v>0.09523809523809534</v>
      </c>
      <c r="G2778" s="4">
        <v>0.1589562187541786</v>
      </c>
      <c r="H2778" s="3">
        <v>0.8573840818909451</v>
      </c>
      <c r="I2778" s="5">
        <v>12019.2885</v>
      </c>
      <c r="J2778" s="6">
        <v>7.599929497312678</v>
      </c>
      <c r="K2778" s="4">
        <v>0.05848458948778616</v>
      </c>
      <c r="L2778" s="7">
        <v>1.726928448936703</v>
      </c>
      <c r="M2778" s="3">
        <v>135.37</v>
      </c>
      <c r="N2778" s="3">
        <v>67.81999999999999</v>
      </c>
    </row>
    <row r="2779" spans="1:14">
      <c r="A2779" s="8" t="s">
        <v>2791</v>
      </c>
      <c r="B2779" s="2">
        <f>HYPERLINK("https://www.suredividend.com/sure-analysis-research-database/","Townebank Portsmouth VA")</f>
        <v>0</v>
      </c>
      <c r="C2779" s="1" t="s">
        <v>3180</v>
      </c>
      <c r="D2779" s="3">
        <v>26.46</v>
      </c>
      <c r="E2779" s="4">
        <v>0.036774687556198</v>
      </c>
      <c r="F2779" s="4">
        <v>0.08695652173913038</v>
      </c>
      <c r="G2779" s="4">
        <v>0.06790716584560208</v>
      </c>
      <c r="H2779" s="3">
        <v>0.9730582327370191</v>
      </c>
      <c r="I2779" s="5">
        <v>1367.417529</v>
      </c>
      <c r="J2779" s="6">
        <v>0</v>
      </c>
      <c r="K2779" s="4" t="s">
        <v>3178</v>
      </c>
      <c r="L2779" s="7">
        <v>1.053562053789863</v>
      </c>
      <c r="M2779" s="3">
        <v>30.05</v>
      </c>
      <c r="N2779" s="3">
        <v>20.89</v>
      </c>
    </row>
    <row r="2780" spans="1:14">
      <c r="A2780" s="8" t="s">
        <v>2792</v>
      </c>
      <c r="B2780" s="2">
        <f>HYPERLINK("https://www.suredividend.com/sure-analysis-research-database/","Turning Point Brands Inc")</f>
        <v>0</v>
      </c>
      <c r="C2780" s="1" t="s">
        <v>3184</v>
      </c>
      <c r="D2780" s="3">
        <v>31.68</v>
      </c>
      <c r="E2780" s="4">
        <v>0.008334158250787</v>
      </c>
      <c r="F2780" s="4">
        <v>0.07692307692307709</v>
      </c>
      <c r="G2780" s="4">
        <v>0.09238846414037316</v>
      </c>
      <c r="H2780" s="3">
        <v>0.264026133384945</v>
      </c>
      <c r="I2780" s="5">
        <v>558.255646</v>
      </c>
      <c r="J2780" s="6">
        <v>13.02053985026239</v>
      </c>
      <c r="K2780" s="4">
        <v>0.1251308689028175</v>
      </c>
      <c r="L2780" s="7">
        <v>1.037128973643873</v>
      </c>
      <c r="M2780" s="3">
        <v>34.71</v>
      </c>
      <c r="N2780" s="3">
        <v>19.57</v>
      </c>
    </row>
    <row r="2781" spans="1:14">
      <c r="A2781" s="8" t="s">
        <v>2793</v>
      </c>
      <c r="B2781" s="2">
        <f>HYPERLINK("https://www.suredividend.com/sure-analysis-research-database/","Tutor Perini Corp")</f>
        <v>0</v>
      </c>
      <c r="C2781" s="1" t="s">
        <v>3179</v>
      </c>
      <c r="D2781" s="3">
        <v>19.87</v>
      </c>
      <c r="E2781" s="4">
        <v>0</v>
      </c>
      <c r="F2781" s="4" t="s">
        <v>3178</v>
      </c>
      <c r="G2781" s="4" t="s">
        <v>3178</v>
      </c>
      <c r="H2781" s="3">
        <v>0</v>
      </c>
      <c r="I2781" s="5">
        <v>1038.88308</v>
      </c>
      <c r="J2781" s="6" t="s">
        <v>3178</v>
      </c>
      <c r="K2781" s="4">
        <v>-0</v>
      </c>
      <c r="L2781" s="7">
        <v>1.670207130004619</v>
      </c>
      <c r="M2781" s="3">
        <v>23.19</v>
      </c>
      <c r="N2781" s="3">
        <v>6.31</v>
      </c>
    </row>
    <row r="2782" spans="1:14">
      <c r="A2782" s="8" t="s">
        <v>2794</v>
      </c>
      <c r="B2782" s="2">
        <f>HYPERLINK("https://www.suredividend.com/sure-analysis-research-database/","Tribune Publishing Co")</f>
        <v>0</v>
      </c>
      <c r="C2782" s="1" t="s">
        <v>3187</v>
      </c>
      <c r="D2782" s="3">
        <v>17.26</v>
      </c>
      <c r="E2782" s="4">
        <v>0</v>
      </c>
      <c r="F2782" s="4" t="s">
        <v>3178</v>
      </c>
      <c r="G2782" s="4" t="s">
        <v>3178</v>
      </c>
      <c r="H2782" s="3">
        <v>0</v>
      </c>
      <c r="I2782" s="5">
        <v>0</v>
      </c>
      <c r="J2782" s="6">
        <v>0</v>
      </c>
      <c r="K2782" s="4">
        <v>0</v>
      </c>
    </row>
    <row r="2783" spans="1:14">
      <c r="A2783" s="8" t="s">
        <v>2795</v>
      </c>
      <c r="B2783" s="2">
        <f>HYPERLINK("https://www.suredividend.com/sure-analysis-research-database/","Tri Pointe Homes Inc.")</f>
        <v>0</v>
      </c>
      <c r="C2783" s="1" t="s">
        <v>3182</v>
      </c>
      <c r="D2783" s="3">
        <v>37.33</v>
      </c>
      <c r="E2783" s="4">
        <v>0</v>
      </c>
      <c r="F2783" s="4" t="s">
        <v>3178</v>
      </c>
      <c r="G2783" s="4" t="s">
        <v>3178</v>
      </c>
      <c r="H2783" s="3">
        <v>0</v>
      </c>
      <c r="I2783" s="5">
        <v>3541.772483</v>
      </c>
      <c r="J2783" s="6">
        <v>9.623989466217409</v>
      </c>
      <c r="K2783" s="4">
        <v>0</v>
      </c>
      <c r="L2783" s="7">
        <v>1.685078209508447</v>
      </c>
      <c r="M2783" s="3">
        <v>40.98</v>
      </c>
      <c r="N2783" s="3">
        <v>24.18</v>
      </c>
    </row>
    <row r="2784" spans="1:14">
      <c r="A2784" s="8" t="s">
        <v>2796</v>
      </c>
      <c r="B2784" s="2">
        <f>HYPERLINK("https://www.suredividend.com/sure-analysis-research-database/","Trinity Place Holdings Inc")</f>
        <v>0</v>
      </c>
      <c r="C2784" s="1" t="s">
        <v>3183</v>
      </c>
      <c r="D2784" s="3">
        <v>0.1756</v>
      </c>
      <c r="E2784" s="4">
        <v>0</v>
      </c>
      <c r="F2784" s="4" t="s">
        <v>3178</v>
      </c>
      <c r="G2784" s="4" t="s">
        <v>3178</v>
      </c>
      <c r="H2784" s="3">
        <v>0</v>
      </c>
      <c r="I2784" s="5">
        <v>11.246561</v>
      </c>
      <c r="J2784" s="6">
        <v>0</v>
      </c>
      <c r="K2784" s="4" t="s">
        <v>3178</v>
      </c>
      <c r="L2784" s="7">
        <v>0.333797457820983</v>
      </c>
      <c r="M2784" s="3">
        <v>0.7099000000000001</v>
      </c>
      <c r="N2784" s="3">
        <v>0.081</v>
      </c>
    </row>
    <row r="2785" spans="1:14">
      <c r="A2785" s="8" t="s">
        <v>2797</v>
      </c>
      <c r="B2785" s="2">
        <f>HYPERLINK("https://www.suredividend.com/sure-analysis-research-database/","TPI Composites Inc")</f>
        <v>0</v>
      </c>
      <c r="C2785" s="1" t="s">
        <v>3179</v>
      </c>
      <c r="D2785" s="3">
        <v>4.76</v>
      </c>
      <c r="E2785" s="4">
        <v>0</v>
      </c>
      <c r="F2785" s="4" t="s">
        <v>3178</v>
      </c>
      <c r="G2785" s="4" t="s">
        <v>3178</v>
      </c>
      <c r="H2785" s="3">
        <v>0</v>
      </c>
      <c r="I2785" s="5">
        <v>224.865156</v>
      </c>
      <c r="J2785" s="6" t="s">
        <v>3178</v>
      </c>
      <c r="K2785" s="4">
        <v>-0</v>
      </c>
      <c r="L2785" s="7">
        <v>4.010123122479624</v>
      </c>
      <c r="M2785" s="3">
        <v>12.21</v>
      </c>
      <c r="N2785" s="3">
        <v>1.63</v>
      </c>
    </row>
    <row r="2786" spans="1:14">
      <c r="A2786" s="8" t="s">
        <v>2798</v>
      </c>
      <c r="B2786" s="2">
        <f>HYPERLINK("https://www.suredividend.com/sure-analysis-TPR/","Tapestry Inc")</f>
        <v>0</v>
      </c>
      <c r="C2786" s="1" t="s">
        <v>3182</v>
      </c>
      <c r="D2786" s="3">
        <v>43.38</v>
      </c>
      <c r="E2786" s="4">
        <v>0.03227293683725219</v>
      </c>
      <c r="F2786" s="4" t="s">
        <v>3178</v>
      </c>
      <c r="G2786" s="4" t="s">
        <v>3178</v>
      </c>
      <c r="H2786" s="3">
        <v>1.382679569410275</v>
      </c>
      <c r="I2786" s="5">
        <v>9967.563585</v>
      </c>
      <c r="J2786" s="6">
        <v>11.31648908378747</v>
      </c>
      <c r="K2786" s="4">
        <v>0.366758506474874</v>
      </c>
      <c r="L2786" s="7">
        <v>1.039505266371223</v>
      </c>
      <c r="M2786" s="3">
        <v>48.05</v>
      </c>
      <c r="N2786" s="3">
        <v>25.31</v>
      </c>
    </row>
    <row r="2787" spans="1:14">
      <c r="A2787" s="8" t="s">
        <v>2799</v>
      </c>
      <c r="B2787" s="2">
        <f>HYPERLINK("https://www.suredividend.com/sure-analysis-research-database/","Turning Point Therapeutics Inc")</f>
        <v>0</v>
      </c>
      <c r="C2787" s="1" t="s">
        <v>3176</v>
      </c>
      <c r="D2787" s="3">
        <v>76.01000000000001</v>
      </c>
      <c r="E2787" s="4">
        <v>0</v>
      </c>
      <c r="F2787" s="4" t="s">
        <v>3178</v>
      </c>
      <c r="G2787" s="4" t="s">
        <v>3178</v>
      </c>
      <c r="H2787" s="3">
        <v>0</v>
      </c>
      <c r="I2787" s="5">
        <v>0</v>
      </c>
      <c r="J2787" s="6">
        <v>0</v>
      </c>
      <c r="K2787" s="4" t="s">
        <v>3178</v>
      </c>
    </row>
    <row r="2788" spans="1:14">
      <c r="A2788" s="8" t="s">
        <v>2800</v>
      </c>
      <c r="B2788" s="2">
        <f>HYPERLINK("https://www.suredividend.com/sure-analysis-research-database/","Tempur Sealy International Inc")</f>
        <v>0</v>
      </c>
      <c r="C2788" s="1" t="s">
        <v>3182</v>
      </c>
      <c r="D2788" s="3">
        <v>49.04</v>
      </c>
      <c r="E2788" s="4">
        <v>0.009752920523461</v>
      </c>
      <c r="F2788" s="4" t="s">
        <v>3178</v>
      </c>
      <c r="G2788" s="4" t="s">
        <v>3178</v>
      </c>
      <c r="H2788" s="3">
        <v>0.4782832224705401</v>
      </c>
      <c r="I2788" s="5">
        <v>8514.581819000001</v>
      </c>
      <c r="J2788" s="6">
        <v>23.71089339637984</v>
      </c>
      <c r="K2788" s="4">
        <v>0.2367738725101683</v>
      </c>
      <c r="L2788" s="7">
        <v>1.363365779861917</v>
      </c>
      <c r="M2788" s="3">
        <v>56.99</v>
      </c>
      <c r="N2788" s="3">
        <v>35.84</v>
      </c>
    </row>
    <row r="2789" spans="1:14">
      <c r="A2789" s="8" t="s">
        <v>2801</v>
      </c>
      <c r="B2789" s="2">
        <f>HYPERLINK("https://www.suredividend.com/sure-analysis-TR/","Tootsie Roll Industries, Inc.")</f>
        <v>0</v>
      </c>
      <c r="C2789" s="1" t="s">
        <v>3184</v>
      </c>
      <c r="D2789" s="3">
        <v>28.81</v>
      </c>
      <c r="E2789" s="4">
        <v>0.01249566122874002</v>
      </c>
      <c r="F2789" s="4">
        <v>0</v>
      </c>
      <c r="G2789" s="4">
        <v>0</v>
      </c>
      <c r="H2789" s="3">
        <v>0.3585282503973241</v>
      </c>
      <c r="I2789" s="5">
        <v>1187.288247</v>
      </c>
      <c r="J2789" s="6">
        <v>12.5845381034501</v>
      </c>
      <c r="K2789" s="4">
        <v>0.2716123109070637</v>
      </c>
      <c r="L2789" s="7">
        <v>0.319070423450833</v>
      </c>
      <c r="M2789" s="3">
        <v>38.18</v>
      </c>
      <c r="N2789" s="3">
        <v>28.81</v>
      </c>
    </row>
    <row r="2790" spans="1:14">
      <c r="A2790" s="8" t="s">
        <v>2802</v>
      </c>
      <c r="B2790" s="2">
        <f>HYPERLINK("https://www.suredividend.com/sure-analysis-research-database/","Tejon Ranch Co.")</f>
        <v>0</v>
      </c>
      <c r="C2790" s="1" t="s">
        <v>3179</v>
      </c>
      <c r="D2790" s="3">
        <v>16.85</v>
      </c>
      <c r="E2790" s="4">
        <v>0</v>
      </c>
      <c r="F2790" s="4" t="s">
        <v>3178</v>
      </c>
      <c r="G2790" s="4" t="s">
        <v>3178</v>
      </c>
      <c r="H2790" s="3">
        <v>0</v>
      </c>
      <c r="I2790" s="5">
        <v>451.536864</v>
      </c>
      <c r="J2790" s="6">
        <v>782.5595563258232</v>
      </c>
      <c r="K2790" s="4">
        <v>0</v>
      </c>
      <c r="L2790" s="7">
        <v>0.8037323016654211</v>
      </c>
      <c r="M2790" s="3">
        <v>18.98</v>
      </c>
      <c r="N2790" s="3">
        <v>14.8</v>
      </c>
    </row>
    <row r="2791" spans="1:14">
      <c r="A2791" s="8" t="s">
        <v>2803</v>
      </c>
      <c r="B2791" s="2">
        <f>HYPERLINK("https://www.suredividend.com/sure-analysis-research-database/","Torchlight Energy Resources Inc")</f>
        <v>0</v>
      </c>
      <c r="C2791" s="1" t="s">
        <v>3185</v>
      </c>
      <c r="D2791" s="3">
        <v>4.95</v>
      </c>
      <c r="E2791" s="4">
        <v>0</v>
      </c>
      <c r="F2791" s="4" t="s">
        <v>3178</v>
      </c>
      <c r="G2791" s="4" t="s">
        <v>3178</v>
      </c>
      <c r="H2791" s="3">
        <v>0</v>
      </c>
      <c r="I2791" s="5">
        <v>785.778152</v>
      </c>
      <c r="J2791" s="6">
        <v>0</v>
      </c>
      <c r="K2791" s="4" t="s">
        <v>3178</v>
      </c>
      <c r="L2791" s="7">
        <v>1.688944579339885</v>
      </c>
      <c r="M2791" s="3">
        <v>10.88</v>
      </c>
      <c r="N2791" s="3">
        <v>0.2111</v>
      </c>
    </row>
    <row r="2792" spans="1:14">
      <c r="A2792" s="8" t="s">
        <v>2804</v>
      </c>
      <c r="B2792" s="2">
        <f>HYPERLINK("https://www.suredividend.com/sure-analysis-research-database/","Trecora Resources")</f>
        <v>0</v>
      </c>
      <c r="C2792" s="1" t="s">
        <v>3177</v>
      </c>
      <c r="D2792" s="3">
        <v>9.81</v>
      </c>
      <c r="E2792" s="4">
        <v>0</v>
      </c>
      <c r="F2792" s="4" t="s">
        <v>3178</v>
      </c>
      <c r="G2792" s="4" t="s">
        <v>3178</v>
      </c>
      <c r="H2792" s="3">
        <v>0</v>
      </c>
      <c r="I2792" s="5">
        <v>232.017693</v>
      </c>
      <c r="J2792" s="6">
        <v>25.80554923923924</v>
      </c>
      <c r="K2792" s="4">
        <v>0</v>
      </c>
      <c r="L2792" s="7">
        <v>0.007939718595145001</v>
      </c>
      <c r="M2792" s="3">
        <v>9.82</v>
      </c>
      <c r="N2792" s="3">
        <v>7.46</v>
      </c>
    </row>
    <row r="2793" spans="1:14">
      <c r="A2793" s="8" t="s">
        <v>2805</v>
      </c>
      <c r="B2793" s="2">
        <f>HYPERLINK("https://www.suredividend.com/sure-analysis-research-database/","LendingTree Inc.")</f>
        <v>0</v>
      </c>
      <c r="C2793" s="1" t="s">
        <v>3180</v>
      </c>
      <c r="D2793" s="3">
        <v>42.79</v>
      </c>
      <c r="E2793" s="4">
        <v>0</v>
      </c>
      <c r="F2793" s="4" t="s">
        <v>3178</v>
      </c>
      <c r="G2793" s="4" t="s">
        <v>3178</v>
      </c>
      <c r="H2793" s="3">
        <v>0</v>
      </c>
      <c r="I2793" s="5">
        <v>565.876997</v>
      </c>
      <c r="J2793" s="6" t="s">
        <v>3178</v>
      </c>
      <c r="K2793" s="4">
        <v>-0</v>
      </c>
      <c r="L2793" s="7">
        <v>2.680674357388525</v>
      </c>
      <c r="M2793" s="3">
        <v>52.76</v>
      </c>
      <c r="N2793" s="3">
        <v>10.12</v>
      </c>
    </row>
    <row r="2794" spans="1:14">
      <c r="A2794" s="8" t="s">
        <v>2806</v>
      </c>
      <c r="B2794" s="2">
        <f>HYPERLINK("https://www.suredividend.com/sure-analysis-research-database/","TREX Co., Inc.")</f>
        <v>0</v>
      </c>
      <c r="C2794" s="1" t="s">
        <v>3179</v>
      </c>
      <c r="D2794" s="3">
        <v>80.13</v>
      </c>
      <c r="E2794" s="4">
        <v>0</v>
      </c>
      <c r="F2794" s="4" t="s">
        <v>3178</v>
      </c>
      <c r="G2794" s="4" t="s">
        <v>3178</v>
      </c>
      <c r="H2794" s="3">
        <v>0</v>
      </c>
      <c r="I2794" s="5">
        <v>8709.550617999999</v>
      </c>
      <c r="J2794" s="6">
        <v>34.38120746402814</v>
      </c>
      <c r="K2794" s="4">
        <v>0</v>
      </c>
      <c r="L2794" s="7">
        <v>1.795105311605016</v>
      </c>
      <c r="M2794" s="3">
        <v>101.91</v>
      </c>
      <c r="N2794" s="3">
        <v>53.59</v>
      </c>
    </row>
    <row r="2795" spans="1:14">
      <c r="A2795" s="8" t="s">
        <v>2807</v>
      </c>
      <c r="B2795" s="2">
        <f>HYPERLINK("https://www.suredividend.com/sure-analysis-TRGP/","Targa Resources Corp")</f>
        <v>0</v>
      </c>
      <c r="C2795" s="1" t="s">
        <v>3185</v>
      </c>
      <c r="D2795" s="3">
        <v>118.01</v>
      </c>
      <c r="E2795" s="4">
        <v>0.02542157444284383</v>
      </c>
      <c r="F2795" s="4">
        <v>0.5</v>
      </c>
      <c r="G2795" s="4">
        <v>-0.0379359770387182</v>
      </c>
      <c r="H2795" s="3">
        <v>2.231701977332855</v>
      </c>
      <c r="I2795" s="5">
        <v>26164.764755</v>
      </c>
      <c r="J2795" s="6">
        <v>23.73221292975057</v>
      </c>
      <c r="K2795" s="4">
        <v>0.454521787644166</v>
      </c>
      <c r="L2795" s="7">
        <v>0.590664445475381</v>
      </c>
      <c r="M2795" s="3">
        <v>119.68</v>
      </c>
      <c r="N2795" s="3">
        <v>67.77</v>
      </c>
    </row>
    <row r="2796" spans="1:14">
      <c r="A2796" s="8" t="s">
        <v>2808</v>
      </c>
      <c r="B2796" s="2">
        <f>HYPERLINK("https://www.suredividend.com/sure-analysis-research-database/","Tabula Rasa HealthCare Inc")</f>
        <v>0</v>
      </c>
      <c r="C2796" s="1" t="s">
        <v>3176</v>
      </c>
      <c r="D2796" s="3">
        <v>10.5</v>
      </c>
      <c r="E2796" s="4">
        <v>0</v>
      </c>
      <c r="F2796" s="4" t="s">
        <v>3178</v>
      </c>
      <c r="G2796" s="4" t="s">
        <v>3178</v>
      </c>
      <c r="H2796" s="3">
        <v>0</v>
      </c>
      <c r="I2796" s="5">
        <v>0</v>
      </c>
      <c r="J2796" s="6">
        <v>0</v>
      </c>
      <c r="K2796" s="4" t="s">
        <v>3178</v>
      </c>
    </row>
    <row r="2797" spans="1:14">
      <c r="A2797" s="8" t="s">
        <v>2809</v>
      </c>
      <c r="B2797" s="2">
        <f>HYPERLINK("https://www.suredividend.com/sure-analysis-research-database/","TripAdvisor Inc.")</f>
        <v>0</v>
      </c>
      <c r="C2797" s="1" t="s">
        <v>3182</v>
      </c>
      <c r="D2797" s="3">
        <v>18.58</v>
      </c>
      <c r="E2797" s="4">
        <v>0</v>
      </c>
      <c r="F2797" s="4" t="s">
        <v>3178</v>
      </c>
      <c r="G2797" s="4" t="s">
        <v>3178</v>
      </c>
      <c r="H2797" s="3">
        <v>0</v>
      </c>
      <c r="I2797" s="5">
        <v>2349.995204</v>
      </c>
      <c r="J2797" s="6">
        <v>97.91646684333332</v>
      </c>
      <c r="K2797" s="4">
        <v>0</v>
      </c>
      <c r="L2797" s="7">
        <v>1.289203842927593</v>
      </c>
      <c r="M2797" s="3">
        <v>28.76</v>
      </c>
      <c r="N2797" s="3">
        <v>14.15</v>
      </c>
    </row>
    <row r="2798" spans="1:14">
      <c r="A2798" s="8" t="s">
        <v>2810</v>
      </c>
      <c r="B2798" s="2">
        <f>HYPERLINK("https://www.suredividend.com/sure-analysis-research-database/","Trimble Inc")</f>
        <v>0</v>
      </c>
      <c r="C2798" s="1" t="s">
        <v>3181</v>
      </c>
      <c r="D2798" s="3">
        <v>54.99</v>
      </c>
      <c r="E2798" s="4">
        <v>0</v>
      </c>
      <c r="F2798" s="4" t="s">
        <v>3178</v>
      </c>
      <c r="G2798" s="4" t="s">
        <v>3178</v>
      </c>
      <c r="H2798" s="3">
        <v>0</v>
      </c>
      <c r="I2798" s="5">
        <v>13428.976529</v>
      </c>
      <c r="J2798" s="6">
        <v>43.13837625727594</v>
      </c>
      <c r="K2798" s="4">
        <v>0</v>
      </c>
      <c r="L2798" s="7">
        <v>1.068192449273641</v>
      </c>
      <c r="M2798" s="3">
        <v>65.55</v>
      </c>
      <c r="N2798" s="3">
        <v>39.57</v>
      </c>
    </row>
    <row r="2799" spans="1:14">
      <c r="A2799" s="8" t="s">
        <v>2811</v>
      </c>
      <c r="B2799" s="2">
        <f>HYPERLINK("https://www.suredividend.com/sure-analysis-research-database/","Trustmark Corp.")</f>
        <v>0</v>
      </c>
      <c r="C2799" s="1" t="s">
        <v>3180</v>
      </c>
      <c r="D2799" s="3">
        <v>28.39</v>
      </c>
      <c r="E2799" s="4">
        <v>0.031593159445065</v>
      </c>
      <c r="F2799" s="4">
        <v>0</v>
      </c>
      <c r="G2799" s="4">
        <v>0</v>
      </c>
      <c r="H2799" s="3">
        <v>0.8969297966454051</v>
      </c>
      <c r="I2799" s="5">
        <v>1737.519812</v>
      </c>
      <c r="J2799" s="6">
        <v>11.08649480456088</v>
      </c>
      <c r="K2799" s="4">
        <v>0.3503632018146113</v>
      </c>
      <c r="L2799" s="7">
        <v>1.026701344024883</v>
      </c>
      <c r="M2799" s="3">
        <v>30.74</v>
      </c>
      <c r="N2799" s="3">
        <v>17.98</v>
      </c>
    </row>
    <row r="2800" spans="1:14">
      <c r="A2800" s="8" t="s">
        <v>2812</v>
      </c>
      <c r="B2800" s="2">
        <f>HYPERLINK("https://www.suredividend.com/sure-analysis-TRN/","Trinity Industries, Inc.")</f>
        <v>0</v>
      </c>
      <c r="C2800" s="1" t="s">
        <v>3179</v>
      </c>
      <c r="D2800" s="3">
        <v>29.29</v>
      </c>
      <c r="E2800" s="4">
        <v>0.03823830658927962</v>
      </c>
      <c r="F2800" s="4">
        <v>0.07692307692307709</v>
      </c>
      <c r="G2800" s="4">
        <v>0.1049479537965032</v>
      </c>
      <c r="H2800" s="3">
        <v>1.063302163473045</v>
      </c>
      <c r="I2800" s="5">
        <v>2396.971607</v>
      </c>
      <c r="J2800" s="6">
        <v>19.12986119034318</v>
      </c>
      <c r="K2800" s="4">
        <v>0.70886810898203</v>
      </c>
      <c r="L2800" s="7">
        <v>1.070816103567772</v>
      </c>
      <c r="M2800" s="3">
        <v>32</v>
      </c>
      <c r="N2800" s="3">
        <v>19.62</v>
      </c>
    </row>
    <row r="2801" spans="1:14">
      <c r="A2801" s="8" t="s">
        <v>2813</v>
      </c>
      <c r="B2801" s="2">
        <f>HYPERLINK("https://www.suredividend.com/sure-analysis-TRNO/","Terreno Realty Corp")</f>
        <v>0</v>
      </c>
      <c r="C2801" s="1" t="s">
        <v>3183</v>
      </c>
      <c r="D2801" s="3">
        <v>55.85</v>
      </c>
      <c r="E2801" s="4">
        <v>0.03222918531781558</v>
      </c>
      <c r="F2801" s="4">
        <v>0.125</v>
      </c>
      <c r="G2801" s="4">
        <v>0.1075663432482898</v>
      </c>
      <c r="H2801" s="3">
        <v>1.731508801346374</v>
      </c>
      <c r="I2801" s="5">
        <v>5400.924097</v>
      </c>
      <c r="J2801" s="6">
        <v>33.0485369144067</v>
      </c>
      <c r="K2801" s="4">
        <v>0.9065491106525517</v>
      </c>
      <c r="L2801" s="7">
        <v>0.9720582669383671</v>
      </c>
      <c r="M2801" s="3">
        <v>66.63</v>
      </c>
      <c r="N2801" s="3">
        <v>49.7</v>
      </c>
    </row>
    <row r="2802" spans="1:14">
      <c r="A2802" s="8" t="s">
        <v>2814</v>
      </c>
      <c r="B2802" s="2">
        <f>HYPERLINK("https://www.suredividend.com/sure-analysis-research-database/","Transcat Inc")</f>
        <v>0</v>
      </c>
      <c r="C2802" s="1" t="s">
        <v>3179</v>
      </c>
      <c r="D2802" s="3">
        <v>126.34</v>
      </c>
      <c r="E2802" s="4">
        <v>0</v>
      </c>
      <c r="F2802" s="4" t="s">
        <v>3178</v>
      </c>
      <c r="G2802" s="4" t="s">
        <v>3178</v>
      </c>
      <c r="H2802" s="3">
        <v>0</v>
      </c>
      <c r="I2802" s="5">
        <v>1153.967198</v>
      </c>
      <c r="J2802" s="6">
        <v>0</v>
      </c>
      <c r="K2802" s="4" t="s">
        <v>3178</v>
      </c>
      <c r="L2802" s="7">
        <v>0.9491515796102421</v>
      </c>
      <c r="M2802" s="3">
        <v>147</v>
      </c>
      <c r="N2802" s="3">
        <v>81.26000000000001</v>
      </c>
    </row>
    <row r="2803" spans="1:14">
      <c r="A2803" s="8" t="s">
        <v>2815</v>
      </c>
      <c r="B2803" s="2">
        <f>HYPERLINK("https://www.suredividend.com/sure-analysis-TROW/","T. Rowe Price Group Inc.")</f>
        <v>0</v>
      </c>
      <c r="C2803" s="1" t="s">
        <v>3180</v>
      </c>
      <c r="D2803" s="3">
        <v>115.55</v>
      </c>
      <c r="E2803" s="4">
        <v>0.04292514063176114</v>
      </c>
      <c r="F2803" s="4">
        <v>0.01639344262295084</v>
      </c>
      <c r="G2803" s="4">
        <v>0.10286313147853</v>
      </c>
      <c r="H2803" s="3">
        <v>4.741129193063371</v>
      </c>
      <c r="I2803" s="5">
        <v>25802.303792</v>
      </c>
      <c r="J2803" s="6">
        <v>13.6426287694443</v>
      </c>
      <c r="K2803" s="4">
        <v>0.5630794766108516</v>
      </c>
      <c r="L2803" s="7">
        <v>1.400257243947823</v>
      </c>
      <c r="M2803" s="3">
        <v>124.1</v>
      </c>
      <c r="N2803" s="3">
        <v>83.58</v>
      </c>
    </row>
    <row r="2804" spans="1:14">
      <c r="A2804" s="8" t="s">
        <v>2816</v>
      </c>
      <c r="B2804" s="2">
        <f>HYPERLINK("https://www.suredividend.com/sure-analysis-research-database/","Tronox Holdings plc")</f>
        <v>0</v>
      </c>
      <c r="C2804" s="1" t="s">
        <v>3177</v>
      </c>
      <c r="D2804" s="3">
        <v>19.54</v>
      </c>
      <c r="E2804" s="4">
        <v>0.025283788285751</v>
      </c>
      <c r="F2804" s="4">
        <v>0</v>
      </c>
      <c r="G2804" s="4">
        <v>0.1229551070568209</v>
      </c>
      <c r="H2804" s="3">
        <v>0.4940452231035811</v>
      </c>
      <c r="I2804" s="5">
        <v>3084.164798</v>
      </c>
      <c r="J2804" s="6">
        <v>0</v>
      </c>
      <c r="K2804" s="4" t="s">
        <v>3178</v>
      </c>
      <c r="L2804" s="7">
        <v>1.844907402881946</v>
      </c>
      <c r="M2804" s="3">
        <v>20.7</v>
      </c>
      <c r="N2804" s="3">
        <v>9.82</v>
      </c>
    </row>
    <row r="2805" spans="1:14">
      <c r="A2805" s="8" t="s">
        <v>2817</v>
      </c>
      <c r="B2805" s="2">
        <f>HYPERLINK("https://www.suredividend.com/sure-analysis-research-database/","Trimas Corporation")</f>
        <v>0</v>
      </c>
      <c r="C2805" s="1" t="s">
        <v>3179</v>
      </c>
      <c r="D2805" s="3">
        <v>26.12</v>
      </c>
      <c r="E2805" s="4">
        <v>0.006097042587542001</v>
      </c>
      <c r="F2805" s="4" t="s">
        <v>3178</v>
      </c>
      <c r="G2805" s="4" t="s">
        <v>3178</v>
      </c>
      <c r="H2805" s="3">
        <v>0.159254752386622</v>
      </c>
      <c r="I2805" s="5">
        <v>1063.953848</v>
      </c>
      <c r="J2805" s="6">
        <v>26.21221601970929</v>
      </c>
      <c r="K2805" s="4">
        <v>0.1630873040313589</v>
      </c>
      <c r="L2805" s="7">
        <v>0.7723056019487791</v>
      </c>
      <c r="M2805" s="3">
        <v>28.57</v>
      </c>
      <c r="N2805" s="3">
        <v>22.38</v>
      </c>
    </row>
    <row r="2806" spans="1:14">
      <c r="A2806" s="8" t="s">
        <v>2818</v>
      </c>
      <c r="B2806" s="2">
        <f>HYPERLINK("https://www.suredividend.com/sure-analysis-TRST/","Trustco Bank Corp.")</f>
        <v>0</v>
      </c>
      <c r="C2806" s="1" t="s">
        <v>3180</v>
      </c>
      <c r="D2806" s="3">
        <v>27.22</v>
      </c>
      <c r="E2806" s="4">
        <v>0.05290227773695812</v>
      </c>
      <c r="F2806" s="4">
        <v>0</v>
      </c>
      <c r="G2806" s="4">
        <v>0.3950802711953256</v>
      </c>
      <c r="H2806" s="3">
        <v>1.384787158958313</v>
      </c>
      <c r="I2806" s="5">
        <v>517.845066</v>
      </c>
      <c r="J2806" s="6">
        <v>9.765870822992492</v>
      </c>
      <c r="K2806" s="4">
        <v>0.4963394834976032</v>
      </c>
      <c r="L2806" s="7">
        <v>0.905900873776158</v>
      </c>
      <c r="M2806" s="3">
        <v>30.45</v>
      </c>
      <c r="N2806" s="3">
        <v>21.97</v>
      </c>
    </row>
    <row r="2807" spans="1:14">
      <c r="A2807" s="8" t="s">
        <v>2819</v>
      </c>
      <c r="B2807" s="2">
        <f>HYPERLINK("https://www.suredividend.com/sure-analysis-research-database/","Trio-Tech International")</f>
        <v>0</v>
      </c>
      <c r="C2807" s="1" t="s">
        <v>3181</v>
      </c>
      <c r="D2807" s="3">
        <v>6.5422</v>
      </c>
      <c r="E2807" s="4">
        <v>0</v>
      </c>
      <c r="F2807" s="4" t="s">
        <v>3178</v>
      </c>
      <c r="G2807" s="4" t="s">
        <v>3178</v>
      </c>
      <c r="H2807" s="3">
        <v>0</v>
      </c>
      <c r="I2807" s="5">
        <v>27.806345</v>
      </c>
      <c r="J2807" s="6">
        <v>0</v>
      </c>
      <c r="K2807" s="4" t="s">
        <v>3178</v>
      </c>
      <c r="M2807" s="3">
        <v>8.619999999999999</v>
      </c>
      <c r="N2807" s="3">
        <v>4.64</v>
      </c>
    </row>
    <row r="2808" spans="1:14">
      <c r="A2808" s="8" t="s">
        <v>2820</v>
      </c>
      <c r="B2808" s="2">
        <f>HYPERLINK("https://www.suredividend.com/sure-analysis-research-database/","Triton International Ltd")</f>
        <v>0</v>
      </c>
      <c r="C2808" s="1" t="s">
        <v>3179</v>
      </c>
      <c r="D2808" s="3">
        <v>79.55</v>
      </c>
      <c r="E2808" s="4">
        <v>0.03473892859339901</v>
      </c>
      <c r="F2808" s="4" t="s">
        <v>3178</v>
      </c>
      <c r="G2808" s="4" t="s">
        <v>3178</v>
      </c>
      <c r="H2808" s="3">
        <v>2.763481769604919</v>
      </c>
      <c r="I2808" s="5">
        <v>4380.115278</v>
      </c>
      <c r="J2808" s="6">
        <v>7.367630507915789</v>
      </c>
      <c r="K2808" s="4">
        <v>0.2680389689238525</v>
      </c>
      <c r="L2808" s="7">
        <v>0.576009585777389</v>
      </c>
      <c r="M2808" s="3">
        <v>84</v>
      </c>
      <c r="N2808" s="3">
        <v>51.32</v>
      </c>
    </row>
    <row r="2809" spans="1:14">
      <c r="A2809" s="8" t="s">
        <v>2821</v>
      </c>
      <c r="B2809" s="2">
        <f>HYPERLINK("https://www.suredividend.com/sure-analysis-research-database/","TPG RE Finance Trust Inc")</f>
        <v>0</v>
      </c>
      <c r="C2809" s="1" t="s">
        <v>3183</v>
      </c>
      <c r="D2809" s="3">
        <v>8.369999999999999</v>
      </c>
      <c r="E2809" s="4">
        <v>0.109167306812516</v>
      </c>
      <c r="F2809" s="4">
        <v>0</v>
      </c>
      <c r="G2809" s="4">
        <v>-0.1100849382703697</v>
      </c>
      <c r="H2809" s="3">
        <v>0.9137303580207661</v>
      </c>
      <c r="I2809" s="5">
        <v>651.7923060000001</v>
      </c>
      <c r="J2809" s="6" t="s">
        <v>3178</v>
      </c>
      <c r="K2809" s="4" t="s">
        <v>3178</v>
      </c>
      <c r="L2809" s="7">
        <v>1.725145457002224</v>
      </c>
      <c r="M2809" s="3">
        <v>8.960000000000001</v>
      </c>
      <c r="N2809" s="3">
        <v>4.35</v>
      </c>
    </row>
    <row r="2810" spans="1:14">
      <c r="A2810" s="8" t="s">
        <v>2822</v>
      </c>
      <c r="B2810" s="2">
        <f>HYPERLINK("https://www.suredividend.com/sure-analysis-research-database/","TransUnion")</f>
        <v>0</v>
      </c>
      <c r="C2810" s="1" t="s">
        <v>3179</v>
      </c>
      <c r="D2810" s="3">
        <v>71.31</v>
      </c>
      <c r="E2810" s="4">
        <v>0.005877235026983001</v>
      </c>
      <c r="F2810" s="4">
        <v>0</v>
      </c>
      <c r="G2810" s="4">
        <v>0.06961037572506878</v>
      </c>
      <c r="H2810" s="3">
        <v>0.419105629774172</v>
      </c>
      <c r="I2810" s="5">
        <v>13848.402</v>
      </c>
      <c r="J2810" s="6" t="s">
        <v>3178</v>
      </c>
      <c r="K2810" s="4" t="s">
        <v>3178</v>
      </c>
      <c r="L2810" s="7">
        <v>1.559665585622608</v>
      </c>
      <c r="M2810" s="3">
        <v>82.38</v>
      </c>
      <c r="N2810" s="3">
        <v>41.9</v>
      </c>
    </row>
    <row r="2811" spans="1:14">
      <c r="A2811" s="8" t="s">
        <v>2823</v>
      </c>
      <c r="B2811" s="2">
        <f>HYPERLINK("https://www.suredividend.com/sure-analysis-research-database/","Trupanion Inc")</f>
        <v>0</v>
      </c>
      <c r="C2811" s="1" t="s">
        <v>3180</v>
      </c>
      <c r="D2811" s="3">
        <v>27.91</v>
      </c>
      <c r="E2811" s="4">
        <v>0</v>
      </c>
      <c r="F2811" s="4" t="s">
        <v>3178</v>
      </c>
      <c r="G2811" s="4" t="s">
        <v>3178</v>
      </c>
      <c r="H2811" s="3">
        <v>0</v>
      </c>
      <c r="I2811" s="5">
        <v>1172.22</v>
      </c>
      <c r="J2811" s="6" t="s">
        <v>3178</v>
      </c>
      <c r="K2811" s="4">
        <v>-0</v>
      </c>
      <c r="L2811" s="7">
        <v>2.031838834611832</v>
      </c>
      <c r="M2811" s="3">
        <v>36.66</v>
      </c>
      <c r="N2811" s="3">
        <v>18.45</v>
      </c>
    </row>
    <row r="2812" spans="1:14">
      <c r="A2812" s="8" t="s">
        <v>2824</v>
      </c>
      <c r="B2812" s="2">
        <f>HYPERLINK("https://www.suredividend.com/sure-analysis-TRV/","Travelers Companies Inc.")</f>
        <v>0</v>
      </c>
      <c r="C2812" s="1" t="s">
        <v>3180</v>
      </c>
      <c r="D2812" s="3">
        <v>212.95</v>
      </c>
      <c r="E2812" s="4">
        <v>0.01972293965719653</v>
      </c>
      <c r="F2812" s="4" t="s">
        <v>3178</v>
      </c>
      <c r="G2812" s="4" t="s">
        <v>3178</v>
      </c>
      <c r="H2812" s="3">
        <v>2.985499280972899</v>
      </c>
      <c r="I2812" s="5">
        <v>48764.142826</v>
      </c>
      <c r="J2812" s="6">
        <v>15.64959654249037</v>
      </c>
      <c r="K2812" s="4">
        <v>0.2219702067637843</v>
      </c>
      <c r="L2812" s="7">
        <v>0.328360181204049</v>
      </c>
      <c r="M2812" s="3">
        <v>232.75</v>
      </c>
      <c r="N2812" s="3">
        <v>155.76</v>
      </c>
    </row>
    <row r="2813" spans="1:14">
      <c r="A2813" s="8" t="s">
        <v>2825</v>
      </c>
      <c r="B2813" s="2">
        <f>HYPERLINK("https://www.suredividend.com/sure-analysis-research-database/","Trevena Inc")</f>
        <v>0</v>
      </c>
      <c r="C2813" s="1" t="s">
        <v>3176</v>
      </c>
      <c r="D2813" s="3">
        <v>0.3996</v>
      </c>
      <c r="E2813" s="4">
        <v>0</v>
      </c>
      <c r="F2813" s="4" t="s">
        <v>3178</v>
      </c>
      <c r="G2813" s="4" t="s">
        <v>3178</v>
      </c>
      <c r="H2813" s="3">
        <v>0</v>
      </c>
      <c r="I2813" s="5">
        <v>7.329045</v>
      </c>
      <c r="J2813" s="6">
        <v>0</v>
      </c>
      <c r="K2813" s="4" t="s">
        <v>3178</v>
      </c>
      <c r="L2813" s="7">
        <v>0.9318977926267891</v>
      </c>
      <c r="M2813" s="3">
        <v>1.12</v>
      </c>
      <c r="N2813" s="3">
        <v>0.3001</v>
      </c>
    </row>
    <row r="2814" spans="1:14">
      <c r="A2814" s="8" t="s">
        <v>2826</v>
      </c>
      <c r="B2814" s="2">
        <f>HYPERLINK("https://www.suredividend.com/sure-analysis-research-database/","TransEnterix Inc")</f>
        <v>0</v>
      </c>
      <c r="C2814" s="1" t="s">
        <v>3176</v>
      </c>
      <c r="D2814" s="3">
        <v>4.08</v>
      </c>
      <c r="E2814" s="4">
        <v>0</v>
      </c>
      <c r="F2814" s="4" t="s">
        <v>3178</v>
      </c>
      <c r="G2814" s="4" t="s">
        <v>3178</v>
      </c>
      <c r="H2814" s="3">
        <v>0</v>
      </c>
      <c r="I2814" s="5">
        <v>582.529768</v>
      </c>
      <c r="J2814" s="6">
        <v>0</v>
      </c>
      <c r="K2814" s="4" t="s">
        <v>3178</v>
      </c>
      <c r="L2814" s="7">
        <v>0.427552673763591</v>
      </c>
      <c r="M2814" s="3">
        <v>6.95</v>
      </c>
      <c r="N2814" s="3">
        <v>0.28</v>
      </c>
    </row>
    <row r="2815" spans="1:14">
      <c r="A2815" s="8" t="s">
        <v>2827</v>
      </c>
      <c r="B2815" s="2">
        <f>HYPERLINK("https://www.suredividend.com/sure-analysis-research-database/","Timberland Bancorp, Inc.")</f>
        <v>0</v>
      </c>
      <c r="C2815" s="1" t="s">
        <v>3180</v>
      </c>
      <c r="D2815" s="3">
        <v>24.92</v>
      </c>
      <c r="E2815" s="4">
        <v>0.03673702350325</v>
      </c>
      <c r="F2815" s="4">
        <v>0.04347826086956519</v>
      </c>
      <c r="G2815" s="4">
        <v>0.03713728933664817</v>
      </c>
      <c r="H2815" s="3">
        <v>0.915486625700993</v>
      </c>
      <c r="I2815" s="5">
        <v>199.922096</v>
      </c>
      <c r="J2815" s="6">
        <v>0</v>
      </c>
      <c r="K2815" s="4" t="s">
        <v>3178</v>
      </c>
      <c r="L2815" s="7">
        <v>0.760853007899652</v>
      </c>
      <c r="M2815" s="3">
        <v>31.04</v>
      </c>
      <c r="N2815" s="3">
        <v>22.72</v>
      </c>
    </row>
    <row r="2816" spans="1:14">
      <c r="A2816" s="8" t="s">
        <v>2828</v>
      </c>
      <c r="B2816" s="2">
        <f>HYPERLINK("https://www.suredividend.com/sure-analysis-research-database/","Tristate Capital Holdings Inc")</f>
        <v>0</v>
      </c>
      <c r="C2816" s="1" t="s">
        <v>3180</v>
      </c>
      <c r="D2816" s="3">
        <v>30.58</v>
      </c>
      <c r="E2816" s="4">
        <v>0</v>
      </c>
      <c r="F2816" s="4" t="s">
        <v>3178</v>
      </c>
      <c r="G2816" s="4" t="s">
        <v>3178</v>
      </c>
      <c r="H2816" s="3">
        <v>0</v>
      </c>
      <c r="I2816" s="5">
        <v>0</v>
      </c>
      <c r="J2816" s="6">
        <v>0</v>
      </c>
      <c r="K2816" s="4">
        <v>0</v>
      </c>
    </row>
    <row r="2817" spans="1:14">
      <c r="A2817" s="8" t="s">
        <v>2829</v>
      </c>
      <c r="B2817" s="2">
        <f>HYPERLINK("https://www.suredividend.com/sure-analysis-TSCO/","Tractor Supply Co.")</f>
        <v>0</v>
      </c>
      <c r="C2817" s="1" t="s">
        <v>3182</v>
      </c>
      <c r="D2817" s="3">
        <v>270.93</v>
      </c>
      <c r="E2817" s="4">
        <v>0.01624035728786033</v>
      </c>
      <c r="F2817" s="4">
        <v>0.06796116504854366</v>
      </c>
      <c r="G2817" s="4">
        <v>0.2573753098024454</v>
      </c>
      <c r="H2817" s="3">
        <v>4.206302408566325</v>
      </c>
      <c r="I2817" s="5">
        <v>29209.070317</v>
      </c>
      <c r="J2817" s="6">
        <v>26.02596470420251</v>
      </c>
      <c r="K2817" s="4">
        <v>0.4091733860473079</v>
      </c>
      <c r="L2817" s="7">
        <v>0.7952454395479791</v>
      </c>
      <c r="M2817" s="3">
        <v>285.66</v>
      </c>
      <c r="N2817" s="3">
        <v>180</v>
      </c>
    </row>
    <row r="2818" spans="1:14">
      <c r="A2818" s="8" t="s">
        <v>2830</v>
      </c>
      <c r="B2818" s="2">
        <f>HYPERLINK("https://www.suredividend.com/sure-analysis-research-database/","Trinseo PLC")</f>
        <v>0</v>
      </c>
      <c r="C2818" s="1" t="s">
        <v>3177</v>
      </c>
      <c r="D2818" s="3">
        <v>3.08</v>
      </c>
      <c r="E2818" s="4">
        <v>0.012948771305049</v>
      </c>
      <c r="F2818" s="4">
        <v>-0.9285714285714286</v>
      </c>
      <c r="G2818" s="4">
        <v>-0.5218237501049816</v>
      </c>
      <c r="H2818" s="3">
        <v>0.03988221561955101</v>
      </c>
      <c r="I2818" s="5">
        <v>108.706231</v>
      </c>
      <c r="J2818" s="6" t="s">
        <v>3178</v>
      </c>
      <c r="K2818" s="4" t="s">
        <v>3178</v>
      </c>
      <c r="L2818" s="7">
        <v>2.758255065847942</v>
      </c>
      <c r="M2818" s="3">
        <v>18.53</v>
      </c>
      <c r="N2818" s="3">
        <v>2.59</v>
      </c>
    </row>
    <row r="2819" spans="1:14">
      <c r="A2819" s="8" t="s">
        <v>2831</v>
      </c>
      <c r="B2819" s="2">
        <f>HYPERLINK("https://www.suredividend.com/sure-analysis-research-database/","Tesla Inc")</f>
        <v>0</v>
      </c>
      <c r="C2819" s="1" t="s">
        <v>3182</v>
      </c>
      <c r="D2819" s="3">
        <v>177.48</v>
      </c>
      <c r="E2819" s="4">
        <v>0</v>
      </c>
      <c r="F2819" s="4" t="s">
        <v>3178</v>
      </c>
      <c r="G2819" s="4" t="s">
        <v>3178</v>
      </c>
      <c r="H2819" s="3">
        <v>0</v>
      </c>
      <c r="I2819" s="5">
        <v>556128.263587</v>
      </c>
      <c r="J2819" s="6">
        <v>41.46048459706709</v>
      </c>
      <c r="K2819" s="4">
        <v>0</v>
      </c>
      <c r="L2819" s="7">
        <v>1.893002670304367</v>
      </c>
      <c r="M2819" s="3">
        <v>299.29</v>
      </c>
      <c r="N2819" s="3">
        <v>138.8</v>
      </c>
    </row>
    <row r="2820" spans="1:14">
      <c r="A2820" s="8" t="s">
        <v>2832</v>
      </c>
      <c r="B2820" s="2">
        <f>HYPERLINK("https://www.suredividend.com/sure-analysis-TSN/","Tyson Foods, Inc.")</f>
        <v>0</v>
      </c>
      <c r="C2820" s="1" t="s">
        <v>3184</v>
      </c>
      <c r="D2820" s="3">
        <v>55.86</v>
      </c>
      <c r="E2820" s="4">
        <v>0.03508771929824561</v>
      </c>
      <c r="F2820" s="4">
        <v>0.02083333333333326</v>
      </c>
      <c r="G2820" s="4">
        <v>0.03131030647754507</v>
      </c>
      <c r="H2820" s="3">
        <v>1.923813993693212</v>
      </c>
      <c r="I2820" s="5">
        <v>20088.9318</v>
      </c>
      <c r="J2820" s="6" t="s">
        <v>3178</v>
      </c>
      <c r="K2820" s="4" t="s">
        <v>3178</v>
      </c>
      <c r="L2820" s="7">
        <v>0.269900968795969</v>
      </c>
      <c r="M2820" s="3">
        <v>61.51</v>
      </c>
      <c r="N2820" s="3">
        <v>43.69</v>
      </c>
    </row>
    <row r="2821" spans="1:14">
      <c r="A2821" s="8" t="s">
        <v>2833</v>
      </c>
      <c r="B2821" s="2">
        <f>HYPERLINK("https://www.suredividend.com/sure-analysis-research-database/","Townsquare Media Inc")</f>
        <v>0</v>
      </c>
      <c r="C2821" s="1" t="s">
        <v>3187</v>
      </c>
      <c r="D2821" s="3">
        <v>10.95</v>
      </c>
      <c r="E2821" s="4">
        <v>0.06765985620713701</v>
      </c>
      <c r="F2821" s="4" t="s">
        <v>3178</v>
      </c>
      <c r="G2821" s="4" t="s">
        <v>3178</v>
      </c>
      <c r="H2821" s="3">
        <v>0.7408754254681511</v>
      </c>
      <c r="I2821" s="5">
        <v>165.574764</v>
      </c>
      <c r="J2821" s="6" t="s">
        <v>3178</v>
      </c>
      <c r="K2821" s="4" t="s">
        <v>3178</v>
      </c>
      <c r="L2821" s="7">
        <v>1.36753983205032</v>
      </c>
      <c r="M2821" s="3">
        <v>13.57</v>
      </c>
      <c r="N2821" s="3">
        <v>7.74</v>
      </c>
    </row>
    <row r="2822" spans="1:14">
      <c r="A2822" s="8" t="s">
        <v>2834</v>
      </c>
      <c r="B2822" s="2">
        <f>HYPERLINK("https://www.suredividend.com/sure-analysis-TTC/","Toro Co.")</f>
        <v>0</v>
      </c>
      <c r="C2822" s="1" t="s">
        <v>3179</v>
      </c>
      <c r="D2822" s="3">
        <v>95.98</v>
      </c>
      <c r="E2822" s="4">
        <v>0.01500312565117733</v>
      </c>
      <c r="F2822" s="4">
        <v>0.0588235294117645</v>
      </c>
      <c r="G2822" s="4">
        <v>0.09856054330611763</v>
      </c>
      <c r="H2822" s="3">
        <v>1.391991240426344</v>
      </c>
      <c r="I2822" s="5">
        <v>9969.835638</v>
      </c>
      <c r="J2822" s="6">
        <v>34.64876498957393</v>
      </c>
      <c r="K2822" s="4">
        <v>0.5080260001556001</v>
      </c>
      <c r="L2822" s="7">
        <v>0.786922857432907</v>
      </c>
      <c r="M2822" s="3">
        <v>105.43</v>
      </c>
      <c r="N2822" s="3">
        <v>77.15000000000001</v>
      </c>
    </row>
    <row r="2823" spans="1:14">
      <c r="A2823" s="8" t="s">
        <v>2835</v>
      </c>
      <c r="B2823" s="2">
        <f>HYPERLINK("https://www.suredividend.com/sure-analysis-research-database/","Trade Desk Inc")</f>
        <v>0</v>
      </c>
      <c r="C2823" s="1" t="s">
        <v>3181</v>
      </c>
      <c r="D2823" s="3">
        <v>94.17</v>
      </c>
      <c r="E2823" s="4">
        <v>0</v>
      </c>
      <c r="F2823" s="4" t="s">
        <v>3178</v>
      </c>
      <c r="G2823" s="4" t="s">
        <v>3178</v>
      </c>
      <c r="H2823" s="3">
        <v>0</v>
      </c>
      <c r="I2823" s="5">
        <v>41925.249885</v>
      </c>
      <c r="J2823" s="6">
        <v>234.2978086767073</v>
      </c>
      <c r="K2823" s="4">
        <v>0</v>
      </c>
      <c r="L2823" s="7">
        <v>1.831146268276094</v>
      </c>
      <c r="M2823" s="3">
        <v>98.18000000000001</v>
      </c>
      <c r="N2823" s="3">
        <v>60.23</v>
      </c>
    </row>
    <row r="2824" spans="1:14">
      <c r="A2824" s="8" t="s">
        <v>2836</v>
      </c>
      <c r="B2824" s="2">
        <f>HYPERLINK("https://www.suredividend.com/sure-analysis-research-database/","TTEC Holdings Inc")</f>
        <v>0</v>
      </c>
      <c r="C2824" s="1" t="s">
        <v>3181</v>
      </c>
      <c r="D2824" s="3">
        <v>6.32</v>
      </c>
      <c r="E2824" s="4">
        <v>0.090809004334876</v>
      </c>
      <c r="F2824" s="4" t="s">
        <v>3178</v>
      </c>
      <c r="G2824" s="4" t="s">
        <v>3178</v>
      </c>
      <c r="H2824" s="3">
        <v>0.5739129073964201</v>
      </c>
      <c r="I2824" s="5">
        <v>300.561283</v>
      </c>
      <c r="J2824" s="6" t="s">
        <v>3178</v>
      </c>
      <c r="K2824" s="4" t="s">
        <v>3178</v>
      </c>
      <c r="L2824" s="7">
        <v>1.797851858522369</v>
      </c>
      <c r="M2824" s="3">
        <v>34.28</v>
      </c>
      <c r="N2824" s="3">
        <v>5.94</v>
      </c>
    </row>
    <row r="2825" spans="1:14">
      <c r="A2825" s="8" t="s">
        <v>2837</v>
      </c>
      <c r="B2825" s="2">
        <f>HYPERLINK("https://www.suredividend.com/sure-analysis-research-database/","Tetra Tech, Inc.")</f>
        <v>0</v>
      </c>
      <c r="C2825" s="1" t="s">
        <v>3179</v>
      </c>
      <c r="D2825" s="3">
        <v>203.58</v>
      </c>
      <c r="E2825" s="4">
        <v>0.005234253826072</v>
      </c>
      <c r="F2825" s="4">
        <v>0.1153846153846152</v>
      </c>
      <c r="G2825" s="4">
        <v>0.1409361684229278</v>
      </c>
      <c r="H2825" s="3">
        <v>1.065589393911755</v>
      </c>
      <c r="I2825" s="5">
        <v>10890.974227</v>
      </c>
      <c r="J2825" s="6">
        <v>41.05123303480562</v>
      </c>
      <c r="K2825" s="4">
        <v>0.2157063550428653</v>
      </c>
      <c r="L2825" s="7">
        <v>0.9294993383743041</v>
      </c>
      <c r="M2825" s="3">
        <v>221.4</v>
      </c>
      <c r="N2825" s="3">
        <v>142.09</v>
      </c>
    </row>
    <row r="2826" spans="1:14">
      <c r="A2826" s="8" t="s">
        <v>2838</v>
      </c>
      <c r="B2826" s="2">
        <f>HYPERLINK("https://www.suredividend.com/sure-analysis-research-database/","Techtarget Inc.")</f>
        <v>0</v>
      </c>
      <c r="C2826" s="1" t="s">
        <v>3187</v>
      </c>
      <c r="D2826" s="3">
        <v>30.47</v>
      </c>
      <c r="E2826" s="4">
        <v>0</v>
      </c>
      <c r="F2826" s="4" t="s">
        <v>3178</v>
      </c>
      <c r="G2826" s="4" t="s">
        <v>3178</v>
      </c>
      <c r="H2826" s="3">
        <v>0</v>
      </c>
      <c r="I2826" s="5">
        <v>869.876878</v>
      </c>
      <c r="J2826" s="6" t="s">
        <v>3178</v>
      </c>
      <c r="K2826" s="4">
        <v>-0</v>
      </c>
      <c r="L2826" s="7">
        <v>1.358635831408052</v>
      </c>
      <c r="M2826" s="3">
        <v>41.93</v>
      </c>
      <c r="N2826" s="3">
        <v>23.43</v>
      </c>
    </row>
    <row r="2827" spans="1:14">
      <c r="A2827" s="8" t="s">
        <v>2839</v>
      </c>
      <c r="B2827" s="2">
        <f>HYPERLINK("https://www.suredividend.com/sure-analysis-research-database/","Tetra Technologies, Inc.")</f>
        <v>0</v>
      </c>
      <c r="C2827" s="1" t="s">
        <v>3185</v>
      </c>
      <c r="D2827" s="3">
        <v>3.45</v>
      </c>
      <c r="E2827" s="4">
        <v>0</v>
      </c>
      <c r="F2827" s="4" t="s">
        <v>3178</v>
      </c>
      <c r="G2827" s="4" t="s">
        <v>3178</v>
      </c>
      <c r="H2827" s="3">
        <v>0</v>
      </c>
      <c r="I2827" s="5">
        <v>452.428843</v>
      </c>
      <c r="J2827" s="6">
        <v>21.89984233263953</v>
      </c>
      <c r="K2827" s="4">
        <v>0</v>
      </c>
      <c r="L2827" s="7">
        <v>1.069875942827965</v>
      </c>
      <c r="M2827" s="3">
        <v>6.77</v>
      </c>
      <c r="N2827" s="3">
        <v>2.67</v>
      </c>
    </row>
    <row r="2828" spans="1:14">
      <c r="A2828" s="8" t="s">
        <v>2840</v>
      </c>
      <c r="B2828" s="2">
        <f>HYPERLINK("https://www.suredividend.com/sure-analysis-research-database/","TTM Technologies Inc")</f>
        <v>0</v>
      </c>
      <c r="C2828" s="1" t="s">
        <v>3181</v>
      </c>
      <c r="D2828" s="3">
        <v>18.51</v>
      </c>
      <c r="E2828" s="4">
        <v>0</v>
      </c>
      <c r="F2828" s="4" t="s">
        <v>3178</v>
      </c>
      <c r="G2828" s="4" t="s">
        <v>3178</v>
      </c>
      <c r="H2828" s="3">
        <v>0</v>
      </c>
      <c r="I2828" s="5">
        <v>1883.877314</v>
      </c>
      <c r="J2828" s="6" t="s">
        <v>3178</v>
      </c>
      <c r="K2828" s="4">
        <v>-0</v>
      </c>
      <c r="L2828" s="7">
        <v>1.639103956032894</v>
      </c>
      <c r="M2828" s="3">
        <v>19</v>
      </c>
      <c r="N2828" s="3">
        <v>11.14</v>
      </c>
    </row>
    <row r="2829" spans="1:14">
      <c r="A2829" s="8" t="s">
        <v>2841</v>
      </c>
      <c r="B2829" s="2">
        <f>HYPERLINK("https://www.suredividend.com/sure-analysis-research-database/","Titan Pharmaceuticals, Inc. (de)")</f>
        <v>0</v>
      </c>
      <c r="C2829" s="1" t="s">
        <v>3176</v>
      </c>
      <c r="D2829" s="3">
        <v>6.888</v>
      </c>
      <c r="E2829" s="4">
        <v>0</v>
      </c>
      <c r="F2829" s="4" t="s">
        <v>3178</v>
      </c>
      <c r="G2829" s="4" t="s">
        <v>3178</v>
      </c>
      <c r="H2829" s="3">
        <v>0</v>
      </c>
      <c r="I2829" s="5">
        <v>6.297244</v>
      </c>
      <c r="J2829" s="6" t="s">
        <v>3178</v>
      </c>
      <c r="K2829" s="4">
        <v>-0</v>
      </c>
      <c r="M2829" s="3">
        <v>16.59</v>
      </c>
      <c r="N2829" s="3">
        <v>5</v>
      </c>
    </row>
    <row r="2830" spans="1:14">
      <c r="A2830" s="8" t="s">
        <v>2842</v>
      </c>
      <c r="B2830" s="2">
        <f>HYPERLINK("https://www.suredividend.com/sure-analysis-research-database/","T2 Biosystems Inc")</f>
        <v>0</v>
      </c>
      <c r="C2830" s="1" t="s">
        <v>3176</v>
      </c>
      <c r="D2830" s="3">
        <v>4.29</v>
      </c>
      <c r="E2830" s="4">
        <v>0</v>
      </c>
      <c r="F2830" s="4" t="s">
        <v>3178</v>
      </c>
      <c r="G2830" s="4" t="s">
        <v>3178</v>
      </c>
      <c r="H2830" s="3">
        <v>0</v>
      </c>
      <c r="I2830" s="5">
        <v>73.213505</v>
      </c>
      <c r="J2830" s="6" t="s">
        <v>3178</v>
      </c>
      <c r="K2830" s="4">
        <v>-0</v>
      </c>
      <c r="L2830" s="7">
        <v>0.713319157572874</v>
      </c>
      <c r="M2830" s="3">
        <v>70</v>
      </c>
      <c r="N2830" s="3">
        <v>2.6</v>
      </c>
    </row>
    <row r="2831" spans="1:14">
      <c r="A2831" s="8" t="s">
        <v>2843</v>
      </c>
      <c r="B2831" s="2">
        <f>HYPERLINK("https://www.suredividend.com/sure-analysis-research-database/","Tile Shop Holdings, Inc.")</f>
        <v>0</v>
      </c>
      <c r="C2831" s="1" t="s">
        <v>3178</v>
      </c>
      <c r="D2831" s="3">
        <v>1.46</v>
      </c>
      <c r="E2831" s="4">
        <v>0</v>
      </c>
      <c r="F2831" s="4" t="s">
        <v>3178</v>
      </c>
      <c r="G2831" s="4" t="s">
        <v>3178</v>
      </c>
      <c r="H2831" s="3">
        <v>0</v>
      </c>
      <c r="I2831" s="5">
        <v>0</v>
      </c>
      <c r="J2831" s="6">
        <v>0</v>
      </c>
      <c r="K2831" s="4">
        <v>0</v>
      </c>
    </row>
    <row r="2832" spans="1:14">
      <c r="A2832" s="8" t="s">
        <v>2844</v>
      </c>
      <c r="B2832" s="2">
        <f>HYPERLINK("https://www.suredividend.com/sure-analysis-research-database/","Take-Two Interactive Software, Inc.")</f>
        <v>0</v>
      </c>
      <c r="C2832" s="1" t="s">
        <v>3187</v>
      </c>
      <c r="D2832" s="3">
        <v>164.77</v>
      </c>
      <c r="E2832" s="4">
        <v>0</v>
      </c>
      <c r="F2832" s="4" t="s">
        <v>3178</v>
      </c>
      <c r="G2832" s="4" t="s">
        <v>3178</v>
      </c>
      <c r="H2832" s="3">
        <v>0</v>
      </c>
      <c r="I2832" s="5">
        <v>28239.170051</v>
      </c>
      <c r="J2832" s="6" t="s">
        <v>3178</v>
      </c>
      <c r="K2832" s="4">
        <v>-0</v>
      </c>
      <c r="L2832" s="7">
        <v>0.9783764782230201</v>
      </c>
      <c r="M2832" s="3">
        <v>171.59</v>
      </c>
      <c r="N2832" s="3">
        <v>130.34</v>
      </c>
    </row>
    <row r="2833" spans="1:14">
      <c r="A2833" s="8" t="s">
        <v>2845</v>
      </c>
      <c r="B2833" s="2">
        <f>HYPERLINK("https://www.suredividend.com/sure-analysis-research-database/","Tupperware Brands Corporation")</f>
        <v>0</v>
      </c>
      <c r="C2833" s="1" t="s">
        <v>3182</v>
      </c>
      <c r="D2833" s="3">
        <v>1.62</v>
      </c>
      <c r="E2833" s="4">
        <v>0</v>
      </c>
      <c r="F2833" s="4" t="s">
        <v>3178</v>
      </c>
      <c r="G2833" s="4" t="s">
        <v>3178</v>
      </c>
      <c r="H2833" s="3">
        <v>0</v>
      </c>
      <c r="I2833" s="5">
        <v>75.379593</v>
      </c>
      <c r="J2833" s="6" t="s">
        <v>3178</v>
      </c>
      <c r="K2833" s="4">
        <v>-0</v>
      </c>
      <c r="L2833" s="7">
        <v>2.664150701547665</v>
      </c>
      <c r="M2833" s="3">
        <v>5.91</v>
      </c>
      <c r="N2833" s="3">
        <v>0.61</v>
      </c>
    </row>
    <row r="2834" spans="1:14">
      <c r="A2834" s="8" t="s">
        <v>2846</v>
      </c>
      <c r="B2834" s="2">
        <f>HYPERLINK("https://www.suredividend.com/sure-analysis-research-database/","Mammoth Energy Services Inc")</f>
        <v>0</v>
      </c>
      <c r="C2834" s="1" t="s">
        <v>3185</v>
      </c>
      <c r="D2834" s="3">
        <v>3.57</v>
      </c>
      <c r="E2834" s="4">
        <v>0</v>
      </c>
      <c r="F2834" s="4" t="s">
        <v>3178</v>
      </c>
      <c r="G2834" s="4" t="s">
        <v>3178</v>
      </c>
      <c r="H2834" s="3">
        <v>0</v>
      </c>
      <c r="I2834" s="5">
        <v>171.389699</v>
      </c>
      <c r="J2834" s="6" t="s">
        <v>3178</v>
      </c>
      <c r="K2834" s="4">
        <v>-0</v>
      </c>
      <c r="L2834" s="7">
        <v>0.8736213341252881</v>
      </c>
      <c r="M2834" s="3">
        <v>5.75</v>
      </c>
      <c r="N2834" s="3">
        <v>2.94</v>
      </c>
    </row>
    <row r="2835" spans="1:14">
      <c r="A2835" s="8" t="s">
        <v>2847</v>
      </c>
      <c r="B2835" s="2">
        <f>HYPERLINK("https://www.suredividend.com/sure-analysis-research-database/","Tivity Health Inc")</f>
        <v>0</v>
      </c>
      <c r="C2835" s="1" t="s">
        <v>3176</v>
      </c>
      <c r="D2835" s="3">
        <v>32.5</v>
      </c>
      <c r="E2835" s="4">
        <v>0</v>
      </c>
      <c r="F2835" s="4" t="s">
        <v>3178</v>
      </c>
      <c r="G2835" s="4" t="s">
        <v>3178</v>
      </c>
      <c r="H2835" s="3">
        <v>0</v>
      </c>
      <c r="I2835" s="5">
        <v>0</v>
      </c>
      <c r="J2835" s="6">
        <v>0</v>
      </c>
      <c r="K2835" s="4">
        <v>0</v>
      </c>
    </row>
    <row r="2836" spans="1:14">
      <c r="A2836" s="8" t="s">
        <v>2848</v>
      </c>
      <c r="B2836" s="2">
        <f>HYPERLINK("https://www.suredividend.com/sure-analysis-research-database/","Tradeweb Markets Inc")</f>
        <v>0</v>
      </c>
      <c r="C2836" s="1" t="s">
        <v>3180</v>
      </c>
      <c r="D2836" s="3">
        <v>105.31</v>
      </c>
      <c r="E2836" s="4">
        <v>0.003598686930378</v>
      </c>
      <c r="F2836" s="4">
        <v>0.1111111111111112</v>
      </c>
      <c r="G2836" s="4">
        <v>0.04563955259127317</v>
      </c>
      <c r="H2836" s="3">
        <v>0.378977720638198</v>
      </c>
      <c r="I2836" s="5">
        <v>12233.360161</v>
      </c>
      <c r="J2836" s="6">
        <v>30.37736591736547</v>
      </c>
      <c r="K2836" s="4">
        <v>0.2015838939564883</v>
      </c>
      <c r="L2836" s="7">
        <v>0.417759195141831</v>
      </c>
      <c r="M2836" s="3">
        <v>113.86</v>
      </c>
      <c r="N2836" s="3">
        <v>64.33</v>
      </c>
    </row>
    <row r="2837" spans="1:14">
      <c r="A2837" s="8" t="s">
        <v>2849</v>
      </c>
      <c r="B2837" s="2">
        <f>HYPERLINK("https://www.suredividend.com/sure-analysis-research-database/","Titan International, Inc.")</f>
        <v>0</v>
      </c>
      <c r="C2837" s="1" t="s">
        <v>3179</v>
      </c>
      <c r="D2837" s="3">
        <v>7.83</v>
      </c>
      <c r="E2837" s="4">
        <v>0</v>
      </c>
      <c r="F2837" s="4" t="s">
        <v>3178</v>
      </c>
      <c r="G2837" s="4" t="s">
        <v>3178</v>
      </c>
      <c r="H2837" s="3">
        <v>0</v>
      </c>
      <c r="I2837" s="5">
        <v>570.577691</v>
      </c>
      <c r="J2837" s="6">
        <v>10.16655721575825</v>
      </c>
      <c r="K2837" s="4">
        <v>0</v>
      </c>
      <c r="L2837" s="7">
        <v>1.012543905058706</v>
      </c>
      <c r="M2837" s="3">
        <v>15.33</v>
      </c>
      <c r="N2837" s="3">
        <v>7.81</v>
      </c>
    </row>
    <row r="2838" spans="1:14">
      <c r="A2838" s="8" t="s">
        <v>2850</v>
      </c>
      <c r="B2838" s="2">
        <f>HYPERLINK("https://www.suredividend.com/sure-analysis-research-database/","Twin Disc Incorporated")</f>
        <v>0</v>
      </c>
      <c r="C2838" s="1" t="s">
        <v>3179</v>
      </c>
      <c r="D2838" s="3">
        <v>14.02</v>
      </c>
      <c r="E2838" s="4">
        <v>0.008514113267114001</v>
      </c>
      <c r="F2838" s="4" t="s">
        <v>3178</v>
      </c>
      <c r="G2838" s="4" t="s">
        <v>3178</v>
      </c>
      <c r="H2838" s="3">
        <v>0.119367868004946</v>
      </c>
      <c r="I2838" s="5">
        <v>196.230972</v>
      </c>
      <c r="J2838" s="6">
        <v>16.11753363942505</v>
      </c>
      <c r="K2838" s="4">
        <v>0.13684267798343</v>
      </c>
      <c r="L2838" s="7">
        <v>0.353713278227096</v>
      </c>
      <c r="M2838" s="3">
        <v>17.9</v>
      </c>
      <c r="N2838" s="3">
        <v>10.71</v>
      </c>
    </row>
    <row r="2839" spans="1:14">
      <c r="A2839" s="8" t="s">
        <v>2851</v>
      </c>
      <c r="B2839" s="2">
        <f>HYPERLINK("https://www.suredividend.com/sure-analysis-research-database/","Twilio Inc")</f>
        <v>0</v>
      </c>
      <c r="C2839" s="1" t="s">
        <v>3187</v>
      </c>
      <c r="D2839" s="3">
        <v>57.03</v>
      </c>
      <c r="E2839" s="4">
        <v>0</v>
      </c>
      <c r="F2839" s="4" t="s">
        <v>3178</v>
      </c>
      <c r="G2839" s="4" t="s">
        <v>3178</v>
      </c>
      <c r="H2839" s="3">
        <v>0</v>
      </c>
      <c r="I2839" s="5">
        <v>9761.924274999999</v>
      </c>
      <c r="J2839" s="6" t="s">
        <v>3178</v>
      </c>
      <c r="K2839" s="4">
        <v>-0</v>
      </c>
      <c r="L2839" s="7">
        <v>1.802688211862227</v>
      </c>
      <c r="M2839" s="3">
        <v>78.16</v>
      </c>
      <c r="N2839" s="3">
        <v>49.86</v>
      </c>
    </row>
    <row r="2840" spans="1:14">
      <c r="A2840" s="8" t="s">
        <v>2852</v>
      </c>
      <c r="B2840" s="2">
        <f>HYPERLINK("https://www.suredividend.com/sure-analysis-research-database/","Hostess Brands Inc")</f>
        <v>0</v>
      </c>
      <c r="C2840" s="1" t="s">
        <v>3184</v>
      </c>
      <c r="D2840" s="3">
        <v>33.3</v>
      </c>
      <c r="E2840" s="4">
        <v>0</v>
      </c>
      <c r="F2840" s="4" t="s">
        <v>3178</v>
      </c>
      <c r="G2840" s="4" t="s">
        <v>3178</v>
      </c>
      <c r="H2840" s="3">
        <v>0</v>
      </c>
      <c r="I2840" s="5">
        <v>0</v>
      </c>
      <c r="J2840" s="6">
        <v>0</v>
      </c>
      <c r="K2840" s="4">
        <v>0</v>
      </c>
    </row>
    <row r="2841" spans="1:14">
      <c r="A2841" s="8" t="s">
        <v>2853</v>
      </c>
      <c r="B2841" s="2">
        <f>HYPERLINK("https://www.suredividend.com/sure-analysis-TWO/","Two Harbors Investment Corp")</f>
        <v>0</v>
      </c>
      <c r="C2841" s="1" t="s">
        <v>3183</v>
      </c>
      <c r="D2841" s="3">
        <v>12.97</v>
      </c>
      <c r="E2841" s="4">
        <v>0.1387818041634541</v>
      </c>
      <c r="F2841" s="4">
        <v>-0.2500000000000001</v>
      </c>
      <c r="G2841" s="4">
        <v>0.02383625553960966</v>
      </c>
      <c r="H2841" s="3">
        <v>1.710955271375255</v>
      </c>
      <c r="I2841" s="5">
        <v>1342.32264</v>
      </c>
      <c r="J2841" s="6">
        <v>5.904549810941465</v>
      </c>
      <c r="K2841" s="4">
        <v>0.7570598545908208</v>
      </c>
      <c r="L2841" s="7">
        <v>1.250655258514712</v>
      </c>
      <c r="M2841" s="3">
        <v>13.63</v>
      </c>
      <c r="N2841" s="3">
        <v>9.18</v>
      </c>
    </row>
    <row r="2842" spans="1:14">
      <c r="A2842" s="8" t="s">
        <v>2854</v>
      </c>
      <c r="B2842" s="2">
        <f>HYPERLINK("https://www.suredividend.com/sure-analysis-research-database/","2U Inc")</f>
        <v>0</v>
      </c>
      <c r="C2842" s="1" t="s">
        <v>3184</v>
      </c>
      <c r="D2842" s="3">
        <v>0.2883</v>
      </c>
      <c r="E2842" s="4">
        <v>0</v>
      </c>
      <c r="F2842" s="4" t="s">
        <v>3178</v>
      </c>
      <c r="G2842" s="4" t="s">
        <v>3178</v>
      </c>
      <c r="H2842" s="3">
        <v>0</v>
      </c>
      <c r="I2842" s="5">
        <v>24.26322</v>
      </c>
      <c r="J2842" s="6" t="s">
        <v>3178</v>
      </c>
      <c r="K2842" s="4">
        <v>-0</v>
      </c>
      <c r="L2842" s="7">
        <v>3.590756652549932</v>
      </c>
      <c r="M2842" s="3">
        <v>4.81</v>
      </c>
      <c r="N2842" s="3">
        <v>0.2305</v>
      </c>
    </row>
    <row r="2843" spans="1:14">
      <c r="A2843" s="8" t="s">
        <v>2855</v>
      </c>
      <c r="B2843" s="2">
        <f>HYPERLINK("https://www.suredividend.com/sure-analysis-research-database/","Twist Bioscience Corp")</f>
        <v>0</v>
      </c>
      <c r="C2843" s="1" t="s">
        <v>3176</v>
      </c>
      <c r="D2843" s="3">
        <v>50.46</v>
      </c>
      <c r="E2843" s="4">
        <v>0</v>
      </c>
      <c r="F2843" s="4" t="s">
        <v>3178</v>
      </c>
      <c r="G2843" s="4" t="s">
        <v>3178</v>
      </c>
      <c r="H2843" s="3">
        <v>0</v>
      </c>
      <c r="I2843" s="5">
        <v>2938.08391</v>
      </c>
      <c r="J2843" s="6" t="s">
        <v>3178</v>
      </c>
      <c r="K2843" s="4">
        <v>-0</v>
      </c>
      <c r="L2843" s="7">
        <v>3.535211519076659</v>
      </c>
      <c r="M2843" s="3">
        <v>54.13</v>
      </c>
      <c r="N2843" s="3">
        <v>14.42</v>
      </c>
    </row>
    <row r="2844" spans="1:14">
      <c r="A2844" s="8" t="s">
        <v>2856</v>
      </c>
      <c r="B2844" s="2">
        <f>HYPERLINK("https://www.suredividend.com/sure-analysis-research-database/","Twitter Inc")</f>
        <v>0</v>
      </c>
      <c r="C2844" s="1" t="s">
        <v>3187</v>
      </c>
      <c r="D2844" s="3">
        <v>53.7</v>
      </c>
      <c r="E2844" s="4">
        <v>0</v>
      </c>
      <c r="F2844" s="4" t="s">
        <v>3178</v>
      </c>
      <c r="G2844" s="4" t="s">
        <v>3178</v>
      </c>
      <c r="H2844" s="3">
        <v>0</v>
      </c>
      <c r="I2844" s="5">
        <v>41093.718362</v>
      </c>
      <c r="J2844" s="6" t="s">
        <v>3178</v>
      </c>
      <c r="K2844" s="4">
        <v>-0</v>
      </c>
      <c r="L2844" s="7">
        <v>0.8659565146811</v>
      </c>
      <c r="M2844" s="3">
        <v>55.33</v>
      </c>
      <c r="N2844" s="3">
        <v>31.3</v>
      </c>
    </row>
    <row r="2845" spans="1:14">
      <c r="A2845" s="8" t="s">
        <v>2857</v>
      </c>
      <c r="B2845" s="2">
        <f>HYPERLINK("https://www.suredividend.com/sure-analysis-research-database/","TherapeuticsMD Inc")</f>
        <v>0</v>
      </c>
      <c r="C2845" s="1" t="s">
        <v>3176</v>
      </c>
      <c r="D2845" s="3">
        <v>2.1</v>
      </c>
      <c r="E2845" s="4">
        <v>0</v>
      </c>
      <c r="F2845" s="4" t="s">
        <v>3178</v>
      </c>
      <c r="G2845" s="4" t="s">
        <v>3178</v>
      </c>
      <c r="H2845" s="3">
        <v>0</v>
      </c>
      <c r="I2845" s="5">
        <v>24.21813</v>
      </c>
      <c r="J2845" s="6" t="s">
        <v>3178</v>
      </c>
      <c r="K2845" s="4">
        <v>-0</v>
      </c>
      <c r="L2845" s="7">
        <v>1.246186286605044</v>
      </c>
      <c r="M2845" s="3">
        <v>4.35</v>
      </c>
      <c r="N2845" s="3">
        <v>1.84</v>
      </c>
    </row>
    <row r="2846" spans="1:14">
      <c r="A2846" s="8" t="s">
        <v>2858</v>
      </c>
      <c r="B2846" s="2">
        <f>HYPERLINK("https://www.suredividend.com/sure-analysis-TXN/","Texas Instruments Inc.")</f>
        <v>0</v>
      </c>
      <c r="C2846" s="1" t="s">
        <v>3181</v>
      </c>
      <c r="D2846" s="3">
        <v>195.61</v>
      </c>
      <c r="E2846" s="4">
        <v>0.02658350800061346</v>
      </c>
      <c r="F2846" s="4">
        <v>0.04838709677419351</v>
      </c>
      <c r="G2846" s="4">
        <v>0.110428309953333</v>
      </c>
      <c r="H2846" s="3">
        <v>5.024425775195806</v>
      </c>
      <c r="I2846" s="5">
        <v>178099.412579</v>
      </c>
      <c r="J2846" s="6">
        <v>30.29932163645117</v>
      </c>
      <c r="K2846" s="4">
        <v>0.7826208372579138</v>
      </c>
      <c r="L2846" s="7">
        <v>1.307870857955665</v>
      </c>
      <c r="M2846" s="3">
        <v>206</v>
      </c>
      <c r="N2846" s="3">
        <v>133.52</v>
      </c>
    </row>
    <row r="2847" spans="1:14">
      <c r="A2847" s="8" t="s">
        <v>2859</v>
      </c>
      <c r="B2847" s="2">
        <f>HYPERLINK("https://www.suredividend.com/sure-analysis-research-database/","Texas Roadhouse Inc")</f>
        <v>0</v>
      </c>
      <c r="C2847" s="1" t="s">
        <v>3182</v>
      </c>
      <c r="D2847" s="3">
        <v>167.93</v>
      </c>
      <c r="E2847" s="4">
        <v>0.010140183039118</v>
      </c>
      <c r="F2847" s="4" t="s">
        <v>3178</v>
      </c>
      <c r="G2847" s="4" t="s">
        <v>3178</v>
      </c>
      <c r="H2847" s="3">
        <v>1.702840937759204</v>
      </c>
      <c r="I2847" s="5">
        <v>11216.151671</v>
      </c>
      <c r="J2847" s="6">
        <v>33.81465403883086</v>
      </c>
      <c r="K2847" s="4">
        <v>0.344704643271094</v>
      </c>
      <c r="L2847" s="7">
        <v>0.6640139943318131</v>
      </c>
      <c r="M2847" s="3">
        <v>174.05</v>
      </c>
      <c r="N2847" s="3">
        <v>90.25</v>
      </c>
    </row>
    <row r="2848" spans="1:14">
      <c r="A2848" s="8" t="s">
        <v>2860</v>
      </c>
      <c r="B2848" s="2">
        <f>HYPERLINK("https://www.suredividend.com/sure-analysis-research-database/","Textron Inc.")</f>
        <v>0</v>
      </c>
      <c r="C2848" s="1" t="s">
        <v>3179</v>
      </c>
      <c r="D2848" s="3">
        <v>85.59999999999999</v>
      </c>
      <c r="E2848" s="4">
        <v>0.0007007736912550001</v>
      </c>
      <c r="F2848" s="4">
        <v>0</v>
      </c>
      <c r="G2848" s="4">
        <v>0</v>
      </c>
      <c r="H2848" s="3">
        <v>0.05998622797146001</v>
      </c>
      <c r="I2848" s="5">
        <v>16323.833801</v>
      </c>
      <c r="J2848" s="6">
        <v>17.53365606960258</v>
      </c>
      <c r="K2848" s="4">
        <v>0.0128175700793718</v>
      </c>
      <c r="L2848" s="7">
        <v>0.6809928782315671</v>
      </c>
      <c r="M2848" s="3">
        <v>97.34</v>
      </c>
      <c r="N2848" s="3">
        <v>64.37</v>
      </c>
    </row>
    <row r="2849" spans="1:14">
      <c r="A2849" s="8" t="s">
        <v>2861</v>
      </c>
      <c r="B2849" s="2">
        <f>HYPERLINK("https://www.suredividend.com/sure-analysis-research-database/","Tyler Technologies, Inc.")</f>
        <v>0</v>
      </c>
      <c r="C2849" s="1" t="s">
        <v>3181</v>
      </c>
      <c r="D2849" s="3">
        <v>481.84</v>
      </c>
      <c r="E2849" s="4">
        <v>0</v>
      </c>
      <c r="F2849" s="4" t="s">
        <v>3178</v>
      </c>
      <c r="G2849" s="4" t="s">
        <v>3178</v>
      </c>
      <c r="H2849" s="3">
        <v>0</v>
      </c>
      <c r="I2849" s="5">
        <v>20456.645851</v>
      </c>
      <c r="J2849" s="6">
        <v>108.1138068603803</v>
      </c>
      <c r="K2849" s="4">
        <v>0</v>
      </c>
      <c r="L2849" s="7">
        <v>1.158216314834873</v>
      </c>
      <c r="M2849" s="3">
        <v>500.49</v>
      </c>
      <c r="N2849" s="3">
        <v>361.16</v>
      </c>
    </row>
    <row r="2850" spans="1:14">
      <c r="A2850" s="8" t="s">
        <v>2862</v>
      </c>
      <c r="B2850" s="2">
        <f>HYPERLINK("https://www.suredividend.com/sure-analysis-research-database/","Tyme Technologies Inc")</f>
        <v>0</v>
      </c>
      <c r="C2850" s="1" t="s">
        <v>3176</v>
      </c>
      <c r="D2850" s="3">
        <v>0.3107</v>
      </c>
      <c r="E2850" s="4">
        <v>0</v>
      </c>
      <c r="F2850" s="4" t="s">
        <v>3178</v>
      </c>
      <c r="G2850" s="4" t="s">
        <v>3178</v>
      </c>
      <c r="H2850" s="3">
        <v>0</v>
      </c>
      <c r="I2850" s="5">
        <v>0</v>
      </c>
      <c r="J2850" s="6">
        <v>0</v>
      </c>
      <c r="K2850" s="4" t="s">
        <v>3178</v>
      </c>
    </row>
    <row r="2851" spans="1:14">
      <c r="A2851" s="8" t="s">
        <v>2863</v>
      </c>
      <c r="B2851" s="2">
        <f>HYPERLINK("https://www.suredividend.com/sure-analysis-research-database/","Travelzoo")</f>
        <v>0</v>
      </c>
      <c r="C2851" s="1" t="s">
        <v>3182</v>
      </c>
      <c r="D2851" s="3">
        <v>8.130000000000001</v>
      </c>
      <c r="E2851" s="4">
        <v>0</v>
      </c>
      <c r="F2851" s="4" t="s">
        <v>3178</v>
      </c>
      <c r="G2851" s="4" t="s">
        <v>3178</v>
      </c>
      <c r="H2851" s="3">
        <v>0</v>
      </c>
      <c r="I2851" s="5">
        <v>106.486724</v>
      </c>
      <c r="J2851" s="6">
        <v>8.236269142238379</v>
      </c>
      <c r="K2851" s="4">
        <v>0</v>
      </c>
      <c r="L2851" s="7">
        <v>1.198175571651362</v>
      </c>
      <c r="M2851" s="3">
        <v>11.23</v>
      </c>
      <c r="N2851" s="3">
        <v>4.77</v>
      </c>
    </row>
    <row r="2852" spans="1:14">
      <c r="A2852" s="8" t="s">
        <v>2864</v>
      </c>
      <c r="B2852" s="2">
        <f>HYPERLINK("https://www.suredividend.com/sure-analysis-research-database/","Under Armour Inc")</f>
        <v>0</v>
      </c>
      <c r="C2852" s="1" t="s">
        <v>3182</v>
      </c>
      <c r="D2852" s="3">
        <v>6.74</v>
      </c>
      <c r="E2852" s="4">
        <v>0</v>
      </c>
      <c r="F2852" s="4" t="s">
        <v>3178</v>
      </c>
      <c r="G2852" s="4" t="s">
        <v>3178</v>
      </c>
      <c r="H2852" s="3">
        <v>0</v>
      </c>
      <c r="I2852" s="5">
        <v>2741.897448</v>
      </c>
      <c r="J2852" s="6">
        <v>11.81638430822868</v>
      </c>
      <c r="K2852" s="4">
        <v>0</v>
      </c>
      <c r="L2852" s="7">
        <v>1.366350845409289</v>
      </c>
      <c r="M2852" s="3">
        <v>8.99</v>
      </c>
      <c r="N2852" s="3">
        <v>5.86</v>
      </c>
    </row>
    <row r="2853" spans="1:14">
      <c r="A2853" s="8" t="s">
        <v>2865</v>
      </c>
      <c r="B2853" s="2">
        <f>HYPERLINK("https://www.suredividend.com/sure-analysis-research-database/","Under Armour Inc")</f>
        <v>0</v>
      </c>
      <c r="C2853" s="1" t="s">
        <v>3182</v>
      </c>
      <c r="D2853" s="3">
        <v>6.91</v>
      </c>
      <c r="E2853" s="4">
        <v>0</v>
      </c>
      <c r="F2853" s="4" t="s">
        <v>3178</v>
      </c>
      <c r="G2853" s="4" t="s">
        <v>3178</v>
      </c>
      <c r="H2853" s="3">
        <v>0</v>
      </c>
      <c r="I2853" s="5">
        <v>3065.196673</v>
      </c>
      <c r="J2853" s="6">
        <v>11.81638430822868</v>
      </c>
      <c r="K2853" s="4">
        <v>0</v>
      </c>
      <c r="L2853" s="7">
        <v>1.377184532376329</v>
      </c>
      <c r="M2853" s="3">
        <v>9.5</v>
      </c>
      <c r="N2853" s="3">
        <v>6.18</v>
      </c>
    </row>
    <row r="2854" spans="1:14">
      <c r="A2854" s="8" t="s">
        <v>2866</v>
      </c>
      <c r="B2854" s="2">
        <f>HYPERLINK("https://www.suredividend.com/sure-analysis-research-database/","United Airlines Holdings Inc")</f>
        <v>0</v>
      </c>
      <c r="C2854" s="1" t="s">
        <v>3179</v>
      </c>
      <c r="D2854" s="3">
        <v>53</v>
      </c>
      <c r="E2854" s="4">
        <v>0</v>
      </c>
      <c r="F2854" s="4" t="s">
        <v>3178</v>
      </c>
      <c r="G2854" s="4" t="s">
        <v>3178</v>
      </c>
      <c r="H2854" s="3">
        <v>0</v>
      </c>
      <c r="I2854" s="5">
        <v>17426.581843</v>
      </c>
      <c r="J2854" s="6">
        <v>6.483103364211309</v>
      </c>
      <c r="K2854" s="4">
        <v>0</v>
      </c>
      <c r="L2854" s="7">
        <v>1.271925708344142</v>
      </c>
      <c r="M2854" s="3">
        <v>58.23</v>
      </c>
      <c r="N2854" s="3">
        <v>33.68</v>
      </c>
    </row>
    <row r="2855" spans="1:14">
      <c r="A2855" s="8" t="s">
        <v>2867</v>
      </c>
      <c r="B2855" s="2">
        <f>HYPERLINK("https://www.suredividend.com/sure-analysis-research-database/","United States Antimony Corp.")</f>
        <v>0</v>
      </c>
      <c r="C2855" s="1" t="s">
        <v>3177</v>
      </c>
      <c r="D2855" s="3">
        <v>0.3212</v>
      </c>
      <c r="E2855" s="4">
        <v>0</v>
      </c>
      <c r="F2855" s="4" t="s">
        <v>3178</v>
      </c>
      <c r="G2855" s="4" t="s">
        <v>3178</v>
      </c>
      <c r="H2855" s="3">
        <v>0</v>
      </c>
      <c r="I2855" s="5">
        <v>34.830602</v>
      </c>
      <c r="J2855" s="6">
        <v>0</v>
      </c>
      <c r="K2855" s="4" t="s">
        <v>3178</v>
      </c>
      <c r="L2855" s="7">
        <v>0.860284469529863</v>
      </c>
      <c r="M2855" s="3">
        <v>0.48</v>
      </c>
      <c r="N2855" s="3">
        <v>0.1732</v>
      </c>
    </row>
    <row r="2856" spans="1:14">
      <c r="A2856" s="8" t="s">
        <v>2868</v>
      </c>
      <c r="B2856" s="2">
        <f>HYPERLINK("https://www.suredividend.com/sure-analysis-research-database/","Urstadt Biddle Properties, Inc.")</f>
        <v>0</v>
      </c>
      <c r="C2856" s="1" t="s">
        <v>3183</v>
      </c>
      <c r="D2856" s="3">
        <v>21.14</v>
      </c>
      <c r="E2856" s="4">
        <v>0.055464129916136</v>
      </c>
      <c r="F2856" s="4" t="s">
        <v>3178</v>
      </c>
      <c r="G2856" s="4" t="s">
        <v>3178</v>
      </c>
      <c r="H2856" s="3">
        <v>1.172511706427133</v>
      </c>
      <c r="I2856" s="5">
        <v>832.174133</v>
      </c>
      <c r="J2856" s="6">
        <v>32.57296592101143</v>
      </c>
      <c r="K2856" s="4">
        <v>1.743771127940412</v>
      </c>
      <c r="L2856" s="7">
        <v>0.811919697943923</v>
      </c>
      <c r="M2856" s="3">
        <v>23.16</v>
      </c>
      <c r="N2856" s="3">
        <v>14.51</v>
      </c>
    </row>
    <row r="2857" spans="1:14">
      <c r="A2857" s="8" t="s">
        <v>2869</v>
      </c>
      <c r="B2857" s="2">
        <f>HYPERLINK("https://www.suredividend.com/sure-analysis-research-database/","United Bancorp, Inc. (Martins Ferry, OH)")</f>
        <v>0</v>
      </c>
      <c r="C2857" s="1" t="s">
        <v>3180</v>
      </c>
      <c r="D2857" s="3">
        <v>12.17</v>
      </c>
      <c r="E2857" s="4">
        <v>0.040789417902323</v>
      </c>
      <c r="F2857" s="4">
        <v>-0.09090909090909094</v>
      </c>
      <c r="G2857" s="4">
        <v>0.01031145931793609</v>
      </c>
      <c r="H2857" s="3">
        <v>0.4964072158712771</v>
      </c>
      <c r="I2857" s="5">
        <v>72.45747799999999</v>
      </c>
      <c r="J2857" s="6">
        <v>0</v>
      </c>
      <c r="K2857" s="4" t="s">
        <v>3178</v>
      </c>
      <c r="M2857" s="3">
        <v>15.11</v>
      </c>
      <c r="N2857" s="3">
        <v>9.16</v>
      </c>
    </row>
    <row r="2858" spans="1:14">
      <c r="A2858" s="8" t="s">
        <v>2870</v>
      </c>
      <c r="B2858" s="2">
        <f>HYPERLINK("https://www.suredividend.com/sure-analysis-research-database/","Uber Technologies Inc")</f>
        <v>0</v>
      </c>
      <c r="C2858" s="1" t="s">
        <v>3181</v>
      </c>
      <c r="D2858" s="3">
        <v>69.31</v>
      </c>
      <c r="E2858" s="4">
        <v>0</v>
      </c>
      <c r="F2858" s="4" t="s">
        <v>3178</v>
      </c>
      <c r="G2858" s="4" t="s">
        <v>3178</v>
      </c>
      <c r="H2858" s="3">
        <v>0</v>
      </c>
      <c r="I2858" s="5">
        <v>128979.39784</v>
      </c>
      <c r="J2858" s="6">
        <v>92.79093369807914</v>
      </c>
      <c r="K2858" s="4">
        <v>0</v>
      </c>
      <c r="L2858" s="7">
        <v>1.687950136704636</v>
      </c>
      <c r="M2858" s="3">
        <v>82.14</v>
      </c>
      <c r="N2858" s="3">
        <v>40.09</v>
      </c>
    </row>
    <row r="2859" spans="1:14">
      <c r="A2859" s="8" t="s">
        <v>2871</v>
      </c>
      <c r="B2859" s="2">
        <f>HYPERLINK("https://www.suredividend.com/sure-analysis-research-database/","United Security Bancshares (CA)")</f>
        <v>0</v>
      </c>
      <c r="C2859" s="1" t="s">
        <v>3180</v>
      </c>
      <c r="D2859" s="3">
        <v>7.21</v>
      </c>
      <c r="E2859" s="4">
        <v>0.063554998248689</v>
      </c>
      <c r="F2859" s="4">
        <v>0.09090909090909083</v>
      </c>
      <c r="G2859" s="4">
        <v>0.01755457717558762</v>
      </c>
      <c r="H2859" s="3">
        <v>0.4582315373730501</v>
      </c>
      <c r="I2859" s="5">
        <v>124.842556</v>
      </c>
      <c r="J2859" s="6">
        <v>7.001040598362493</v>
      </c>
      <c r="K2859" s="4">
        <v>0.4406072474740866</v>
      </c>
      <c r="L2859" s="7">
        <v>0.204265542729689</v>
      </c>
      <c r="M2859" s="3">
        <v>8.220000000000001</v>
      </c>
      <c r="N2859" s="3">
        <v>5.59</v>
      </c>
    </row>
    <row r="2860" spans="1:14">
      <c r="A2860" s="8" t="s">
        <v>2872</v>
      </c>
      <c r="B2860" s="2">
        <f>HYPERLINK("https://www.suredividend.com/sure-analysis-research-database/","United Bancshares Inc. (OH)")</f>
        <v>0</v>
      </c>
      <c r="C2860" s="1" t="s">
        <v>3180</v>
      </c>
      <c r="D2860" s="3">
        <v>18.35</v>
      </c>
      <c r="E2860" s="4">
        <v>0</v>
      </c>
      <c r="F2860" s="4">
        <v>0</v>
      </c>
      <c r="G2860" s="4">
        <v>0.1109534595426207</v>
      </c>
      <c r="H2860" s="3">
        <v>0.8799999952316281</v>
      </c>
      <c r="I2860" s="5">
        <v>54.694194</v>
      </c>
      <c r="J2860" s="6">
        <v>0</v>
      </c>
      <c r="K2860" s="4" t="s">
        <v>3178</v>
      </c>
      <c r="M2860" s="3">
        <v>19.39</v>
      </c>
      <c r="N2860" s="3">
        <v>16.4</v>
      </c>
    </row>
    <row r="2861" spans="1:14">
      <c r="A2861" s="8" t="s">
        <v>2873</v>
      </c>
      <c r="B2861" s="2">
        <f>HYPERLINK("https://www.suredividend.com/sure-analysis-UBSI/","United Bankshares, Inc.")</f>
        <v>0</v>
      </c>
      <c r="C2861" s="1" t="s">
        <v>3180</v>
      </c>
      <c r="D2861" s="3">
        <v>31.87</v>
      </c>
      <c r="E2861" s="4">
        <v>0.04643865704424223</v>
      </c>
      <c r="F2861" s="4">
        <v>0.0277777777777779</v>
      </c>
      <c r="G2861" s="4">
        <v>0.01705528617103536</v>
      </c>
      <c r="H2861" s="3">
        <v>1.077226457226255</v>
      </c>
      <c r="I2861" s="5">
        <v>4308.726318</v>
      </c>
      <c r="J2861" s="6">
        <v>11.76241716360053</v>
      </c>
      <c r="K2861" s="4">
        <v>0.3960391386861232</v>
      </c>
      <c r="L2861" s="7">
        <v>1.084243943607268</v>
      </c>
      <c r="M2861" s="3">
        <v>37.93</v>
      </c>
      <c r="N2861" s="3">
        <v>24.29</v>
      </c>
    </row>
    <row r="2862" spans="1:14">
      <c r="A2862" s="8" t="s">
        <v>2874</v>
      </c>
      <c r="B2862" s="2">
        <f>HYPERLINK("https://www.suredividend.com/sure-analysis-research-database/","United Community Banks Inc")</f>
        <v>0</v>
      </c>
      <c r="C2862" s="1" t="s">
        <v>3180</v>
      </c>
      <c r="D2862" s="3">
        <v>25.12</v>
      </c>
      <c r="E2862" s="4">
        <v>0.03569516660972</v>
      </c>
      <c r="F2862" s="4">
        <v>0</v>
      </c>
      <c r="G2862" s="4">
        <v>0.06232103966616465</v>
      </c>
      <c r="H2862" s="3">
        <v>0.896662585236178</v>
      </c>
      <c r="I2862" s="5">
        <v>2992.827823</v>
      </c>
      <c r="J2862" s="6">
        <v>16.50596092610772</v>
      </c>
      <c r="K2862" s="4">
        <v>0.5860539772785477</v>
      </c>
      <c r="L2862" s="7">
        <v>1.376028583999877</v>
      </c>
      <c r="M2862" s="3">
        <v>30.2</v>
      </c>
      <c r="N2862" s="3">
        <v>20.91</v>
      </c>
    </row>
    <row r="2863" spans="1:14">
      <c r="A2863" s="8" t="s">
        <v>2875</v>
      </c>
      <c r="B2863" s="2">
        <f>HYPERLINK("https://www.suredividend.com/sure-analysis-research-database/","Ultra Clean Hldgs Inc")</f>
        <v>0</v>
      </c>
      <c r="C2863" s="1" t="s">
        <v>3181</v>
      </c>
      <c r="D2863" s="3">
        <v>46.12</v>
      </c>
      <c r="E2863" s="4">
        <v>0</v>
      </c>
      <c r="F2863" s="4" t="s">
        <v>3178</v>
      </c>
      <c r="G2863" s="4" t="s">
        <v>3178</v>
      </c>
      <c r="H2863" s="3">
        <v>0</v>
      </c>
      <c r="I2863" s="5">
        <v>2061.564</v>
      </c>
      <c r="J2863" s="6" t="s">
        <v>3178</v>
      </c>
      <c r="K2863" s="4">
        <v>-0</v>
      </c>
      <c r="L2863" s="7">
        <v>2.089740656140709</v>
      </c>
      <c r="M2863" s="3">
        <v>49.25</v>
      </c>
      <c r="N2863" s="3">
        <v>22.15</v>
      </c>
    </row>
    <row r="2864" spans="1:14">
      <c r="A2864" s="8" t="s">
        <v>2876</v>
      </c>
      <c r="B2864" s="2">
        <f>HYPERLINK("https://www.suredividend.com/sure-analysis-UDR/","UDR Inc")</f>
        <v>0</v>
      </c>
      <c r="C2864" s="1" t="s">
        <v>3183</v>
      </c>
      <c r="D2864" s="3">
        <v>39.67</v>
      </c>
      <c r="E2864" s="4">
        <v>0.04285354171918326</v>
      </c>
      <c r="F2864" s="4">
        <v>0.01190476190476186</v>
      </c>
      <c r="G2864" s="4">
        <v>0.04410859499401143</v>
      </c>
      <c r="H2864" s="3">
        <v>1.656901509384652</v>
      </c>
      <c r="I2864" s="5">
        <v>13063.594726</v>
      </c>
      <c r="J2864" s="6">
        <v>28.92466760434149</v>
      </c>
      <c r="K2864" s="4">
        <v>1.209417160134783</v>
      </c>
      <c r="L2864" s="7">
        <v>0.9580487306539971</v>
      </c>
      <c r="M2864" s="3">
        <v>42.54</v>
      </c>
      <c r="N2864" s="3">
        <v>30.27</v>
      </c>
    </row>
    <row r="2865" spans="1:14">
      <c r="A2865" s="8" t="s">
        <v>2877</v>
      </c>
      <c r="B2865" s="2">
        <f>HYPERLINK("https://www.suredividend.com/sure-analysis-UE/","Urban Edge Properties")</f>
        <v>0</v>
      </c>
      <c r="C2865" s="1" t="s">
        <v>3183</v>
      </c>
      <c r="D2865" s="3">
        <v>17.6</v>
      </c>
      <c r="E2865" s="4">
        <v>0.03863636363636364</v>
      </c>
      <c r="F2865" s="4" t="s">
        <v>3178</v>
      </c>
      <c r="G2865" s="4" t="s">
        <v>3178</v>
      </c>
      <c r="H2865" s="3">
        <v>0.6408333490165431</v>
      </c>
      <c r="I2865" s="5">
        <v>2091.145637</v>
      </c>
      <c r="J2865" s="6">
        <v>7.74489778558016</v>
      </c>
      <c r="K2865" s="4">
        <v>0.2823054400953934</v>
      </c>
      <c r="L2865" s="7">
        <v>0.9647500865605241</v>
      </c>
      <c r="M2865" s="3">
        <v>18.6</v>
      </c>
      <c r="N2865" s="3">
        <v>13.73</v>
      </c>
    </row>
    <row r="2866" spans="1:14">
      <c r="A2866" s="8" t="s">
        <v>2878</v>
      </c>
      <c r="B2866" s="2">
        <f>HYPERLINK("https://www.suredividend.com/sure-analysis-research-database/","Uranium Energy Corp")</f>
        <v>0</v>
      </c>
      <c r="C2866" s="1" t="s">
        <v>3185</v>
      </c>
      <c r="D2866" s="3">
        <v>6.12</v>
      </c>
      <c r="E2866" s="4">
        <v>0</v>
      </c>
      <c r="F2866" s="4" t="s">
        <v>3178</v>
      </c>
      <c r="G2866" s="4" t="s">
        <v>3178</v>
      </c>
      <c r="H2866" s="3">
        <v>0</v>
      </c>
      <c r="I2866" s="5">
        <v>2500.769982</v>
      </c>
      <c r="J2866" s="6" t="s">
        <v>3178</v>
      </c>
      <c r="K2866" s="4">
        <v>-0</v>
      </c>
      <c r="L2866" s="7">
        <v>1.116048508319725</v>
      </c>
      <c r="M2866" s="3">
        <v>8.34</v>
      </c>
      <c r="N2866" s="3">
        <v>2.87</v>
      </c>
    </row>
    <row r="2867" spans="1:14">
      <c r="A2867" s="8" t="s">
        <v>2879</v>
      </c>
      <c r="B2867" s="2">
        <f>HYPERLINK("https://www.suredividend.com/sure-analysis-research-database/","Universal Electronics Inc.")</f>
        <v>0</v>
      </c>
      <c r="C2867" s="1" t="s">
        <v>3181</v>
      </c>
      <c r="D2867" s="3">
        <v>11.72</v>
      </c>
      <c r="E2867" s="4">
        <v>0</v>
      </c>
      <c r="F2867" s="4" t="s">
        <v>3178</v>
      </c>
      <c r="G2867" s="4" t="s">
        <v>3178</v>
      </c>
      <c r="H2867" s="3">
        <v>0</v>
      </c>
      <c r="I2867" s="5">
        <v>151.079192</v>
      </c>
      <c r="J2867" s="6" t="s">
        <v>3178</v>
      </c>
      <c r="K2867" s="4">
        <v>-0</v>
      </c>
      <c r="L2867" s="7">
        <v>0.8545533241244351</v>
      </c>
      <c r="M2867" s="3">
        <v>14.2</v>
      </c>
      <c r="N2867" s="3">
        <v>7.02</v>
      </c>
    </row>
    <row r="2868" spans="1:14">
      <c r="A2868" s="8" t="s">
        <v>2880</v>
      </c>
      <c r="B2868" s="2">
        <f>HYPERLINK("https://www.suredividend.com/sure-analysis-research-database/","Unique Fabricating Inc")</f>
        <v>0</v>
      </c>
      <c r="C2868" s="1" t="s">
        <v>3182</v>
      </c>
      <c r="D2868" s="3">
        <v>0.1676</v>
      </c>
      <c r="E2868" s="4">
        <v>0</v>
      </c>
      <c r="F2868" s="4" t="s">
        <v>3178</v>
      </c>
      <c r="G2868" s="4" t="s">
        <v>3178</v>
      </c>
      <c r="H2868" s="3">
        <v>0</v>
      </c>
      <c r="I2868" s="5">
        <v>1.966475</v>
      </c>
      <c r="J2868" s="6" t="s">
        <v>3178</v>
      </c>
      <c r="K2868" s="4">
        <v>-0</v>
      </c>
      <c r="M2868" s="3">
        <v>0.9199000000000001</v>
      </c>
      <c r="N2868" s="3">
        <v>0.14</v>
      </c>
    </row>
    <row r="2869" spans="1:14">
      <c r="A2869" s="8" t="s">
        <v>2881</v>
      </c>
      <c r="B2869" s="2">
        <f>HYPERLINK("https://www.suredividend.com/sure-analysis-research-database/","United Fire Group Inc")</f>
        <v>0</v>
      </c>
      <c r="C2869" s="1" t="s">
        <v>3180</v>
      </c>
      <c r="D2869" s="3">
        <v>21.35</v>
      </c>
      <c r="E2869" s="4">
        <v>0.029338913904303</v>
      </c>
      <c r="F2869" s="4">
        <v>0</v>
      </c>
      <c r="G2869" s="4">
        <v>-0.1347906410308923</v>
      </c>
      <c r="H2869" s="3">
        <v>0.626385811856875</v>
      </c>
      <c r="I2869" s="5">
        <v>540.068362</v>
      </c>
      <c r="J2869" s="6" t="s">
        <v>3178</v>
      </c>
      <c r="K2869" s="4" t="s">
        <v>3178</v>
      </c>
      <c r="L2869" s="7">
        <v>0.601398331310634</v>
      </c>
      <c r="M2869" s="3">
        <v>24.84</v>
      </c>
      <c r="N2869" s="3">
        <v>17.62</v>
      </c>
    </row>
    <row r="2870" spans="1:14">
      <c r="A2870" s="8" t="s">
        <v>2882</v>
      </c>
      <c r="B2870" s="2">
        <f>HYPERLINK("https://www.suredividend.com/sure-analysis-research-database/","UNIFI, Inc.")</f>
        <v>0</v>
      </c>
      <c r="C2870" s="1" t="s">
        <v>3182</v>
      </c>
      <c r="D2870" s="3">
        <v>6.11</v>
      </c>
      <c r="E2870" s="4">
        <v>0</v>
      </c>
      <c r="F2870" s="4" t="s">
        <v>3178</v>
      </c>
      <c r="G2870" s="4" t="s">
        <v>3178</v>
      </c>
      <c r="H2870" s="3">
        <v>0</v>
      </c>
      <c r="I2870" s="5">
        <v>111.51694</v>
      </c>
      <c r="J2870" s="6" t="s">
        <v>3178</v>
      </c>
      <c r="K2870" s="4">
        <v>-0</v>
      </c>
      <c r="L2870" s="7">
        <v>0.8156866518405881</v>
      </c>
      <c r="M2870" s="3">
        <v>8.970000000000001</v>
      </c>
      <c r="N2870" s="3">
        <v>5.41</v>
      </c>
    </row>
    <row r="2871" spans="1:14">
      <c r="A2871" s="8" t="s">
        <v>2883</v>
      </c>
      <c r="B2871" s="2">
        <f>HYPERLINK("https://www.suredividend.com/sure-analysis-research-database/","UFP Industries Inc")</f>
        <v>0</v>
      </c>
      <c r="C2871" s="1" t="s">
        <v>3177</v>
      </c>
      <c r="D2871" s="3">
        <v>113.8</v>
      </c>
      <c r="E2871" s="4">
        <v>0.010982231613016</v>
      </c>
      <c r="F2871" s="4" t="s">
        <v>3178</v>
      </c>
      <c r="G2871" s="4" t="s">
        <v>3178</v>
      </c>
      <c r="H2871" s="3">
        <v>1.249777957561241</v>
      </c>
      <c r="I2871" s="5">
        <v>7027.593706</v>
      </c>
      <c r="J2871" s="6">
        <v>14.50259238755611</v>
      </c>
      <c r="K2871" s="4">
        <v>0.1554450195971693</v>
      </c>
      <c r="L2871" s="7">
        <v>1.502147944084658</v>
      </c>
      <c r="M2871" s="3">
        <v>127.19</v>
      </c>
      <c r="N2871" s="3">
        <v>85.19</v>
      </c>
    </row>
    <row r="2872" spans="1:14">
      <c r="A2872" s="8" t="s">
        <v>2884</v>
      </c>
      <c r="B2872" s="2">
        <f>HYPERLINK("https://www.suredividend.com/sure-analysis-research-database/","UFP Technologies Inc.")</f>
        <v>0</v>
      </c>
      <c r="C2872" s="1" t="s">
        <v>3182</v>
      </c>
      <c r="D2872" s="3">
        <v>246.98</v>
      </c>
      <c r="E2872" s="4">
        <v>0</v>
      </c>
      <c r="F2872" s="4" t="s">
        <v>3178</v>
      </c>
      <c r="G2872" s="4" t="s">
        <v>3178</v>
      </c>
      <c r="H2872" s="3">
        <v>0</v>
      </c>
      <c r="I2872" s="5">
        <v>1894.456879</v>
      </c>
      <c r="J2872" s="6">
        <v>42.17026264936337</v>
      </c>
      <c r="K2872" s="4">
        <v>0</v>
      </c>
      <c r="L2872" s="7">
        <v>1.548648047826838</v>
      </c>
      <c r="M2872" s="3">
        <v>268.34</v>
      </c>
      <c r="N2872" s="3">
        <v>127.29</v>
      </c>
    </row>
    <row r="2873" spans="1:14">
      <c r="A2873" s="8" t="s">
        <v>2885</v>
      </c>
      <c r="B2873" s="2">
        <f>HYPERLINK("https://www.suredividend.com/sure-analysis-research-database/","Domtar Corporation")</f>
        <v>0</v>
      </c>
      <c r="C2873" s="1" t="s">
        <v>3177</v>
      </c>
      <c r="D2873" s="3">
        <v>55.49</v>
      </c>
      <c r="E2873" s="4">
        <v>0</v>
      </c>
      <c r="F2873" s="4" t="s">
        <v>3178</v>
      </c>
      <c r="G2873" s="4" t="s">
        <v>3178</v>
      </c>
      <c r="H2873" s="3">
        <v>0</v>
      </c>
      <c r="I2873" s="5">
        <v>2795.535704</v>
      </c>
      <c r="J2873" s="6">
        <v>121.5450306130435</v>
      </c>
      <c r="K2873" s="4">
        <v>0</v>
      </c>
      <c r="L2873" s="7">
        <v>0.297009864263881</v>
      </c>
      <c r="M2873" s="3">
        <v>55.5</v>
      </c>
      <c r="N2873" s="3">
        <v>29.07</v>
      </c>
    </row>
    <row r="2874" spans="1:14">
      <c r="A2874" s="8" t="s">
        <v>2886</v>
      </c>
      <c r="B2874" s="2">
        <f>HYPERLINK("https://www.suredividend.com/sure-analysis-research-database/","United-Guardian, Inc.")</f>
        <v>0</v>
      </c>
      <c r="C2874" s="1" t="s">
        <v>3184</v>
      </c>
      <c r="D2874" s="3">
        <v>8.859999999999999</v>
      </c>
      <c r="E2874" s="4">
        <v>0.038853563844441</v>
      </c>
      <c r="F2874" s="4" t="s">
        <v>3178</v>
      </c>
      <c r="G2874" s="4" t="s">
        <v>3178</v>
      </c>
      <c r="H2874" s="3">
        <v>0.344242575661749</v>
      </c>
      <c r="I2874" s="5">
        <v>40.705666</v>
      </c>
      <c r="J2874" s="6">
        <v>0</v>
      </c>
      <c r="K2874" s="4" t="s">
        <v>3178</v>
      </c>
      <c r="L2874" s="7">
        <v>-0.014148481036648</v>
      </c>
      <c r="M2874" s="3">
        <v>9.539999999999999</v>
      </c>
      <c r="N2874" s="3">
        <v>5.46</v>
      </c>
    </row>
    <row r="2875" spans="1:14">
      <c r="A2875" s="8" t="s">
        <v>2887</v>
      </c>
      <c r="B2875" s="2">
        <f>HYPERLINK("https://www.suredividend.com/sure-analysis-UGI/","UGI Corp.")</f>
        <v>0</v>
      </c>
      <c r="C2875" s="1" t="s">
        <v>3186</v>
      </c>
      <c r="D2875" s="3">
        <v>23.25</v>
      </c>
      <c r="E2875" s="4">
        <v>0.06451612903225806</v>
      </c>
      <c r="F2875" s="4">
        <v>0.04166666666666674</v>
      </c>
      <c r="G2875" s="4">
        <v>0.04563955259127317</v>
      </c>
      <c r="H2875" s="3">
        <v>1.465619926547691</v>
      </c>
      <c r="I2875" s="5">
        <v>4873.721753</v>
      </c>
      <c r="J2875" s="6" t="s">
        <v>3178</v>
      </c>
      <c r="K2875" s="4" t="s">
        <v>3178</v>
      </c>
      <c r="L2875" s="7">
        <v>0.8371124304119111</v>
      </c>
      <c r="M2875" s="3">
        <v>27.98</v>
      </c>
      <c r="N2875" s="3">
        <v>19.57</v>
      </c>
    </row>
    <row r="2876" spans="1:14">
      <c r="A2876" s="8" t="s">
        <v>2888</v>
      </c>
      <c r="B2876" s="2">
        <f>HYPERLINK("https://www.suredividend.com/sure-analysis-research-database/","U-Haul Holding Company")</f>
        <v>0</v>
      </c>
      <c r="C2876" s="1" t="s">
        <v>3179</v>
      </c>
      <c r="D2876" s="3">
        <v>62.73</v>
      </c>
      <c r="E2876" s="4">
        <v>0</v>
      </c>
      <c r="F2876" s="4" t="s">
        <v>3178</v>
      </c>
      <c r="G2876" s="4" t="s">
        <v>3178</v>
      </c>
      <c r="H2876" s="3">
        <v>0</v>
      </c>
      <c r="I2876" s="5">
        <v>11887.025397</v>
      </c>
      <c r="J2876" s="6">
        <v>18.9070988506888</v>
      </c>
      <c r="K2876" s="4">
        <v>0</v>
      </c>
      <c r="L2876" s="7">
        <v>1.265692065066872</v>
      </c>
      <c r="M2876" s="3">
        <v>73.03</v>
      </c>
      <c r="N2876" s="3">
        <v>48.07</v>
      </c>
    </row>
    <row r="2877" spans="1:14">
      <c r="A2877" s="8" t="s">
        <v>2889</v>
      </c>
      <c r="B2877" s="2">
        <f>HYPERLINK("https://www.suredividend.com/sure-analysis-research-database/","Universal Health Services, Inc.")</f>
        <v>0</v>
      </c>
      <c r="C2877" s="1" t="s">
        <v>3176</v>
      </c>
      <c r="D2877" s="3">
        <v>187.53</v>
      </c>
      <c r="E2877" s="4">
        <v>0.0042584106676</v>
      </c>
      <c r="F2877" s="4" t="s">
        <v>3178</v>
      </c>
      <c r="G2877" s="4" t="s">
        <v>3178</v>
      </c>
      <c r="H2877" s="3">
        <v>0.7985797524951781</v>
      </c>
      <c r="I2877" s="5">
        <v>13684.111358</v>
      </c>
      <c r="J2877" s="6">
        <v>13.7100095597643</v>
      </c>
      <c r="K2877" s="4">
        <v>0.06784874702592847</v>
      </c>
      <c r="L2877" s="7">
        <v>0.8836665942904051</v>
      </c>
      <c r="M2877" s="3">
        <v>190.5</v>
      </c>
      <c r="N2877" s="3">
        <v>119.45</v>
      </c>
    </row>
    <row r="2878" spans="1:14">
      <c r="A2878" s="8" t="s">
        <v>2890</v>
      </c>
      <c r="B2878" s="2">
        <f>HYPERLINK("https://www.suredividend.com/sure-analysis-UHT/","Universal Health Realty Income Trust")</f>
        <v>0</v>
      </c>
      <c r="C2878" s="1" t="s">
        <v>3183</v>
      </c>
      <c r="D2878" s="3">
        <v>38.87</v>
      </c>
      <c r="E2878" s="4">
        <v>0.07512220221250322</v>
      </c>
      <c r="F2878" s="4">
        <v>0.01398601398601396</v>
      </c>
      <c r="G2878" s="4">
        <v>0.01289824528018912</v>
      </c>
      <c r="H2878" s="3">
        <v>2.813932666139624</v>
      </c>
      <c r="I2878" s="5">
        <v>537.38086</v>
      </c>
      <c r="J2878" s="6">
        <v>33.08791697555569</v>
      </c>
      <c r="K2878" s="4">
        <v>2.384688700118326</v>
      </c>
      <c r="L2878" s="7">
        <v>0.8601973451681141</v>
      </c>
      <c r="M2878" s="3">
        <v>46.98</v>
      </c>
      <c r="N2878" s="3">
        <v>32.27</v>
      </c>
    </row>
    <row r="2879" spans="1:14">
      <c r="A2879" s="8" t="s">
        <v>2891</v>
      </c>
      <c r="B2879" s="2">
        <f>HYPERLINK("https://www.suredividend.com/sure-analysis-research-database/","Ubiquiti Inc")</f>
        <v>0</v>
      </c>
      <c r="C2879" s="1" t="s">
        <v>3181</v>
      </c>
      <c r="D2879" s="3">
        <v>144.88</v>
      </c>
      <c r="E2879" s="4">
        <v>0.016451075235479</v>
      </c>
      <c r="F2879" s="4">
        <v>0</v>
      </c>
      <c r="G2879" s="4">
        <v>0.1486983549970351</v>
      </c>
      <c r="H2879" s="3">
        <v>2.38343178011628</v>
      </c>
      <c r="I2879" s="5">
        <v>8759.648356</v>
      </c>
      <c r="J2879" s="6">
        <v>23.53984831882189</v>
      </c>
      <c r="K2879" s="4">
        <v>0.3869207435253701</v>
      </c>
      <c r="L2879" s="7">
        <v>1.471602811745136</v>
      </c>
      <c r="M2879" s="3">
        <v>186.13</v>
      </c>
      <c r="N2879" s="3">
        <v>101.51</v>
      </c>
    </row>
    <row r="2880" spans="1:14">
      <c r="A2880" s="8" t="s">
        <v>2892</v>
      </c>
      <c r="B2880" s="2">
        <f>HYPERLINK("https://www.suredividend.com/sure-analysis-research-database/","American Coastal Insurance Corp")</f>
        <v>0</v>
      </c>
      <c r="C2880" s="1" t="s">
        <v>3180</v>
      </c>
      <c r="D2880" s="3">
        <v>7.93</v>
      </c>
      <c r="E2880" s="4">
        <v>0</v>
      </c>
      <c r="F2880" s="4" t="s">
        <v>3178</v>
      </c>
      <c r="G2880" s="4" t="s">
        <v>3178</v>
      </c>
      <c r="H2880" s="3">
        <v>0</v>
      </c>
      <c r="I2880" s="5">
        <v>343.270454</v>
      </c>
      <c r="J2880" s="6">
        <v>0</v>
      </c>
      <c r="K2880" s="4" t="s">
        <v>3178</v>
      </c>
      <c r="L2880" s="7">
        <v>0.358978190818018</v>
      </c>
      <c r="M2880" s="3">
        <v>8.75</v>
      </c>
      <c r="N2880" s="3">
        <v>0.2921</v>
      </c>
    </row>
    <row r="2881" spans="1:14">
      <c r="A2881" s="8" t="s">
        <v>2893</v>
      </c>
      <c r="B2881" s="2">
        <f>HYPERLINK("https://www.suredividend.com/sure-analysis-research-database/","Unisys Corp.")</f>
        <v>0</v>
      </c>
      <c r="C2881" s="1" t="s">
        <v>3181</v>
      </c>
      <c r="D2881" s="3">
        <v>4.16</v>
      </c>
      <c r="E2881" s="4">
        <v>0</v>
      </c>
      <c r="F2881" s="4" t="s">
        <v>3178</v>
      </c>
      <c r="G2881" s="4" t="s">
        <v>3178</v>
      </c>
      <c r="H2881" s="3">
        <v>0</v>
      </c>
      <c r="I2881" s="5">
        <v>287.990622</v>
      </c>
      <c r="J2881" s="6" t="s">
        <v>3178</v>
      </c>
      <c r="K2881" s="4">
        <v>-0</v>
      </c>
      <c r="L2881" s="7">
        <v>1.990373691395918</v>
      </c>
      <c r="M2881" s="3">
        <v>8.119999999999999</v>
      </c>
      <c r="N2881" s="3">
        <v>2.6</v>
      </c>
    </row>
    <row r="2882" spans="1:14">
      <c r="A2882" s="8" t="s">
        <v>2894</v>
      </c>
      <c r="B2882" s="2">
        <f>HYPERLINK("https://www.suredividend.com/sure-analysis-research-database/","Ultralife Corp")</f>
        <v>0</v>
      </c>
      <c r="C2882" s="1" t="s">
        <v>3179</v>
      </c>
      <c r="D2882" s="3">
        <v>10.9</v>
      </c>
      <c r="E2882" s="4">
        <v>0</v>
      </c>
      <c r="F2882" s="4" t="s">
        <v>3178</v>
      </c>
      <c r="G2882" s="4" t="s">
        <v>3178</v>
      </c>
      <c r="H2882" s="3">
        <v>0</v>
      </c>
      <c r="I2882" s="5">
        <v>181.181751</v>
      </c>
      <c r="J2882" s="6">
        <v>17.36455348859498</v>
      </c>
      <c r="K2882" s="4">
        <v>0</v>
      </c>
      <c r="L2882" s="7">
        <v>1.374941635674985</v>
      </c>
      <c r="M2882" s="3">
        <v>13.39</v>
      </c>
      <c r="N2882" s="3">
        <v>4.5</v>
      </c>
    </row>
    <row r="2883" spans="1:14">
      <c r="A2883" s="8" t="s">
        <v>2895</v>
      </c>
      <c r="B2883" s="2">
        <f>HYPERLINK("https://www.suredividend.com/sure-analysis-research-database/","Universal Logistics Holdings Inc")</f>
        <v>0</v>
      </c>
      <c r="C2883" s="1" t="s">
        <v>3179</v>
      </c>
      <c r="D2883" s="3">
        <v>40.62</v>
      </c>
      <c r="E2883" s="4">
        <v>0.010266404686668</v>
      </c>
      <c r="F2883" s="4">
        <v>0</v>
      </c>
      <c r="G2883" s="4">
        <v>0</v>
      </c>
      <c r="H2883" s="3">
        <v>0.417021358372488</v>
      </c>
      <c r="I2883" s="5">
        <v>1069.009782</v>
      </c>
      <c r="J2883" s="6">
        <v>8.872775867930478</v>
      </c>
      <c r="K2883" s="4">
        <v>0.09105269833460437</v>
      </c>
      <c r="L2883" s="7">
        <v>1.331618301902167</v>
      </c>
      <c r="M2883" s="3">
        <v>50.4</v>
      </c>
      <c r="N2883" s="3">
        <v>20.49</v>
      </c>
    </row>
    <row r="2884" spans="1:14">
      <c r="A2884" s="8" t="s">
        <v>2896</v>
      </c>
      <c r="B2884" s="2">
        <f>HYPERLINK("https://www.suredividend.com/sure-analysis-research-database/","Ulta Beauty Inc")</f>
        <v>0</v>
      </c>
      <c r="C2884" s="1" t="s">
        <v>3182</v>
      </c>
      <c r="D2884" s="3">
        <v>382.61</v>
      </c>
      <c r="E2884" s="4">
        <v>0</v>
      </c>
      <c r="F2884" s="4" t="s">
        <v>3178</v>
      </c>
      <c r="G2884" s="4" t="s">
        <v>3178</v>
      </c>
      <c r="H2884" s="3">
        <v>0</v>
      </c>
      <c r="I2884" s="5">
        <v>18256.758413</v>
      </c>
      <c r="J2884" s="6">
        <v>14.52329781360103</v>
      </c>
      <c r="K2884" s="4">
        <v>0</v>
      </c>
      <c r="L2884" s="7">
        <v>0.685180823334652</v>
      </c>
      <c r="M2884" s="3">
        <v>574.76</v>
      </c>
      <c r="N2884" s="3">
        <v>368.02</v>
      </c>
    </row>
    <row r="2885" spans="1:14">
      <c r="A2885" s="8" t="s">
        <v>2897</v>
      </c>
      <c r="B2885" s="2">
        <f>HYPERLINK("https://www.suredividend.com/sure-analysis-UMBF/","UMB Financial Corp.")</f>
        <v>0</v>
      </c>
      <c r="C2885" s="1" t="s">
        <v>3180</v>
      </c>
      <c r="D2885" s="3">
        <v>80.88</v>
      </c>
      <c r="E2885" s="4">
        <v>0.01928783382789318</v>
      </c>
      <c r="F2885" s="4" t="s">
        <v>3178</v>
      </c>
      <c r="G2885" s="4" t="s">
        <v>3178</v>
      </c>
      <c r="H2885" s="3">
        <v>1.522269062853494</v>
      </c>
      <c r="I2885" s="5">
        <v>3942.361986</v>
      </c>
      <c r="J2885" s="6">
        <v>10.71745432516413</v>
      </c>
      <c r="K2885" s="4">
        <v>0.2018924486543096</v>
      </c>
      <c r="L2885" s="7">
        <v>1.091440875367712</v>
      </c>
      <c r="M2885" s="3">
        <v>87.36</v>
      </c>
      <c r="N2885" s="3">
        <v>54.79</v>
      </c>
    </row>
    <row r="2886" spans="1:14">
      <c r="A2886" s="8" t="s">
        <v>2898</v>
      </c>
      <c r="B2886" s="2">
        <f>HYPERLINK("https://www.suredividend.com/sure-analysis-UMH/","UMH Properties Inc")</f>
        <v>0</v>
      </c>
      <c r="C2886" s="1" t="s">
        <v>3183</v>
      </c>
      <c r="D2886" s="3">
        <v>15.22</v>
      </c>
      <c r="E2886" s="4">
        <v>0.05650459921156373</v>
      </c>
      <c r="F2886" s="4">
        <v>0.04878048780487787</v>
      </c>
      <c r="G2886" s="4">
        <v>0.03617519371964306</v>
      </c>
      <c r="H2886" s="3">
        <v>0.812907592432298</v>
      </c>
      <c r="I2886" s="5">
        <v>1071.5513</v>
      </c>
      <c r="J2886" s="6" t="s">
        <v>3178</v>
      </c>
      <c r="K2886" s="4" t="s">
        <v>3178</v>
      </c>
      <c r="L2886" s="7">
        <v>0.9471952643318081</v>
      </c>
      <c r="M2886" s="3">
        <v>16.38</v>
      </c>
      <c r="N2886" s="3">
        <v>12.7</v>
      </c>
    </row>
    <row r="2887" spans="1:14">
      <c r="A2887" s="8" t="s">
        <v>2899</v>
      </c>
      <c r="B2887" s="2">
        <f>HYPERLINK("https://www.suredividend.com/sure-analysis-research-database/","Umpqua Holdings Corp")</f>
        <v>0</v>
      </c>
      <c r="C2887" s="1" t="s">
        <v>3180</v>
      </c>
      <c r="D2887" s="3">
        <v>17.66</v>
      </c>
      <c r="E2887" s="4">
        <v>0</v>
      </c>
      <c r="F2887" s="4" t="s">
        <v>3178</v>
      </c>
      <c r="G2887" s="4" t="s">
        <v>3178</v>
      </c>
      <c r="H2887" s="3">
        <v>0.8399999737739561</v>
      </c>
      <c r="I2887" s="5">
        <v>0</v>
      </c>
      <c r="J2887" s="6">
        <v>0</v>
      </c>
      <c r="K2887" s="4">
        <v>0.5419354669509394</v>
      </c>
    </row>
    <row r="2888" spans="1:14">
      <c r="A2888" s="8" t="s">
        <v>2900</v>
      </c>
      <c r="B2888" s="2">
        <f>HYPERLINK("https://www.suredividend.com/sure-analysis-research-database/","Unico American Corp.")</f>
        <v>0</v>
      </c>
      <c r="C2888" s="1" t="s">
        <v>3180</v>
      </c>
      <c r="D2888" s="3">
        <v>0.05</v>
      </c>
      <c r="E2888" s="4">
        <v>0</v>
      </c>
      <c r="F2888" s="4" t="s">
        <v>3178</v>
      </c>
      <c r="G2888" s="4" t="s">
        <v>3178</v>
      </c>
      <c r="H2888" s="3">
        <v>0</v>
      </c>
      <c r="I2888" s="5">
        <v>0.265243</v>
      </c>
      <c r="J2888" s="6">
        <v>0</v>
      </c>
      <c r="K2888" s="4" t="s">
        <v>3178</v>
      </c>
      <c r="M2888" s="3">
        <v>1.05</v>
      </c>
      <c r="N2888" s="3">
        <v>0.0015</v>
      </c>
    </row>
    <row r="2889" spans="1:14">
      <c r="A2889" s="8" t="s">
        <v>2901</v>
      </c>
      <c r="B2889" s="2">
        <f>HYPERLINK("https://www.suredividend.com/sure-analysis-research-database/","Union Bankshares, Inc.")</f>
        <v>0</v>
      </c>
      <c r="C2889" s="1" t="s">
        <v>3180</v>
      </c>
      <c r="D2889" s="3">
        <v>23.7</v>
      </c>
      <c r="E2889" s="4">
        <v>0.05841340391685201</v>
      </c>
      <c r="F2889" s="4">
        <v>0</v>
      </c>
      <c r="G2889" s="4">
        <v>0.03035803310185115</v>
      </c>
      <c r="H2889" s="3">
        <v>1.384397672829399</v>
      </c>
      <c r="I2889" s="5">
        <v>107.109543</v>
      </c>
      <c r="J2889" s="6">
        <v>0</v>
      </c>
      <c r="K2889" s="4" t="s">
        <v>3178</v>
      </c>
      <c r="M2889" s="3">
        <v>30.77</v>
      </c>
      <c r="N2889" s="3">
        <v>18.51</v>
      </c>
    </row>
    <row r="2890" spans="1:14">
      <c r="A2890" s="8" t="s">
        <v>2902</v>
      </c>
      <c r="B2890" s="2">
        <f>HYPERLINK("https://www.suredividend.com/sure-analysis-UNF/","Unifirst Corp.")</f>
        <v>0</v>
      </c>
      <c r="C2890" s="1" t="s">
        <v>3179</v>
      </c>
      <c r="D2890" s="3">
        <v>153.65</v>
      </c>
      <c r="E2890" s="4">
        <v>0.008590953465668728</v>
      </c>
      <c r="F2890" s="4">
        <v>0.06451612903225823</v>
      </c>
      <c r="G2890" s="4">
        <v>0.2401444770294936</v>
      </c>
      <c r="H2890" s="3">
        <v>1.296142743696255</v>
      </c>
      <c r="I2890" s="5">
        <v>2315.206804</v>
      </c>
      <c r="J2890" s="6">
        <v>20.18682527879744</v>
      </c>
      <c r="K2890" s="4">
        <v>0.2121346552694361</v>
      </c>
      <c r="L2890" s="7">
        <v>0.886179880701028</v>
      </c>
      <c r="M2890" s="3">
        <v>186.46</v>
      </c>
      <c r="N2890" s="3">
        <v>149.35</v>
      </c>
    </row>
    <row r="2891" spans="1:14">
      <c r="A2891" s="8" t="s">
        <v>2903</v>
      </c>
      <c r="B2891" s="2">
        <f>HYPERLINK("https://www.suredividend.com/sure-analysis-research-database/","United Natural Foods Inc.")</f>
        <v>0</v>
      </c>
      <c r="C2891" s="1" t="s">
        <v>3184</v>
      </c>
      <c r="D2891" s="3">
        <v>14.71</v>
      </c>
      <c r="E2891" s="4">
        <v>0</v>
      </c>
      <c r="F2891" s="4" t="s">
        <v>3178</v>
      </c>
      <c r="G2891" s="4" t="s">
        <v>3178</v>
      </c>
      <c r="H2891" s="3">
        <v>0</v>
      </c>
      <c r="I2891" s="5">
        <v>874.804936</v>
      </c>
      <c r="J2891" s="6" t="s">
        <v>3178</v>
      </c>
      <c r="K2891" s="4">
        <v>-0</v>
      </c>
      <c r="L2891" s="7">
        <v>1.3174088130566</v>
      </c>
      <c r="M2891" s="3">
        <v>21.97</v>
      </c>
      <c r="N2891" s="3">
        <v>8.58</v>
      </c>
    </row>
    <row r="2892" spans="1:14">
      <c r="A2892" s="8" t="s">
        <v>2904</v>
      </c>
      <c r="B2892" s="2">
        <f>HYPERLINK("https://www.suredividend.com/sure-analysis-UNH/","Unitedhealth Group Inc")</f>
        <v>0</v>
      </c>
      <c r="C2892" s="1" t="s">
        <v>3176</v>
      </c>
      <c r="D2892" s="3">
        <v>490.69</v>
      </c>
      <c r="E2892" s="4">
        <v>0.01711875114634494</v>
      </c>
      <c r="F2892" s="4">
        <v>0</v>
      </c>
      <c r="G2892" s="4">
        <v>0.1172408813887487</v>
      </c>
      <c r="H2892" s="3">
        <v>7.477883834046031</v>
      </c>
      <c r="I2892" s="5">
        <v>451623.752452</v>
      </c>
      <c r="J2892" s="6">
        <v>29.40067394386758</v>
      </c>
      <c r="K2892" s="4">
        <v>0.4540305910167596</v>
      </c>
      <c r="L2892" s="7">
        <v>0.125567797640054</v>
      </c>
      <c r="M2892" s="3">
        <v>552.52</v>
      </c>
      <c r="N2892" s="3">
        <v>436.38</v>
      </c>
    </row>
    <row r="2893" spans="1:14">
      <c r="A2893" s="8" t="s">
        <v>2905</v>
      </c>
      <c r="B2893" s="2">
        <f>HYPERLINK("https://www.suredividend.com/sure-analysis-UNIT/","Uniti Group Inc")</f>
        <v>0</v>
      </c>
      <c r="C2893" s="1" t="s">
        <v>3183</v>
      </c>
      <c r="D2893" s="3">
        <v>3.26</v>
      </c>
      <c r="E2893" s="4">
        <v>0.1840490797546012</v>
      </c>
      <c r="F2893" s="4">
        <v>0</v>
      </c>
      <c r="G2893" s="4">
        <v>0.2457309396155174</v>
      </c>
      <c r="H2893" s="3">
        <v>0.5771309379706481</v>
      </c>
      <c r="I2893" s="5">
        <v>783.2393029999999</v>
      </c>
      <c r="J2893" s="6" t="s">
        <v>3178</v>
      </c>
      <c r="K2893" s="4" t="s">
        <v>3178</v>
      </c>
      <c r="L2893" s="7">
        <v>1.52881394427589</v>
      </c>
      <c r="M2893" s="3">
        <v>6.54</v>
      </c>
      <c r="N2893" s="3">
        <v>2.99</v>
      </c>
    </row>
    <row r="2894" spans="1:14">
      <c r="A2894" s="8" t="s">
        <v>2906</v>
      </c>
      <c r="B2894" s="2">
        <f>HYPERLINK("https://www.suredividend.com/sure-analysis-UNM/","Unum Group")</f>
        <v>0</v>
      </c>
      <c r="C2894" s="1" t="s">
        <v>3180</v>
      </c>
      <c r="D2894" s="3">
        <v>51.76</v>
      </c>
      <c r="E2894" s="4">
        <v>0.02820710973724884</v>
      </c>
      <c r="F2894" s="4">
        <v>0.106060606060606</v>
      </c>
      <c r="G2894" s="4">
        <v>0.05072629509487814</v>
      </c>
      <c r="H2894" s="3">
        <v>1.443965338524766</v>
      </c>
      <c r="I2894" s="5">
        <v>9802.475157000001</v>
      </c>
      <c r="J2894" s="6">
        <v>7.422181537548269</v>
      </c>
      <c r="K2894" s="4">
        <v>0.2142381807900246</v>
      </c>
      <c r="L2894" s="7">
        <v>0.09866993625373301</v>
      </c>
      <c r="M2894" s="3">
        <v>54.19</v>
      </c>
      <c r="N2894" s="3">
        <v>41.14</v>
      </c>
    </row>
    <row r="2895" spans="1:14">
      <c r="A2895" s="8" t="s">
        <v>2907</v>
      </c>
      <c r="B2895" s="2">
        <f>HYPERLINK("https://www.suredividend.com/sure-analysis-UNP/","Union Pacific Corp.")</f>
        <v>0</v>
      </c>
      <c r="C2895" s="1" t="s">
        <v>3179</v>
      </c>
      <c r="D2895" s="3">
        <v>227.97</v>
      </c>
      <c r="E2895" s="4">
        <v>0.02281001886213098</v>
      </c>
      <c r="F2895" s="4">
        <v>0</v>
      </c>
      <c r="G2895" s="4">
        <v>0.06031357981646734</v>
      </c>
      <c r="H2895" s="3">
        <v>5.157438667465853</v>
      </c>
      <c r="I2895" s="5">
        <v>139089.540152</v>
      </c>
      <c r="J2895" s="6">
        <v>21.7667511975493</v>
      </c>
      <c r="K2895" s="4">
        <v>0.4921220102543753</v>
      </c>
      <c r="L2895" s="7">
        <v>0.6598510829002141</v>
      </c>
      <c r="M2895" s="3">
        <v>255.87</v>
      </c>
      <c r="N2895" s="3">
        <v>190.32</v>
      </c>
    </row>
    <row r="2896" spans="1:14">
      <c r="A2896" s="8" t="s">
        <v>2908</v>
      </c>
      <c r="B2896" s="2">
        <f>HYPERLINK("https://www.suredividend.com/sure-analysis-research-database/","Unity Bancorp, Inc.")</f>
        <v>0</v>
      </c>
      <c r="C2896" s="1" t="s">
        <v>3180</v>
      </c>
      <c r="D2896" s="3">
        <v>26.29</v>
      </c>
      <c r="E2896" s="4">
        <v>0.01876315761994</v>
      </c>
      <c r="F2896" s="4">
        <v>0.08333333333333348</v>
      </c>
      <c r="G2896" s="4">
        <v>0.1019722877214801</v>
      </c>
      <c r="H2896" s="3">
        <v>0.493283413828232</v>
      </c>
      <c r="I2896" s="5">
        <v>263.928439</v>
      </c>
      <c r="J2896" s="6">
        <v>0</v>
      </c>
      <c r="K2896" s="4" t="s">
        <v>3178</v>
      </c>
      <c r="L2896" s="7">
        <v>0.8149476097695151</v>
      </c>
      <c r="M2896" s="3">
        <v>30.13</v>
      </c>
      <c r="N2896" s="3">
        <v>21.66</v>
      </c>
    </row>
    <row r="2897" spans="1:14">
      <c r="A2897" s="8" t="s">
        <v>2909</v>
      </c>
      <c r="B2897" s="2">
        <f>HYPERLINK("https://www.suredividend.com/sure-analysis-research-database/","Univar Solutions Inc")</f>
        <v>0</v>
      </c>
      <c r="C2897" s="1" t="s">
        <v>3177</v>
      </c>
      <c r="D2897" s="3">
        <v>36.14</v>
      </c>
      <c r="E2897" s="4">
        <v>0</v>
      </c>
      <c r="F2897" s="4" t="s">
        <v>3178</v>
      </c>
      <c r="G2897" s="4" t="s">
        <v>3178</v>
      </c>
      <c r="H2897" s="3">
        <v>0</v>
      </c>
      <c r="I2897" s="5">
        <v>5700.922081</v>
      </c>
      <c r="J2897" s="6">
        <v>12.73664450598749</v>
      </c>
      <c r="K2897" s="4">
        <v>0</v>
      </c>
      <c r="L2897" s="7">
        <v>0.8892692148045541</v>
      </c>
      <c r="M2897" s="3">
        <v>36.15</v>
      </c>
      <c r="N2897" s="3">
        <v>21.49</v>
      </c>
    </row>
    <row r="2898" spans="1:14">
      <c r="A2898" s="8" t="s">
        <v>2910</v>
      </c>
      <c r="B2898" s="2">
        <f>HYPERLINK("https://www.suredividend.com/sure-analysis-research-database/","Urban One Inc")</f>
        <v>0</v>
      </c>
      <c r="C2898" s="1" t="s">
        <v>3187</v>
      </c>
      <c r="D2898" s="3">
        <v>2.12</v>
      </c>
      <c r="E2898" s="4">
        <v>0</v>
      </c>
      <c r="F2898" s="4" t="s">
        <v>3178</v>
      </c>
      <c r="G2898" s="4" t="s">
        <v>3178</v>
      </c>
      <c r="H2898" s="3">
        <v>0</v>
      </c>
      <c r="I2898" s="5">
        <v>75.21116600000001</v>
      </c>
      <c r="J2898" s="6">
        <v>5.100445295673404</v>
      </c>
      <c r="K2898" s="4">
        <v>0</v>
      </c>
      <c r="L2898" s="7">
        <v>0.7211083073130701</v>
      </c>
      <c r="M2898" s="3">
        <v>6.7</v>
      </c>
      <c r="N2898" s="3">
        <v>1.89</v>
      </c>
    </row>
    <row r="2899" spans="1:14">
      <c r="A2899" s="8" t="s">
        <v>2911</v>
      </c>
      <c r="B2899" s="2">
        <f>HYPERLINK("https://www.suredividend.com/sure-analysis-research-database/","Urban One Inc")</f>
        <v>0</v>
      </c>
      <c r="C2899" s="1" t="s">
        <v>3187</v>
      </c>
      <c r="D2899" s="3">
        <v>1.59</v>
      </c>
      <c r="E2899" s="4">
        <v>0</v>
      </c>
      <c r="F2899" s="4" t="s">
        <v>3178</v>
      </c>
      <c r="G2899" s="4" t="s">
        <v>3178</v>
      </c>
      <c r="H2899" s="3">
        <v>0</v>
      </c>
      <c r="I2899" s="5">
        <v>75.21116600000001</v>
      </c>
      <c r="J2899" s="6">
        <v>5.100445295673404</v>
      </c>
      <c r="K2899" s="4">
        <v>0</v>
      </c>
      <c r="L2899" s="7">
        <v>0.9168696527025071</v>
      </c>
      <c r="M2899" s="3">
        <v>6.34</v>
      </c>
      <c r="N2899" s="3">
        <v>1.5</v>
      </c>
    </row>
    <row r="2900" spans="1:14">
      <c r="A2900" s="8" t="s">
        <v>2912</v>
      </c>
      <c r="B2900" s="2">
        <f>HYPERLINK("https://www.suredividend.com/sure-analysis-research-database/","Upland Software Inc")</f>
        <v>0</v>
      </c>
      <c r="C2900" s="1" t="s">
        <v>3181</v>
      </c>
      <c r="D2900" s="3">
        <v>2.52</v>
      </c>
      <c r="E2900" s="4">
        <v>0</v>
      </c>
      <c r="F2900" s="4" t="s">
        <v>3178</v>
      </c>
      <c r="G2900" s="4" t="s">
        <v>3178</v>
      </c>
      <c r="H2900" s="3">
        <v>0</v>
      </c>
      <c r="I2900" s="5">
        <v>69.534105</v>
      </c>
      <c r="J2900" s="6" t="s">
        <v>3178</v>
      </c>
      <c r="K2900" s="4">
        <v>-0</v>
      </c>
      <c r="L2900" s="7">
        <v>2.385725490352061</v>
      </c>
      <c r="M2900" s="3">
        <v>5.28</v>
      </c>
      <c r="N2900" s="3">
        <v>1.9</v>
      </c>
    </row>
    <row r="2901" spans="1:14">
      <c r="A2901" s="8" t="s">
        <v>2913</v>
      </c>
      <c r="B2901" s="2">
        <f>HYPERLINK("https://www.suredividend.com/sure-analysis-UPS/","United Parcel Service, Inc.")</f>
        <v>0</v>
      </c>
      <c r="C2901" s="1" t="s">
        <v>3179</v>
      </c>
      <c r="D2901" s="3">
        <v>137.64</v>
      </c>
      <c r="E2901" s="4">
        <v>0.04736995059575705</v>
      </c>
      <c r="F2901" s="4">
        <v>0.006172839506172645</v>
      </c>
      <c r="G2901" s="4">
        <v>0.1116889126380187</v>
      </c>
      <c r="H2901" s="3">
        <v>6.392509676784038</v>
      </c>
      <c r="I2901" s="5">
        <v>119047.335267</v>
      </c>
      <c r="J2901" s="6">
        <v>16.94136676884239</v>
      </c>
      <c r="K2901" s="4">
        <v>0.925109938753117</v>
      </c>
      <c r="L2901" s="7">
        <v>0.9918325815752541</v>
      </c>
      <c r="M2901" s="3">
        <v>184.88</v>
      </c>
      <c r="N2901" s="3">
        <v>129.23</v>
      </c>
    </row>
    <row r="2902" spans="1:14">
      <c r="A2902" s="8" t="s">
        <v>2914</v>
      </c>
      <c r="B2902" s="2">
        <f>HYPERLINK("https://www.suredividend.com/sure-analysis-research-database/","Upwork Inc")</f>
        <v>0</v>
      </c>
      <c r="C2902" s="1" t="s">
        <v>3179</v>
      </c>
      <c r="D2902" s="3">
        <v>10.72</v>
      </c>
      <c r="E2902" s="4">
        <v>0</v>
      </c>
      <c r="F2902" s="4" t="s">
        <v>3178</v>
      </c>
      <c r="G2902" s="4" t="s">
        <v>3178</v>
      </c>
      <c r="H2902" s="3">
        <v>0</v>
      </c>
      <c r="I2902" s="5">
        <v>1427.028658</v>
      </c>
      <c r="J2902" s="6">
        <v>29.62976326564512</v>
      </c>
      <c r="K2902" s="4">
        <v>0</v>
      </c>
      <c r="L2902" s="7">
        <v>1.991628936013715</v>
      </c>
      <c r="M2902" s="3">
        <v>16.36</v>
      </c>
      <c r="N2902" s="3">
        <v>8.41</v>
      </c>
    </row>
    <row r="2903" spans="1:14">
      <c r="A2903" s="8" t="s">
        <v>2915</v>
      </c>
      <c r="B2903" s="2">
        <f>HYPERLINK("https://www.suredividend.com/sure-analysis-research-database/","Urban Outfitters, Inc.")</f>
        <v>0</v>
      </c>
      <c r="C2903" s="1" t="s">
        <v>3182</v>
      </c>
      <c r="D2903" s="3">
        <v>41.41</v>
      </c>
      <c r="E2903" s="4">
        <v>0</v>
      </c>
      <c r="F2903" s="4" t="s">
        <v>3178</v>
      </c>
      <c r="G2903" s="4" t="s">
        <v>3178</v>
      </c>
      <c r="H2903" s="3">
        <v>0</v>
      </c>
      <c r="I2903" s="5">
        <v>3863.342596</v>
      </c>
      <c r="J2903" s="6">
        <v>13.4295855579232</v>
      </c>
      <c r="K2903" s="4">
        <v>0</v>
      </c>
      <c r="L2903" s="7">
        <v>1.00963259352068</v>
      </c>
      <c r="M2903" s="3">
        <v>47.29</v>
      </c>
      <c r="N2903" s="3">
        <v>30.05</v>
      </c>
    </row>
    <row r="2904" spans="1:14">
      <c r="A2904" s="8" t="s">
        <v>2916</v>
      </c>
      <c r="B2904" s="2">
        <f>HYPERLINK("https://www.suredividend.com/sure-analysis-research-database/","United Rentals, Inc.")</f>
        <v>0</v>
      </c>
      <c r="C2904" s="1" t="s">
        <v>3179</v>
      </c>
      <c r="D2904" s="3">
        <v>643.4</v>
      </c>
      <c r="E2904" s="4">
        <v>0.009631374814043001</v>
      </c>
      <c r="F2904" s="4" t="s">
        <v>3178</v>
      </c>
      <c r="G2904" s="4" t="s">
        <v>3178</v>
      </c>
      <c r="H2904" s="3">
        <v>6.196826555355581</v>
      </c>
      <c r="I2904" s="5">
        <v>42843.958388</v>
      </c>
      <c r="J2904" s="6">
        <v>17.03537112858847</v>
      </c>
      <c r="K2904" s="4">
        <v>0.1678447062664025</v>
      </c>
      <c r="L2904" s="7">
        <v>1.835221610092811</v>
      </c>
      <c r="M2904" s="3">
        <v>730.62</v>
      </c>
      <c r="N2904" s="3">
        <v>377.95</v>
      </c>
    </row>
    <row r="2905" spans="1:14">
      <c r="A2905" s="8" t="s">
        <v>2917</v>
      </c>
      <c r="B2905" s="2">
        <f>HYPERLINK("https://www.suredividend.com/sure-analysis-research-database/","Urovant Sciences Ltd")</f>
        <v>0</v>
      </c>
      <c r="C2905" s="1" t="s">
        <v>3176</v>
      </c>
      <c r="D2905" s="3">
        <v>16.24</v>
      </c>
      <c r="E2905" s="4">
        <v>0</v>
      </c>
      <c r="F2905" s="4" t="s">
        <v>3178</v>
      </c>
      <c r="G2905" s="4" t="s">
        <v>3178</v>
      </c>
      <c r="H2905" s="3">
        <v>0</v>
      </c>
      <c r="I2905" s="5">
        <v>0</v>
      </c>
      <c r="J2905" s="6">
        <v>0</v>
      </c>
      <c r="K2905" s="4" t="s">
        <v>3178</v>
      </c>
    </row>
    <row r="2906" spans="1:14">
      <c r="A2906" s="8" t="s">
        <v>2918</v>
      </c>
      <c r="B2906" s="2">
        <f>HYPERLINK("https://www.suredividend.com/sure-analysis-research-database/","USA Truck, Inc.")</f>
        <v>0</v>
      </c>
      <c r="C2906" s="1" t="s">
        <v>3179</v>
      </c>
      <c r="D2906" s="3">
        <v>31.71</v>
      </c>
      <c r="E2906" s="4">
        <v>0</v>
      </c>
      <c r="F2906" s="4" t="s">
        <v>3178</v>
      </c>
      <c r="G2906" s="4" t="s">
        <v>3178</v>
      </c>
      <c r="H2906" s="3">
        <v>0</v>
      </c>
      <c r="I2906" s="5">
        <v>0</v>
      </c>
      <c r="J2906" s="6">
        <v>0</v>
      </c>
      <c r="K2906" s="4">
        <v>0</v>
      </c>
    </row>
    <row r="2907" spans="1:14">
      <c r="A2907" s="8" t="s">
        <v>2919</v>
      </c>
      <c r="B2907" s="2">
        <f>HYPERLINK("https://www.suredividend.com/sure-analysis-research-database/","Universal Stainless &amp; Alloy Products, Inc.")</f>
        <v>0</v>
      </c>
      <c r="C2907" s="1" t="s">
        <v>3177</v>
      </c>
      <c r="D2907" s="3">
        <v>30.86</v>
      </c>
      <c r="E2907" s="4">
        <v>0</v>
      </c>
      <c r="F2907" s="4" t="s">
        <v>3178</v>
      </c>
      <c r="G2907" s="4" t="s">
        <v>3178</v>
      </c>
      <c r="H2907" s="3">
        <v>0</v>
      </c>
      <c r="I2907" s="5">
        <v>283.597444</v>
      </c>
      <c r="J2907" s="6">
        <v>29.66810796317606</v>
      </c>
      <c r="K2907" s="4">
        <v>0</v>
      </c>
      <c r="L2907" s="7">
        <v>0.853201353268571</v>
      </c>
      <c r="M2907" s="3">
        <v>34.75</v>
      </c>
      <c r="N2907" s="3">
        <v>11.13</v>
      </c>
    </row>
    <row r="2908" spans="1:14">
      <c r="A2908" s="8" t="s">
        <v>2920</v>
      </c>
      <c r="B2908" s="2">
        <f>HYPERLINK("https://www.suredividend.com/sure-analysis-research-database/","Cantaloupe Inc")</f>
        <v>0</v>
      </c>
      <c r="C2908" s="1" t="s">
        <v>3181</v>
      </c>
      <c r="D2908" s="3">
        <v>12.16</v>
      </c>
      <c r="E2908" s="4">
        <v>0</v>
      </c>
      <c r="F2908" s="4" t="s">
        <v>3178</v>
      </c>
      <c r="G2908" s="4" t="s">
        <v>3178</v>
      </c>
      <c r="H2908" s="3">
        <v>0</v>
      </c>
      <c r="I2908" s="5">
        <v>864.315265</v>
      </c>
      <c r="J2908" s="6">
        <v>0</v>
      </c>
      <c r="K2908" s="4" t="s">
        <v>3178</v>
      </c>
      <c r="M2908" s="3">
        <v>12.94</v>
      </c>
      <c r="N2908" s="3">
        <v>7.75</v>
      </c>
    </row>
    <row r="2909" spans="1:14">
      <c r="A2909" s="8" t="s">
        <v>2921</v>
      </c>
      <c r="B2909" s="2">
        <f>HYPERLINK("https://www.suredividend.com/sure-analysis-USB/","U.S. Bancorp.")</f>
        <v>0</v>
      </c>
      <c r="C2909" s="1" t="s">
        <v>3180</v>
      </c>
      <c r="D2909" s="3">
        <v>39.02</v>
      </c>
      <c r="E2909" s="4">
        <v>0.05023065094823167</v>
      </c>
      <c r="F2909" s="4">
        <v>0.02083333333333326</v>
      </c>
      <c r="G2909" s="4">
        <v>0.0577885731174943</v>
      </c>
      <c r="H2909" s="3">
        <v>1.906167160884501</v>
      </c>
      <c r="I2909" s="5">
        <v>60889.145805</v>
      </c>
      <c r="J2909" s="6">
        <v>13.04394725905313</v>
      </c>
      <c r="K2909" s="4">
        <v>0.6332781265397015</v>
      </c>
      <c r="L2909" s="7">
        <v>1.300397026067544</v>
      </c>
      <c r="M2909" s="3">
        <v>44.91</v>
      </c>
      <c r="N2909" s="3">
        <v>29.79</v>
      </c>
    </row>
    <row r="2910" spans="1:14">
      <c r="A2910" s="8" t="s">
        <v>2922</v>
      </c>
      <c r="B2910" s="2">
        <f>HYPERLINK("https://www.suredividend.com/sure-analysis-research-database/","U.S. Concrete, Inc.")</f>
        <v>0</v>
      </c>
      <c r="C2910" s="1" t="s">
        <v>3177</v>
      </c>
      <c r="D2910" s="3">
        <v>73.98999999999999</v>
      </c>
      <c r="E2910" s="4">
        <v>0</v>
      </c>
      <c r="F2910" s="4" t="s">
        <v>3178</v>
      </c>
      <c r="G2910" s="4" t="s">
        <v>3178</v>
      </c>
      <c r="H2910" s="3">
        <v>0</v>
      </c>
      <c r="I2910" s="5">
        <v>0</v>
      </c>
      <c r="J2910" s="6">
        <v>0</v>
      </c>
      <c r="K2910" s="4">
        <v>-0</v>
      </c>
    </row>
    <row r="2911" spans="1:14">
      <c r="A2911" s="8" t="s">
        <v>2923</v>
      </c>
      <c r="B2911" s="2">
        <f>HYPERLINK("https://www.suredividend.com/sure-analysis-research-database/","ProShares Trust")</f>
        <v>0</v>
      </c>
      <c r="D2911" s="3">
        <v>132.49</v>
      </c>
      <c r="E2911" s="4">
        <v>0.000202777569217</v>
      </c>
      <c r="F2911" s="4" t="s">
        <v>3178</v>
      </c>
      <c r="G2911" s="4" t="s">
        <v>3178</v>
      </c>
      <c r="H2911" s="3">
        <v>0.026866000145673</v>
      </c>
      <c r="I2911" s="5">
        <v>1135.4393</v>
      </c>
      <c r="J2911" s="6">
        <v>0</v>
      </c>
      <c r="K2911" s="4" t="s">
        <v>3178</v>
      </c>
      <c r="L2911" s="7">
        <v>3.949458910453117</v>
      </c>
      <c r="M2911" s="3">
        <v>139.02</v>
      </c>
      <c r="N2911" s="3">
        <v>32.1</v>
      </c>
    </row>
    <row r="2912" spans="1:14">
      <c r="A2912" s="8" t="s">
        <v>2924</v>
      </c>
      <c r="B2912" s="2">
        <f>HYPERLINK("https://www.suredividend.com/sure-analysis-research-database/","U.S. Energy Corp.")</f>
        <v>0</v>
      </c>
      <c r="C2912" s="1" t="s">
        <v>3185</v>
      </c>
      <c r="D2912" s="3">
        <v>1.04</v>
      </c>
      <c r="E2912" s="4">
        <v>0</v>
      </c>
      <c r="F2912" s="4" t="s">
        <v>3178</v>
      </c>
      <c r="G2912" s="4" t="s">
        <v>3178</v>
      </c>
      <c r="H2912" s="3">
        <v>0</v>
      </c>
      <c r="I2912" s="5">
        <v>26.298702</v>
      </c>
      <c r="J2912" s="6" t="s">
        <v>3178</v>
      </c>
      <c r="K2912" s="4">
        <v>-0</v>
      </c>
      <c r="L2912" s="7">
        <v>-0.3308375098101271</v>
      </c>
      <c r="M2912" s="3">
        <v>1.76</v>
      </c>
      <c r="N2912" s="3">
        <v>0.8300000000000001</v>
      </c>
    </row>
    <row r="2913" spans="1:14">
      <c r="A2913" s="8" t="s">
        <v>2925</v>
      </c>
      <c r="B2913" s="2">
        <f>HYPERLINK("https://www.suredividend.com/sure-analysis-research-database/","US Foods Holding Corp")</f>
        <v>0</v>
      </c>
      <c r="C2913" s="1" t="s">
        <v>3184</v>
      </c>
      <c r="D2913" s="3">
        <v>53.43</v>
      </c>
      <c r="E2913" s="4">
        <v>0</v>
      </c>
      <c r="F2913" s="4" t="s">
        <v>3178</v>
      </c>
      <c r="G2913" s="4" t="s">
        <v>3178</v>
      </c>
      <c r="H2913" s="3">
        <v>0</v>
      </c>
      <c r="I2913" s="5">
        <v>13136.673383</v>
      </c>
      <c r="J2913" s="6">
        <v>25.96180510387352</v>
      </c>
      <c r="K2913" s="4">
        <v>0</v>
      </c>
      <c r="L2913" s="7">
        <v>0.8755820306209151</v>
      </c>
      <c r="M2913" s="3">
        <v>55.98</v>
      </c>
      <c r="N2913" s="3">
        <v>35.66</v>
      </c>
    </row>
    <row r="2914" spans="1:14">
      <c r="A2914" s="8" t="s">
        <v>2926</v>
      </c>
      <c r="B2914" s="2">
        <f>HYPERLINK("https://www.suredividend.com/sure-analysis-research-database/","Usio Inc")</f>
        <v>0</v>
      </c>
      <c r="C2914" s="1" t="s">
        <v>3181</v>
      </c>
      <c r="D2914" s="3">
        <v>1.4665</v>
      </c>
      <c r="E2914" s="4">
        <v>0</v>
      </c>
      <c r="F2914" s="4" t="s">
        <v>3178</v>
      </c>
      <c r="G2914" s="4" t="s">
        <v>3178</v>
      </c>
      <c r="H2914" s="3">
        <v>0</v>
      </c>
      <c r="I2914" s="5">
        <v>38.760803</v>
      </c>
      <c r="J2914" s="6">
        <v>0</v>
      </c>
      <c r="K2914" s="4" t="s">
        <v>3178</v>
      </c>
      <c r="L2914" s="7">
        <v>0.6636642283856761</v>
      </c>
      <c r="M2914" s="3">
        <v>2.28</v>
      </c>
      <c r="N2914" s="3">
        <v>1.3</v>
      </c>
    </row>
    <row r="2915" spans="1:14">
      <c r="A2915" s="8" t="s">
        <v>2927</v>
      </c>
      <c r="B2915" s="2">
        <f>HYPERLINK("https://www.suredividend.com/sure-analysis-research-database/","United States Lime &amp; Minerals Inc.")</f>
        <v>0</v>
      </c>
      <c r="C2915" s="1" t="s">
        <v>3177</v>
      </c>
      <c r="D2915" s="3">
        <v>322.61</v>
      </c>
      <c r="E2915" s="4">
        <v>0.002783321669906</v>
      </c>
      <c r="F2915" s="4">
        <v>0.25</v>
      </c>
      <c r="G2915" s="4">
        <v>0.1311527300905295</v>
      </c>
      <c r="H2915" s="3">
        <v>0.897927403928635</v>
      </c>
      <c r="I2915" s="5">
        <v>1841.830172</v>
      </c>
      <c r="J2915" s="6">
        <v>23.05630879700566</v>
      </c>
      <c r="K2915" s="4">
        <v>0.06422942803495243</v>
      </c>
      <c r="L2915" s="7">
        <v>0.9495939675264431</v>
      </c>
      <c r="M2915" s="3">
        <v>378.25</v>
      </c>
      <c r="N2915" s="3">
        <v>184.59</v>
      </c>
    </row>
    <row r="2916" spans="1:14">
      <c r="A2916" s="8" t="s">
        <v>2928</v>
      </c>
      <c r="B2916" s="2">
        <f>HYPERLINK("https://www.suredividend.com/sure-analysis-research-database/","United States Cellular Corporation")</f>
        <v>0</v>
      </c>
      <c r="C2916" s="1" t="s">
        <v>3187</v>
      </c>
      <c r="D2916" s="3">
        <v>55.96</v>
      </c>
      <c r="E2916" s="4">
        <v>0</v>
      </c>
      <c r="F2916" s="4" t="s">
        <v>3178</v>
      </c>
      <c r="G2916" s="4" t="s">
        <v>3178</v>
      </c>
      <c r="H2916" s="3">
        <v>0</v>
      </c>
      <c r="I2916" s="5">
        <v>2909.92</v>
      </c>
      <c r="J2916" s="6">
        <v>49.3206779661017</v>
      </c>
      <c r="K2916" s="4">
        <v>0</v>
      </c>
      <c r="L2916" s="7">
        <v>0.680114939718339</v>
      </c>
      <c r="M2916" s="3">
        <v>60.14</v>
      </c>
      <c r="N2916" s="3">
        <v>15.16</v>
      </c>
    </row>
    <row r="2917" spans="1:14">
      <c r="A2917" s="8" t="s">
        <v>2929</v>
      </c>
      <c r="B2917" s="2">
        <f>HYPERLINK("https://www.suredividend.com/sure-analysis-research-database/","Usana Health Sciences Inc")</f>
        <v>0</v>
      </c>
      <c r="C2917" s="1" t="s">
        <v>3184</v>
      </c>
      <c r="D2917" s="3">
        <v>47.48</v>
      </c>
      <c r="E2917" s="4">
        <v>0</v>
      </c>
      <c r="F2917" s="4" t="s">
        <v>3178</v>
      </c>
      <c r="G2917" s="4" t="s">
        <v>3178</v>
      </c>
      <c r="H2917" s="3">
        <v>0</v>
      </c>
      <c r="I2917" s="5">
        <v>904.520969</v>
      </c>
      <c r="J2917" s="6">
        <v>14.60270847954538</v>
      </c>
      <c r="K2917" s="4">
        <v>0</v>
      </c>
      <c r="L2917" s="7">
        <v>0.9749079528825451</v>
      </c>
      <c r="M2917" s="3">
        <v>69.59999999999999</v>
      </c>
      <c r="N2917" s="3">
        <v>41.45</v>
      </c>
    </row>
    <row r="2918" spans="1:14">
      <c r="A2918" s="8" t="s">
        <v>2930</v>
      </c>
      <c r="B2918" s="2">
        <f>HYPERLINK("https://www.suredividend.com/sure-analysis-research-database/","U.S. Physical Therapy, Inc.")</f>
        <v>0</v>
      </c>
      <c r="C2918" s="1" t="s">
        <v>3176</v>
      </c>
      <c r="D2918" s="3">
        <v>96.92</v>
      </c>
      <c r="E2918" s="4">
        <v>0.01783846004303</v>
      </c>
      <c r="F2918" s="4" t="s">
        <v>3178</v>
      </c>
      <c r="G2918" s="4" t="s">
        <v>3178</v>
      </c>
      <c r="H2918" s="3">
        <v>1.728903547370488</v>
      </c>
      <c r="I2918" s="5">
        <v>1460.398798</v>
      </c>
      <c r="J2918" s="6">
        <v>82.90183913487739</v>
      </c>
      <c r="K2918" s="4">
        <v>1.440752956142073</v>
      </c>
      <c r="L2918" s="7">
        <v>1.135585781645713</v>
      </c>
      <c r="M2918" s="3">
        <v>121.95</v>
      </c>
      <c r="N2918" s="3">
        <v>77.05</v>
      </c>
    </row>
    <row r="2919" spans="1:14">
      <c r="A2919" s="8" t="s">
        <v>2931</v>
      </c>
      <c r="B2919" s="2">
        <f>HYPERLINK("https://www.suredividend.com/sure-analysis-research-database/","U.S. Well Services Inc")</f>
        <v>0</v>
      </c>
      <c r="C2919" s="1" t="s">
        <v>3185</v>
      </c>
      <c r="D2919" s="3">
        <v>7.41</v>
      </c>
      <c r="E2919" s="4">
        <v>0</v>
      </c>
      <c r="F2919" s="4" t="s">
        <v>3178</v>
      </c>
      <c r="G2919" s="4" t="s">
        <v>3178</v>
      </c>
      <c r="H2919" s="3">
        <v>0</v>
      </c>
      <c r="I2919" s="5">
        <v>0</v>
      </c>
      <c r="J2919" s="6">
        <v>0</v>
      </c>
      <c r="K2919" s="4" t="s">
        <v>3178</v>
      </c>
    </row>
    <row r="2920" spans="1:14">
      <c r="A2920" s="8" t="s">
        <v>2932</v>
      </c>
      <c r="B2920" s="2">
        <f>HYPERLINK("https://www.suredividend.com/sure-analysis-research-database/","U.S. Xpress Enterprises Inc")</f>
        <v>0</v>
      </c>
      <c r="C2920" s="1" t="s">
        <v>3179</v>
      </c>
      <c r="D2920" s="3">
        <v>6.14</v>
      </c>
      <c r="E2920" s="4">
        <v>0</v>
      </c>
      <c r="F2920" s="4" t="s">
        <v>3178</v>
      </c>
      <c r="G2920" s="4" t="s">
        <v>3178</v>
      </c>
      <c r="H2920" s="3">
        <v>0</v>
      </c>
      <c r="I2920" s="5">
        <v>251.394729</v>
      </c>
      <c r="J2920" s="6">
        <v>0</v>
      </c>
      <c r="K2920" s="4" t="s">
        <v>3178</v>
      </c>
      <c r="M2920" s="3">
        <v>6.15</v>
      </c>
      <c r="N2920" s="3">
        <v>1.34</v>
      </c>
    </row>
    <row r="2921" spans="1:14">
      <c r="A2921" s="8" t="s">
        <v>2933</v>
      </c>
      <c r="B2921" s="2">
        <f>HYPERLINK("https://www.suredividend.com/sure-analysis-research-database/","United Therapeutics Corp")</f>
        <v>0</v>
      </c>
      <c r="C2921" s="1" t="s">
        <v>3176</v>
      </c>
      <c r="D2921" s="3">
        <v>275</v>
      </c>
      <c r="E2921" s="4">
        <v>0</v>
      </c>
      <c r="F2921" s="4" t="s">
        <v>3178</v>
      </c>
      <c r="G2921" s="4" t="s">
        <v>3178</v>
      </c>
      <c r="H2921" s="3">
        <v>0</v>
      </c>
      <c r="I2921" s="5">
        <v>12197.81585</v>
      </c>
      <c r="J2921" s="6">
        <v>11.61143821989529</v>
      </c>
      <c r="K2921" s="4">
        <v>0</v>
      </c>
      <c r="L2921" s="7">
        <v>0.324307570167707</v>
      </c>
      <c r="M2921" s="3">
        <v>280.3</v>
      </c>
      <c r="N2921" s="3">
        <v>208.62</v>
      </c>
    </row>
    <row r="2922" spans="1:14">
      <c r="A2922" s="8" t="s">
        <v>2934</v>
      </c>
      <c r="B2922" s="2">
        <f>HYPERLINK("https://www.suredividend.com/sure-analysis-research-database/","Universal Technical Institute Inc")</f>
        <v>0</v>
      </c>
      <c r="C2922" s="1" t="s">
        <v>3184</v>
      </c>
      <c r="D2922" s="3">
        <v>14.41</v>
      </c>
      <c r="E2922" s="4">
        <v>0</v>
      </c>
      <c r="F2922" s="4" t="s">
        <v>3178</v>
      </c>
      <c r="G2922" s="4" t="s">
        <v>3178</v>
      </c>
      <c r="H2922" s="3">
        <v>0</v>
      </c>
      <c r="I2922" s="5">
        <v>775.278981</v>
      </c>
      <c r="J2922" s="6">
        <v>46.95245766472868</v>
      </c>
      <c r="K2922" s="4">
        <v>0</v>
      </c>
      <c r="L2922" s="7">
        <v>0.476855673251295</v>
      </c>
      <c r="M2922" s="3">
        <v>17.09</v>
      </c>
      <c r="N2922" s="3">
        <v>6.34</v>
      </c>
    </row>
    <row r="2923" spans="1:14">
      <c r="A2923" s="8" t="s">
        <v>2935</v>
      </c>
      <c r="B2923" s="2">
        <f>HYPERLINK("https://www.suredividend.com/sure-analysis-research-database/","Unitil Corp.")</f>
        <v>0</v>
      </c>
      <c r="C2923" s="1" t="s">
        <v>3186</v>
      </c>
      <c r="D2923" s="3">
        <v>50.86</v>
      </c>
      <c r="E2923" s="4">
        <v>0.032247047915468</v>
      </c>
      <c r="F2923" s="4">
        <v>0.04938271604938271</v>
      </c>
      <c r="G2923" s="4">
        <v>0.02810492881645654</v>
      </c>
      <c r="H2923" s="3">
        <v>1.640084856980702</v>
      </c>
      <c r="I2923" s="5">
        <v>822.328893</v>
      </c>
      <c r="J2923" s="6">
        <v>17.02544291511387</v>
      </c>
      <c r="K2923" s="4">
        <v>0.5466949523269007</v>
      </c>
      <c r="L2923" s="7">
        <v>0.700580612759625</v>
      </c>
      <c r="M2923" s="3">
        <v>54.86</v>
      </c>
      <c r="N2923" s="3">
        <v>40.41</v>
      </c>
    </row>
    <row r="2924" spans="1:14">
      <c r="A2924" s="8" t="s">
        <v>2936</v>
      </c>
      <c r="B2924" s="2">
        <f>HYPERLINK("https://www.suredividend.com/sure-analysis-research-database/","Utah Medical Products, Inc.")</f>
        <v>0</v>
      </c>
      <c r="C2924" s="1" t="s">
        <v>3176</v>
      </c>
      <c r="D2924" s="3">
        <v>67.39</v>
      </c>
      <c r="E2924" s="4">
        <v>0.017455515609132</v>
      </c>
      <c r="F2924" s="4">
        <v>0.01694915254237306</v>
      </c>
      <c r="G2924" s="4">
        <v>0.01755457717558762</v>
      </c>
      <c r="H2924" s="3">
        <v>1.176327196899411</v>
      </c>
      <c r="I2924" s="5">
        <v>237.780628</v>
      </c>
      <c r="J2924" s="6">
        <v>0</v>
      </c>
      <c r="K2924" s="4" t="s">
        <v>3178</v>
      </c>
      <c r="L2924" s="7">
        <v>0.741967123970349</v>
      </c>
      <c r="M2924" s="3">
        <v>97.75</v>
      </c>
      <c r="N2924" s="3">
        <v>65.91</v>
      </c>
    </row>
    <row r="2925" spans="1:14">
      <c r="A2925" s="8" t="s">
        <v>2937</v>
      </c>
      <c r="B2925" s="2">
        <f>HYPERLINK("https://www.suredividend.com/sure-analysis-research-database/","Universal Security Instruments, Inc.")</f>
        <v>0</v>
      </c>
      <c r="C2925" s="1" t="s">
        <v>3179</v>
      </c>
      <c r="D2925" s="3">
        <v>1.58</v>
      </c>
      <c r="E2925" s="4">
        <v>0</v>
      </c>
      <c r="F2925" s="4" t="s">
        <v>3178</v>
      </c>
      <c r="G2925" s="4" t="s">
        <v>3178</v>
      </c>
      <c r="H2925" s="3">
        <v>0</v>
      </c>
      <c r="I2925" s="5">
        <v>3.654361</v>
      </c>
      <c r="J2925" s="6">
        <v>0</v>
      </c>
      <c r="K2925" s="4" t="s">
        <v>3178</v>
      </c>
      <c r="L2925" s="7">
        <v>-0.136837129033713</v>
      </c>
      <c r="M2925" s="3">
        <v>5.2</v>
      </c>
      <c r="N2925" s="3">
        <v>1.27</v>
      </c>
    </row>
    <row r="2926" spans="1:14">
      <c r="A2926" s="8" t="s">
        <v>2938</v>
      </c>
      <c r="B2926" s="2">
        <f>HYPERLINK("https://www.suredividend.com/sure-analysis-research-database/","Universal Insurance Holdings Inc")</f>
        <v>0</v>
      </c>
      <c r="C2926" s="1" t="s">
        <v>3180</v>
      </c>
      <c r="D2926" s="3">
        <v>18.72</v>
      </c>
      <c r="E2926" s="4">
        <v>0.033766624127636</v>
      </c>
      <c r="F2926" s="4">
        <v>0</v>
      </c>
      <c r="G2926" s="4">
        <v>0</v>
      </c>
      <c r="H2926" s="3">
        <v>0.632111203669349</v>
      </c>
      <c r="I2926" s="5">
        <v>539.136</v>
      </c>
      <c r="J2926" s="6">
        <v>7.066280456636565</v>
      </c>
      <c r="K2926" s="4">
        <v>0.2469184389333395</v>
      </c>
      <c r="L2926" s="7">
        <v>0.5632303313797951</v>
      </c>
      <c r="M2926" s="3">
        <v>22.2</v>
      </c>
      <c r="N2926" s="3">
        <v>10.87</v>
      </c>
    </row>
    <row r="2927" spans="1:14">
      <c r="A2927" s="8" t="s">
        <v>2939</v>
      </c>
      <c r="B2927" s="2">
        <f>HYPERLINK("https://www.suredividend.com/sure-analysis-research-database/","Univest Financial Corp")</f>
        <v>0</v>
      </c>
      <c r="C2927" s="1" t="s">
        <v>3180</v>
      </c>
      <c r="D2927" s="3">
        <v>21.36</v>
      </c>
      <c r="E2927" s="4">
        <v>0.038350357647269</v>
      </c>
      <c r="F2927" s="4" t="s">
        <v>3178</v>
      </c>
      <c r="G2927" s="4" t="s">
        <v>3178</v>
      </c>
      <c r="H2927" s="3">
        <v>0.819163639345672</v>
      </c>
      <c r="I2927" s="5">
        <v>625.2434909999999</v>
      </c>
      <c r="J2927" s="6">
        <v>8.8844545739254</v>
      </c>
      <c r="K2927" s="4">
        <v>0.3441864030864168</v>
      </c>
      <c r="L2927" s="7">
        <v>1.009021333639696</v>
      </c>
      <c r="M2927" s="3">
        <v>23.1</v>
      </c>
      <c r="N2927" s="3">
        <v>15.27</v>
      </c>
    </row>
    <row r="2928" spans="1:14">
      <c r="A2928" s="8" t="s">
        <v>2940</v>
      </c>
      <c r="B2928" s="2">
        <f>HYPERLINK("https://www.suredividend.com/sure-analysis-UVV/","Universal Corp.")</f>
        <v>0</v>
      </c>
      <c r="C2928" s="1" t="s">
        <v>3184</v>
      </c>
      <c r="D2928" s="3">
        <v>47.1</v>
      </c>
      <c r="E2928" s="4">
        <v>0.06878980891719745</v>
      </c>
      <c r="F2928" s="4">
        <v>0.01265822784810133</v>
      </c>
      <c r="G2928" s="4">
        <v>0.01031145931793609</v>
      </c>
      <c r="H2928" s="3">
        <v>3.129169169623431</v>
      </c>
      <c r="I2928" s="5">
        <v>1157.407517</v>
      </c>
      <c r="J2928" s="6">
        <v>9.677482205388053</v>
      </c>
      <c r="K2928" s="4">
        <v>0.65463790159486</v>
      </c>
      <c r="L2928" s="7">
        <v>0.527290313514982</v>
      </c>
      <c r="M2928" s="3">
        <v>65.90000000000001</v>
      </c>
      <c r="N2928" s="3">
        <v>43.16</v>
      </c>
    </row>
    <row r="2929" spans="1:14">
      <c r="A2929" s="8" t="s">
        <v>2941</v>
      </c>
      <c r="B2929" s="2">
        <f>HYPERLINK("https://www.suredividend.com/sure-analysis-V/","Visa Inc")</f>
        <v>0</v>
      </c>
      <c r="C2929" s="1" t="s">
        <v>3180</v>
      </c>
      <c r="D2929" s="3">
        <v>278.67</v>
      </c>
      <c r="E2929" s="4">
        <v>0.007464025549933613</v>
      </c>
      <c r="F2929" s="4">
        <v>0.1555555555555557</v>
      </c>
      <c r="G2929" s="4">
        <v>0.1162884154841741</v>
      </c>
      <c r="H2929" s="3">
        <v>2.004493106569928</v>
      </c>
      <c r="I2929" s="5">
        <v>526801.829058</v>
      </c>
      <c r="J2929" s="6">
        <v>23.85366669899837</v>
      </c>
      <c r="K2929" s="4">
        <v>0.2242162311599472</v>
      </c>
      <c r="L2929" s="7">
        <v>0.694609748696136</v>
      </c>
      <c r="M2929" s="3">
        <v>290.42</v>
      </c>
      <c r="N2929" s="3">
        <v>219.67</v>
      </c>
    </row>
    <row r="2930" spans="1:14">
      <c r="A2930" s="8" t="s">
        <v>2942</v>
      </c>
      <c r="B2930" s="2">
        <f>HYPERLINK("https://www.suredividend.com/sure-analysis-research-database/","Marriott Vacations Worldwide Corp")</f>
        <v>0</v>
      </c>
      <c r="C2930" s="1" t="s">
        <v>3182</v>
      </c>
      <c r="D2930" s="3">
        <v>88.58</v>
      </c>
      <c r="E2930" s="4">
        <v>0.03346248031829401</v>
      </c>
      <c r="F2930" s="4" t="s">
        <v>3178</v>
      </c>
      <c r="G2930" s="4" t="s">
        <v>3178</v>
      </c>
      <c r="H2930" s="3">
        <v>2.964106506594552</v>
      </c>
      <c r="I2930" s="5">
        <v>3114.818882</v>
      </c>
      <c r="J2930" s="6">
        <v>14.55522842084112</v>
      </c>
      <c r="K2930" s="4">
        <v>0.5952021097579422</v>
      </c>
      <c r="L2930" s="7">
        <v>1.444234053677967</v>
      </c>
      <c r="M2930" s="3">
        <v>129.77</v>
      </c>
      <c r="N2930" s="3">
        <v>71</v>
      </c>
    </row>
    <row r="2931" spans="1:14">
      <c r="A2931" s="8" t="s">
        <v>2943</v>
      </c>
      <c r="B2931" s="2">
        <f>HYPERLINK("https://www.suredividend.com/sure-analysis-research-database/","Valaris Ltd")</f>
        <v>0</v>
      </c>
      <c r="C2931" s="1" t="s">
        <v>3185</v>
      </c>
      <c r="D2931" s="3">
        <v>71.01000000000001</v>
      </c>
      <c r="E2931" s="4">
        <v>0</v>
      </c>
      <c r="F2931" s="4" t="s">
        <v>3178</v>
      </c>
      <c r="G2931" s="4" t="s">
        <v>3178</v>
      </c>
      <c r="H2931" s="3">
        <v>0</v>
      </c>
      <c r="I2931" s="5">
        <v>5141.892186</v>
      </c>
      <c r="J2931" s="6">
        <v>6.090845991684435</v>
      </c>
      <c r="K2931" s="4">
        <v>0</v>
      </c>
      <c r="L2931" s="7">
        <v>0.9875939756315291</v>
      </c>
      <c r="M2931" s="3">
        <v>78.92</v>
      </c>
      <c r="N2931" s="3">
        <v>55.53</v>
      </c>
    </row>
    <row r="2932" spans="1:14">
      <c r="A2932" s="8" t="s">
        <v>2944</v>
      </c>
      <c r="B2932" s="2">
        <f>HYPERLINK("https://www.suredividend.com/sure-analysis-research-database/","Value Line, Inc.")</f>
        <v>0</v>
      </c>
      <c r="C2932" s="1" t="s">
        <v>3180</v>
      </c>
      <c r="D2932" s="3">
        <v>38.6</v>
      </c>
      <c r="E2932" s="4">
        <v>0.028941085955009</v>
      </c>
      <c r="F2932" s="4">
        <v>0.0714285714285714</v>
      </c>
      <c r="G2932" s="4">
        <v>0.08447177119769855</v>
      </c>
      <c r="H2932" s="3">
        <v>1.117125917863371</v>
      </c>
      <c r="I2932" s="5">
        <v>363.804344</v>
      </c>
      <c r="J2932" s="6">
        <v>19.91811353955653</v>
      </c>
      <c r="K2932" s="4">
        <v>0.5758381019914284</v>
      </c>
      <c r="M2932" s="3">
        <v>59.53</v>
      </c>
      <c r="N2932" s="3">
        <v>30.75</v>
      </c>
    </row>
    <row r="2933" spans="1:14">
      <c r="A2933" s="8" t="s">
        <v>2945</v>
      </c>
      <c r="B2933" s="2">
        <f>HYPERLINK("https://www.suredividend.com/sure-analysis-research-database/","Vapotherm Inc")</f>
        <v>0</v>
      </c>
      <c r="C2933" s="1" t="s">
        <v>3176</v>
      </c>
      <c r="D2933" s="3">
        <v>0.8</v>
      </c>
      <c r="E2933" s="4">
        <v>0</v>
      </c>
      <c r="F2933" s="4" t="s">
        <v>3178</v>
      </c>
      <c r="G2933" s="4" t="s">
        <v>3178</v>
      </c>
      <c r="H2933" s="3">
        <v>0</v>
      </c>
      <c r="I2933" s="5">
        <v>0</v>
      </c>
      <c r="J2933" s="6">
        <v>0</v>
      </c>
      <c r="K2933" s="4">
        <v>-0</v>
      </c>
    </row>
    <row r="2934" spans="1:14">
      <c r="A2934" s="8" t="s">
        <v>2946</v>
      </c>
      <c r="B2934" s="2">
        <f>HYPERLINK("https://www.suredividend.com/sure-analysis-research-database/","Varian Medical Systems, Inc.")</f>
        <v>0</v>
      </c>
      <c r="C2934" s="1" t="s">
        <v>3176</v>
      </c>
      <c r="D2934" s="3">
        <v>177.07</v>
      </c>
      <c r="E2934" s="4">
        <v>0</v>
      </c>
      <c r="F2934" s="4" t="s">
        <v>3178</v>
      </c>
      <c r="G2934" s="4" t="s">
        <v>3178</v>
      </c>
      <c r="H2934" s="3">
        <v>0</v>
      </c>
      <c r="I2934" s="5">
        <v>16261.898618</v>
      </c>
      <c r="J2934" s="6">
        <v>58.60143646093693</v>
      </c>
      <c r="K2934" s="4">
        <v>0</v>
      </c>
      <c r="L2934" s="7">
        <v>0.7412058348407721</v>
      </c>
      <c r="M2934" s="3">
        <v>177.38</v>
      </c>
      <c r="N2934" s="3">
        <v>103.67</v>
      </c>
    </row>
    <row r="2935" spans="1:14">
      <c r="A2935" s="8" t="s">
        <v>2947</v>
      </c>
      <c r="B2935" s="2">
        <f>HYPERLINK("https://www.suredividend.com/sure-analysis-research-database/","Village Bank &amp; Trust Financial Corporation")</f>
        <v>0</v>
      </c>
      <c r="C2935" s="1" t="s">
        <v>3180</v>
      </c>
      <c r="D2935" s="3">
        <v>47.25</v>
      </c>
      <c r="E2935" s="4">
        <v>0.003360218034456</v>
      </c>
      <c r="F2935" s="4" t="s">
        <v>3178</v>
      </c>
      <c r="G2935" s="4" t="s">
        <v>3178</v>
      </c>
      <c r="H2935" s="3">
        <v>0.158770302128063</v>
      </c>
      <c r="I2935" s="5">
        <v>70.65061</v>
      </c>
      <c r="J2935" s="6">
        <v>0</v>
      </c>
      <c r="K2935" s="4" t="s">
        <v>3178</v>
      </c>
      <c r="M2935" s="3">
        <v>49.06</v>
      </c>
      <c r="N2935" s="3">
        <v>35.8</v>
      </c>
    </row>
    <row r="2936" spans="1:14">
      <c r="A2936" s="8" t="s">
        <v>2948</v>
      </c>
      <c r="B2936" s="2">
        <f>HYPERLINK("https://www.suredividend.com/sure-analysis-research-database/","VBI Vaccines Inc.")</f>
        <v>0</v>
      </c>
      <c r="C2936" s="1" t="s">
        <v>3176</v>
      </c>
      <c r="D2936" s="3">
        <v>0.5964</v>
      </c>
      <c r="E2936" s="4">
        <v>0</v>
      </c>
      <c r="F2936" s="4" t="s">
        <v>3178</v>
      </c>
      <c r="G2936" s="4" t="s">
        <v>3178</v>
      </c>
      <c r="H2936" s="3">
        <v>0</v>
      </c>
      <c r="I2936" s="5">
        <v>17.106109</v>
      </c>
      <c r="J2936" s="6" t="s">
        <v>3178</v>
      </c>
      <c r="K2936" s="4">
        <v>-0</v>
      </c>
      <c r="L2936" s="7">
        <v>1.394833229813711</v>
      </c>
      <c r="M2936" s="3">
        <v>3.47</v>
      </c>
      <c r="N2936" s="3">
        <v>0.45</v>
      </c>
    </row>
    <row r="2937" spans="1:14">
      <c r="A2937" s="8" t="s">
        <v>2949</v>
      </c>
      <c r="B2937" s="2">
        <f>HYPERLINK("https://www.suredividend.com/sure-analysis-research-database/","Veritex Holdings Inc")</f>
        <v>0</v>
      </c>
      <c r="C2937" s="1" t="s">
        <v>3180</v>
      </c>
      <c r="D2937" s="3">
        <v>20.13</v>
      </c>
      <c r="E2937" s="4">
        <v>0.038572311735244</v>
      </c>
      <c r="F2937" s="4">
        <v>0</v>
      </c>
      <c r="G2937" s="4">
        <v>0.09856054330611785</v>
      </c>
      <c r="H2937" s="3">
        <v>0.776460635230478</v>
      </c>
      <c r="I2937" s="5">
        <v>1097.596463</v>
      </c>
      <c r="J2937" s="6">
        <v>11.67581285279663</v>
      </c>
      <c r="K2937" s="4">
        <v>0.4514306018781849</v>
      </c>
      <c r="L2937" s="7">
        <v>1.236327122367802</v>
      </c>
      <c r="M2937" s="3">
        <v>23.51</v>
      </c>
      <c r="N2937" s="3">
        <v>14.98</v>
      </c>
    </row>
    <row r="2938" spans="1:14">
      <c r="A2938" s="8" t="s">
        <v>2950</v>
      </c>
      <c r="B2938" s="2">
        <f>HYPERLINK("https://www.suredividend.com/sure-analysis-research-database/","Visteon Corp.")</f>
        <v>0</v>
      </c>
      <c r="C2938" s="1" t="s">
        <v>3182</v>
      </c>
      <c r="D2938" s="3">
        <v>106.38</v>
      </c>
      <c r="E2938" s="4">
        <v>0</v>
      </c>
      <c r="F2938" s="4" t="s">
        <v>3178</v>
      </c>
      <c r="G2938" s="4" t="s">
        <v>3178</v>
      </c>
      <c r="H2938" s="3">
        <v>0</v>
      </c>
      <c r="I2938" s="5">
        <v>2935.721521</v>
      </c>
      <c r="J2938" s="6">
        <v>5.942756115182186</v>
      </c>
      <c r="K2938" s="4">
        <v>0</v>
      </c>
      <c r="L2938" s="7">
        <v>1.042403328389961</v>
      </c>
      <c r="M2938" s="3">
        <v>159.87</v>
      </c>
      <c r="N2938" s="3">
        <v>105.19</v>
      </c>
    </row>
    <row r="2939" spans="1:14">
      <c r="A2939" s="8" t="s">
        <v>2951</v>
      </c>
      <c r="B2939" s="2">
        <f>HYPERLINK("https://www.suredividend.com/sure-analysis-research-database/","Vericel Corp")</f>
        <v>0</v>
      </c>
      <c r="C2939" s="1" t="s">
        <v>3176</v>
      </c>
      <c r="D2939" s="3">
        <v>44.38</v>
      </c>
      <c r="E2939" s="4">
        <v>0</v>
      </c>
      <c r="F2939" s="4" t="s">
        <v>3178</v>
      </c>
      <c r="G2939" s="4" t="s">
        <v>3178</v>
      </c>
      <c r="H2939" s="3">
        <v>0</v>
      </c>
      <c r="I2939" s="5">
        <v>2156.945044</v>
      </c>
      <c r="J2939" s="6">
        <v>4782.5832454102</v>
      </c>
      <c r="K2939" s="4">
        <v>0</v>
      </c>
      <c r="L2939" s="7">
        <v>1.319138246074707</v>
      </c>
      <c r="M2939" s="3">
        <v>53.05</v>
      </c>
      <c r="N2939" s="3">
        <v>30.18</v>
      </c>
    </row>
    <row r="2940" spans="1:14">
      <c r="A2940" s="8" t="s">
        <v>2952</v>
      </c>
      <c r="B2940" s="2">
        <f>HYPERLINK("https://www.suredividend.com/sure-analysis-research-database/","Vocera Communication Inc")</f>
        <v>0</v>
      </c>
      <c r="C2940" s="1" t="s">
        <v>3181</v>
      </c>
      <c r="D2940" s="3">
        <v>79.13</v>
      </c>
      <c r="E2940" s="4">
        <v>0</v>
      </c>
      <c r="F2940" s="4" t="s">
        <v>3178</v>
      </c>
      <c r="G2940" s="4" t="s">
        <v>3178</v>
      </c>
      <c r="H2940" s="3">
        <v>0</v>
      </c>
      <c r="I2940" s="5">
        <v>2772.781827</v>
      </c>
      <c r="J2940" s="6" t="s">
        <v>3178</v>
      </c>
      <c r="K2940" s="4">
        <v>-0</v>
      </c>
      <c r="M2940" s="3">
        <v>79.43000000000001</v>
      </c>
      <c r="N2940" s="3">
        <v>31.93</v>
      </c>
    </row>
    <row r="2941" spans="1:14">
      <c r="A2941" s="8" t="s">
        <v>2953</v>
      </c>
      <c r="B2941" s="2">
        <f>HYPERLINK("https://www.suredividend.com/sure-analysis-research-database/","Victory Capital Holdings Inc")</f>
        <v>0</v>
      </c>
      <c r="C2941" s="1" t="s">
        <v>3180</v>
      </c>
      <c r="D2941" s="3">
        <v>49.64</v>
      </c>
      <c r="E2941" s="4">
        <v>0.025556390228751</v>
      </c>
      <c r="F2941" s="4" t="s">
        <v>3178</v>
      </c>
      <c r="G2941" s="4" t="s">
        <v>3178</v>
      </c>
      <c r="H2941" s="3">
        <v>1.268619210955233</v>
      </c>
      <c r="I2941" s="5">
        <v>3212.200131</v>
      </c>
      <c r="J2941" s="6">
        <v>15.06964411659012</v>
      </c>
      <c r="K2941" s="4">
        <v>0.4066087214600105</v>
      </c>
      <c r="L2941" s="7">
        <v>0.9100287186536301</v>
      </c>
      <c r="M2941" s="3">
        <v>54.94</v>
      </c>
      <c r="N2941" s="3">
        <v>27.87</v>
      </c>
    </row>
    <row r="2942" spans="1:14">
      <c r="A2942" s="8" t="s">
        <v>2954</v>
      </c>
      <c r="B2942" s="2">
        <f>HYPERLINK("https://www.suredividend.com/sure-analysis-research-database/","Veracyte Inc")</f>
        <v>0</v>
      </c>
      <c r="C2942" s="1" t="s">
        <v>3176</v>
      </c>
      <c r="D2942" s="3">
        <v>20.65</v>
      </c>
      <c r="E2942" s="4">
        <v>0</v>
      </c>
      <c r="F2942" s="4" t="s">
        <v>3178</v>
      </c>
      <c r="G2942" s="4" t="s">
        <v>3178</v>
      </c>
      <c r="H2942" s="3">
        <v>0</v>
      </c>
      <c r="I2942" s="5">
        <v>1578.652646</v>
      </c>
      <c r="J2942" s="6" t="s">
        <v>3178</v>
      </c>
      <c r="K2942" s="4">
        <v>-0</v>
      </c>
      <c r="L2942" s="7">
        <v>2.094022444682897</v>
      </c>
      <c r="M2942" s="3">
        <v>30.52</v>
      </c>
      <c r="N2942" s="3">
        <v>18.61</v>
      </c>
    </row>
    <row r="2943" spans="1:14">
      <c r="A2943" s="8" t="s">
        <v>2955</v>
      </c>
      <c r="B2943" s="2">
        <f>HYPERLINK("https://www.suredividend.com/sure-analysis-research-database/","Veeco Instruments Inc")</f>
        <v>0</v>
      </c>
      <c r="C2943" s="1" t="s">
        <v>3181</v>
      </c>
      <c r="D2943" s="3">
        <v>42.78</v>
      </c>
      <c r="E2943" s="4">
        <v>0</v>
      </c>
      <c r="F2943" s="4" t="s">
        <v>3178</v>
      </c>
      <c r="G2943" s="4" t="s">
        <v>3178</v>
      </c>
      <c r="H2943" s="3">
        <v>0</v>
      </c>
      <c r="I2943" s="5">
        <v>2422.95918</v>
      </c>
      <c r="J2943" s="6" t="s">
        <v>3178</v>
      </c>
      <c r="K2943" s="4">
        <v>-0</v>
      </c>
      <c r="L2943" s="7">
        <v>1.618005991216883</v>
      </c>
      <c r="M2943" s="3">
        <v>44.39</v>
      </c>
      <c r="N2943" s="3">
        <v>23.63</v>
      </c>
    </row>
    <row r="2944" spans="1:14">
      <c r="A2944" s="8" t="s">
        <v>2956</v>
      </c>
      <c r="B2944" s="2">
        <f>HYPERLINK("https://www.suredividend.com/sure-analysis-research-database/","Veeva Systems Inc")</f>
        <v>0</v>
      </c>
      <c r="C2944" s="1" t="s">
        <v>3176</v>
      </c>
      <c r="D2944" s="3">
        <v>183.14</v>
      </c>
      <c r="E2944" s="4">
        <v>0</v>
      </c>
      <c r="F2944" s="4" t="s">
        <v>3178</v>
      </c>
      <c r="G2944" s="4" t="s">
        <v>3178</v>
      </c>
      <c r="H2944" s="3">
        <v>0</v>
      </c>
      <c r="I2944" s="5">
        <v>29604.894719</v>
      </c>
      <c r="J2944" s="6">
        <v>53.26077402243059</v>
      </c>
      <c r="K2944" s="4">
        <v>0</v>
      </c>
      <c r="L2944" s="7">
        <v>1.146528655853986</v>
      </c>
      <c r="M2944" s="3">
        <v>236.9</v>
      </c>
      <c r="N2944" s="3">
        <v>162.72</v>
      </c>
    </row>
    <row r="2945" spans="1:14">
      <c r="A2945" s="8" t="s">
        <v>2957</v>
      </c>
      <c r="B2945" s="2">
        <f>HYPERLINK("https://www.suredividend.com/sure-analysis-research-database/","VEREIT Inc")</f>
        <v>0</v>
      </c>
      <c r="C2945" s="1" t="s">
        <v>3183</v>
      </c>
      <c r="D2945" s="3">
        <v>50.146</v>
      </c>
      <c r="E2945" s="4">
        <v>0.034690257484615</v>
      </c>
      <c r="F2945" s="4" t="s">
        <v>3178</v>
      </c>
      <c r="G2945" s="4" t="s">
        <v>3178</v>
      </c>
      <c r="H2945" s="3">
        <v>1.739577651823514</v>
      </c>
      <c r="I2945" s="5">
        <v>11490.936644</v>
      </c>
      <c r="J2945" s="6">
        <v>50.53404566575487</v>
      </c>
      <c r="K2945" s="4">
        <v>8.387548948040086</v>
      </c>
      <c r="M2945" s="3">
        <v>52.37</v>
      </c>
      <c r="N2945" s="3">
        <v>30.62</v>
      </c>
    </row>
    <row r="2946" spans="1:14">
      <c r="A2946" s="8" t="s">
        <v>2958</v>
      </c>
      <c r="B2946" s="2">
        <f>HYPERLINK("https://www.suredividend.com/sure-analysis-research-database/","Veritone Inc")</f>
        <v>0</v>
      </c>
      <c r="C2946" s="1" t="s">
        <v>3181</v>
      </c>
      <c r="D2946" s="3">
        <v>2.5</v>
      </c>
      <c r="E2946" s="4">
        <v>0</v>
      </c>
      <c r="F2946" s="4" t="s">
        <v>3178</v>
      </c>
      <c r="G2946" s="4" t="s">
        <v>3178</v>
      </c>
      <c r="H2946" s="3">
        <v>0</v>
      </c>
      <c r="I2946" s="5">
        <v>94.346693</v>
      </c>
      <c r="J2946" s="6" t="s">
        <v>3178</v>
      </c>
      <c r="K2946" s="4">
        <v>-0</v>
      </c>
      <c r="L2946" s="7">
        <v>1.837083117009394</v>
      </c>
      <c r="M2946" s="3">
        <v>7.76</v>
      </c>
      <c r="N2946" s="3">
        <v>1.48</v>
      </c>
    </row>
    <row r="2947" spans="1:14">
      <c r="A2947" s="8" t="s">
        <v>2959</v>
      </c>
      <c r="B2947" s="2">
        <f>HYPERLINK("https://www.suredividend.com/sure-analysis-research-database/","Veru Inc")</f>
        <v>0</v>
      </c>
      <c r="C2947" s="1" t="s">
        <v>3176</v>
      </c>
      <c r="D2947" s="3">
        <v>0.9182</v>
      </c>
      <c r="E2947" s="4">
        <v>0</v>
      </c>
      <c r="F2947" s="4" t="s">
        <v>3178</v>
      </c>
      <c r="G2947" s="4" t="s">
        <v>3178</v>
      </c>
      <c r="H2947" s="3">
        <v>0</v>
      </c>
      <c r="I2947" s="5">
        <v>134.409715</v>
      </c>
      <c r="J2947" s="6" t="s">
        <v>3178</v>
      </c>
      <c r="K2947" s="4">
        <v>-0</v>
      </c>
      <c r="L2947" s="7">
        <v>1.775766681696004</v>
      </c>
      <c r="M2947" s="3">
        <v>1.92</v>
      </c>
      <c r="N2947" s="3">
        <v>0.36</v>
      </c>
    </row>
    <row r="2948" spans="1:14">
      <c r="A2948" s="8" t="s">
        <v>2960</v>
      </c>
      <c r="B2948" s="2">
        <f>HYPERLINK("https://www.suredividend.com/sure-analysis-VFC/","VF Corp.")</f>
        <v>0</v>
      </c>
      <c r="C2948" s="1" t="s">
        <v>3182</v>
      </c>
      <c r="D2948" s="3">
        <v>13.58</v>
      </c>
      <c r="E2948" s="4">
        <v>0.02650957290132548</v>
      </c>
      <c r="F2948" s="4" t="s">
        <v>3178</v>
      </c>
      <c r="G2948" s="4" t="s">
        <v>3178</v>
      </c>
      <c r="H2948" s="3">
        <v>0.7685489072999371</v>
      </c>
      <c r="I2948" s="5">
        <v>5281.087714</v>
      </c>
      <c r="J2948" s="6" t="s">
        <v>3178</v>
      </c>
      <c r="K2948" s="4" t="s">
        <v>3178</v>
      </c>
      <c r="L2948" s="7">
        <v>1.45271497203357</v>
      </c>
      <c r="M2948" s="3">
        <v>20.62</v>
      </c>
      <c r="N2948" s="3">
        <v>11</v>
      </c>
    </row>
    <row r="2949" spans="1:14">
      <c r="A2949" s="8" t="s">
        <v>2961</v>
      </c>
      <c r="B2949" s="2">
        <f>HYPERLINK("https://www.suredividend.com/sure-analysis-research-database/","Vonage Holdings Corp")</f>
        <v>0</v>
      </c>
      <c r="C2949" s="1" t="s">
        <v>3187</v>
      </c>
      <c r="D2949" s="3">
        <v>20.99</v>
      </c>
      <c r="E2949" s="4">
        <v>0</v>
      </c>
      <c r="F2949" s="4" t="s">
        <v>3178</v>
      </c>
      <c r="G2949" s="4" t="s">
        <v>3178</v>
      </c>
      <c r="H2949" s="3">
        <v>0</v>
      </c>
      <c r="I2949" s="5">
        <v>0</v>
      </c>
      <c r="J2949" s="6">
        <v>0</v>
      </c>
      <c r="K2949" s="4">
        <v>-0</v>
      </c>
    </row>
    <row r="2950" spans="1:14">
      <c r="A2950" s="8" t="s">
        <v>2962</v>
      </c>
      <c r="B2950" s="2">
        <f>HYPERLINK("https://www.suredividend.com/sure-analysis-VGR/","Vector Group Ltd")</f>
        <v>0</v>
      </c>
      <c r="C2950" s="1" t="s">
        <v>3184</v>
      </c>
      <c r="D2950" s="3">
        <v>10.61</v>
      </c>
      <c r="E2950" s="4">
        <v>0.07540056550424129</v>
      </c>
      <c r="F2950" s="4">
        <v>0</v>
      </c>
      <c r="G2950" s="4">
        <v>-0.1294494367038759</v>
      </c>
      <c r="H2950" s="3">
        <v>0.9645987929645581</v>
      </c>
      <c r="I2950" s="5">
        <v>1670.216577</v>
      </c>
      <c r="J2950" s="6">
        <v>9.352763897020942</v>
      </c>
      <c r="K2950" s="4">
        <v>0.8315506835901363</v>
      </c>
      <c r="L2950" s="7">
        <v>0.83421095079489</v>
      </c>
      <c r="M2950" s="3">
        <v>12.49</v>
      </c>
      <c r="N2950" s="3">
        <v>9.109999999999999</v>
      </c>
    </row>
    <row r="2951" spans="1:14">
      <c r="A2951" s="8" t="s">
        <v>2963</v>
      </c>
      <c r="B2951" s="2">
        <f>HYPERLINK("https://www.suredividend.com/sure-analysis-research-database/","Virnetx Holding Corp")</f>
        <v>0</v>
      </c>
      <c r="C2951" s="1" t="s">
        <v>3181</v>
      </c>
      <c r="D2951" s="3">
        <v>3.82</v>
      </c>
      <c r="E2951" s="4">
        <v>0</v>
      </c>
      <c r="F2951" s="4" t="s">
        <v>3178</v>
      </c>
      <c r="G2951" s="4" t="s">
        <v>3178</v>
      </c>
      <c r="H2951" s="3">
        <v>0</v>
      </c>
      <c r="I2951" s="5">
        <v>14.060125</v>
      </c>
      <c r="J2951" s="6" t="s">
        <v>3178</v>
      </c>
      <c r="K2951" s="4">
        <v>-0</v>
      </c>
      <c r="L2951" s="7">
        <v>0.5816568182079961</v>
      </c>
      <c r="M2951" s="3">
        <v>13.6</v>
      </c>
      <c r="N2951" s="3">
        <v>3.5</v>
      </c>
    </row>
    <row r="2952" spans="1:14">
      <c r="A2952" s="8" t="s">
        <v>2964</v>
      </c>
      <c r="B2952" s="2">
        <f>HYPERLINK("https://www.suredividend.com/sure-analysis-research-database/","Via Renewables Inc")</f>
        <v>0</v>
      </c>
      <c r="C2952" s="1" t="s">
        <v>3178</v>
      </c>
      <c r="D2952" s="3">
        <v>10.985</v>
      </c>
      <c r="E2952" s="4">
        <v>0</v>
      </c>
      <c r="F2952" s="4" t="s">
        <v>3178</v>
      </c>
      <c r="G2952" s="4" t="s">
        <v>3178</v>
      </c>
      <c r="H2952" s="3">
        <v>0</v>
      </c>
      <c r="I2952" s="5">
        <v>35.51122</v>
      </c>
      <c r="J2952" s="6">
        <v>0</v>
      </c>
      <c r="K2952" s="4" t="s">
        <v>3178</v>
      </c>
      <c r="L2952" s="7">
        <v>0.663761270855298</v>
      </c>
      <c r="M2952" s="3">
        <v>11.72</v>
      </c>
      <c r="N2952" s="3">
        <v>5.22</v>
      </c>
    </row>
    <row r="2953" spans="1:14">
      <c r="A2953" s="8" t="s">
        <v>2965</v>
      </c>
      <c r="B2953" s="2">
        <f>HYPERLINK("https://www.suredividend.com/sure-analysis-research-database/","Viavi Solutions Inc")</f>
        <v>0</v>
      </c>
      <c r="C2953" s="1" t="s">
        <v>3181</v>
      </c>
      <c r="D2953" s="3">
        <v>7.4</v>
      </c>
      <c r="E2953" s="4">
        <v>0</v>
      </c>
      <c r="F2953" s="4" t="s">
        <v>3178</v>
      </c>
      <c r="G2953" s="4" t="s">
        <v>3178</v>
      </c>
      <c r="H2953" s="3">
        <v>0</v>
      </c>
      <c r="I2953" s="5">
        <v>1651.9616</v>
      </c>
      <c r="J2953" s="6" t="s">
        <v>3178</v>
      </c>
      <c r="K2953" s="4">
        <v>-0</v>
      </c>
      <c r="L2953" s="7">
        <v>1.010937532358689</v>
      </c>
      <c r="M2953" s="3">
        <v>11.65</v>
      </c>
      <c r="N2953" s="3">
        <v>7.1</v>
      </c>
    </row>
    <row r="2954" spans="1:14">
      <c r="A2954" s="8" t="s">
        <v>2966</v>
      </c>
      <c r="B2954" s="2">
        <f>HYPERLINK("https://www.suredividend.com/sure-analysis-VICI/","VICI Properties Inc")</f>
        <v>0</v>
      </c>
      <c r="C2954" s="1" t="s">
        <v>3183</v>
      </c>
      <c r="D2954" s="3">
        <v>28.37</v>
      </c>
      <c r="E2954" s="4">
        <v>0.05851251321818822</v>
      </c>
      <c r="F2954" s="4">
        <v>0.0641025641025641</v>
      </c>
      <c r="G2954" s="4">
        <v>0.06883883581942341</v>
      </c>
      <c r="H2954" s="3">
        <v>1.60208785971579</v>
      </c>
      <c r="I2954" s="5">
        <v>29595.061737</v>
      </c>
      <c r="J2954" s="6">
        <v>11.4495816091629</v>
      </c>
      <c r="K2954" s="4">
        <v>0.6357491506808691</v>
      </c>
      <c r="L2954" s="7">
        <v>0.838021871351958</v>
      </c>
      <c r="M2954" s="3">
        <v>32.21</v>
      </c>
      <c r="N2954" s="3">
        <v>25.9</v>
      </c>
    </row>
    <row r="2955" spans="1:14">
      <c r="A2955" s="8" t="s">
        <v>2967</v>
      </c>
      <c r="B2955" s="2">
        <f>HYPERLINK("https://www.suredividend.com/sure-analysis-research-database/","Vicor Corp.")</f>
        <v>0</v>
      </c>
      <c r="C2955" s="1" t="s">
        <v>3181</v>
      </c>
      <c r="D2955" s="3">
        <v>34.67</v>
      </c>
      <c r="E2955" s="4">
        <v>0</v>
      </c>
      <c r="F2955" s="4" t="s">
        <v>3178</v>
      </c>
      <c r="G2955" s="4" t="s">
        <v>3178</v>
      </c>
      <c r="H2955" s="3">
        <v>0</v>
      </c>
      <c r="I2955" s="5">
        <v>1133.709</v>
      </c>
      <c r="J2955" s="6">
        <v>40.66679819212282</v>
      </c>
      <c r="K2955" s="4">
        <v>0</v>
      </c>
      <c r="L2955" s="7">
        <v>1.901171090452761</v>
      </c>
      <c r="M2955" s="3">
        <v>98.38</v>
      </c>
      <c r="N2955" s="3">
        <v>30.9</v>
      </c>
    </row>
    <row r="2956" spans="1:14">
      <c r="A2956" s="8" t="s">
        <v>2968</v>
      </c>
      <c r="B2956" s="2">
        <f>HYPERLINK("https://www.suredividend.com/sure-analysis-research-database/","Virco Manufacturing Corp.")</f>
        <v>0</v>
      </c>
      <c r="C2956" s="1" t="s">
        <v>3182</v>
      </c>
      <c r="D2956" s="3">
        <v>13.19</v>
      </c>
      <c r="E2956" s="4">
        <v>0.003029553875708</v>
      </c>
      <c r="F2956" s="4" t="s">
        <v>3178</v>
      </c>
      <c r="G2956" s="4" t="s">
        <v>3178</v>
      </c>
      <c r="H2956" s="3">
        <v>0.03995981562058901</v>
      </c>
      <c r="I2956" s="5">
        <v>215.621072</v>
      </c>
      <c r="J2956" s="6">
        <v>0</v>
      </c>
      <c r="K2956" s="4" t="s">
        <v>3178</v>
      </c>
      <c r="L2956" s="7">
        <v>1.402882540287121</v>
      </c>
      <c r="M2956" s="3">
        <v>13.37</v>
      </c>
      <c r="N2956" s="3">
        <v>3.8</v>
      </c>
    </row>
    <row r="2957" spans="1:14">
      <c r="A2957" s="8" t="s">
        <v>2969</v>
      </c>
      <c r="B2957" s="2">
        <f>HYPERLINK("https://www.suredividend.com/sure-analysis-research-database/","Virtu Financial Inc")</f>
        <v>0</v>
      </c>
      <c r="C2957" s="1" t="s">
        <v>3180</v>
      </c>
      <c r="D2957" s="3">
        <v>22.01</v>
      </c>
      <c r="E2957" s="4">
        <v>0.042080699585863</v>
      </c>
      <c r="F2957" s="4">
        <v>0</v>
      </c>
      <c r="G2957" s="4">
        <v>0</v>
      </c>
      <c r="H2957" s="3">
        <v>0.9261961978848551</v>
      </c>
      <c r="I2957" s="5">
        <v>1947.755053</v>
      </c>
      <c r="J2957" s="6">
        <v>14.82027812790565</v>
      </c>
      <c r="K2957" s="4">
        <v>0.647689648870528</v>
      </c>
      <c r="L2957" s="7">
        <v>0.434741498035157</v>
      </c>
      <c r="M2957" s="3">
        <v>23.74</v>
      </c>
      <c r="N2957" s="3">
        <v>14.96</v>
      </c>
    </row>
    <row r="2958" spans="1:14">
      <c r="A2958" s="8" t="s">
        <v>2970</v>
      </c>
      <c r="B2958" s="2">
        <f>HYPERLINK("https://www.suredividend.com/sure-analysis-research-database/","Vislink Technologies Inc")</f>
        <v>0</v>
      </c>
      <c r="C2958" s="1" t="s">
        <v>3181</v>
      </c>
      <c r="D2958" s="3">
        <v>4.705</v>
      </c>
      <c r="E2958" s="4">
        <v>0</v>
      </c>
      <c r="F2958" s="4" t="s">
        <v>3178</v>
      </c>
      <c r="G2958" s="4" t="s">
        <v>3178</v>
      </c>
      <c r="H2958" s="3">
        <v>0</v>
      </c>
      <c r="I2958" s="5">
        <v>11.520108</v>
      </c>
      <c r="J2958" s="6">
        <v>0</v>
      </c>
      <c r="K2958" s="4" t="s">
        <v>3178</v>
      </c>
      <c r="L2958" s="7">
        <v>0.9499388901555291</v>
      </c>
      <c r="M2958" s="3">
        <v>6.35</v>
      </c>
      <c r="N2958" s="3">
        <v>2.31</v>
      </c>
    </row>
    <row r="2959" spans="1:14">
      <c r="A2959" s="8" t="s">
        <v>2971</v>
      </c>
      <c r="B2959" s="2">
        <f>HYPERLINK("https://www.suredividend.com/sure-analysis-research-database/","Meridian Bioscience Inc.")</f>
        <v>0</v>
      </c>
      <c r="C2959" s="1" t="s">
        <v>3176</v>
      </c>
      <c r="D2959" s="3">
        <v>33.97</v>
      </c>
      <c r="E2959" s="4">
        <v>0</v>
      </c>
      <c r="F2959" s="4" t="s">
        <v>3178</v>
      </c>
      <c r="G2959" s="4" t="s">
        <v>3178</v>
      </c>
      <c r="H2959" s="3">
        <v>0</v>
      </c>
      <c r="I2959" s="5">
        <v>0</v>
      </c>
      <c r="J2959" s="6">
        <v>0</v>
      </c>
      <c r="K2959" s="4">
        <v>0</v>
      </c>
    </row>
    <row r="2960" spans="1:14">
      <c r="A2960" s="8" t="s">
        <v>2972</v>
      </c>
      <c r="B2960" s="2">
        <f>HYPERLINK("https://www.suredividend.com/sure-analysis-research-database/","Viking Therapeutics Inc")</f>
        <v>0</v>
      </c>
      <c r="C2960" s="1" t="s">
        <v>3176</v>
      </c>
      <c r="D2960" s="3">
        <v>55.99</v>
      </c>
      <c r="E2960" s="4">
        <v>0</v>
      </c>
      <c r="F2960" s="4" t="s">
        <v>3178</v>
      </c>
      <c r="G2960" s="4" t="s">
        <v>3178</v>
      </c>
      <c r="H2960" s="3">
        <v>0</v>
      </c>
      <c r="I2960" s="5">
        <v>6173.917078</v>
      </c>
      <c r="J2960" s="6">
        <v>0</v>
      </c>
      <c r="K2960" s="4" t="s">
        <v>3178</v>
      </c>
      <c r="L2960" s="7">
        <v>1.517326764165891</v>
      </c>
      <c r="M2960" s="3">
        <v>99.41</v>
      </c>
      <c r="N2960" s="3">
        <v>8.279999999999999</v>
      </c>
    </row>
    <row r="2961" spans="1:14">
      <c r="A2961" s="8" t="s">
        <v>2973</v>
      </c>
      <c r="B2961" s="2">
        <f>HYPERLINK("https://www.suredividend.com/sure-analysis-research-database/","Village Super Market, Inc.")</f>
        <v>0</v>
      </c>
      <c r="C2961" s="1" t="s">
        <v>3184</v>
      </c>
      <c r="D2961" s="3">
        <v>26.88</v>
      </c>
      <c r="E2961" s="4">
        <v>0.036169323979712</v>
      </c>
      <c r="F2961" s="4">
        <v>0</v>
      </c>
      <c r="G2961" s="4">
        <v>0</v>
      </c>
      <c r="H2961" s="3">
        <v>0.97223142857467</v>
      </c>
      <c r="I2961" s="5">
        <v>284.521413</v>
      </c>
      <c r="J2961" s="6">
        <v>0</v>
      </c>
      <c r="K2961" s="4" t="s">
        <v>3178</v>
      </c>
      <c r="L2961" s="7">
        <v>0.263546484328124</v>
      </c>
      <c r="M2961" s="3">
        <v>31</v>
      </c>
      <c r="N2961" s="3">
        <v>19.89</v>
      </c>
    </row>
    <row r="2962" spans="1:14">
      <c r="A2962" s="8" t="s">
        <v>2974</v>
      </c>
      <c r="B2962" s="2">
        <f>HYPERLINK("https://www.suredividend.com/sure-analysis-VLO/","Valero Energy Corp.")</f>
        <v>0</v>
      </c>
      <c r="C2962" s="1" t="s">
        <v>3185</v>
      </c>
      <c r="D2962" s="3">
        <v>154.43</v>
      </c>
      <c r="E2962" s="4">
        <v>0.02771482224956291</v>
      </c>
      <c r="F2962" s="4">
        <v>0.0490196078431373</v>
      </c>
      <c r="G2962" s="4">
        <v>0.03520951152530172</v>
      </c>
      <c r="H2962" s="3">
        <v>4.135254637942569</v>
      </c>
      <c r="I2962" s="5">
        <v>50498.051427</v>
      </c>
      <c r="J2962" s="6">
        <v>7.221228575245245</v>
      </c>
      <c r="K2962" s="4">
        <v>0.2031068093292028</v>
      </c>
      <c r="L2962" s="7">
        <v>0.729159436113723</v>
      </c>
      <c r="M2962" s="3">
        <v>183.52</v>
      </c>
      <c r="N2962" s="3">
        <v>105.03</v>
      </c>
    </row>
    <row r="2963" spans="1:14">
      <c r="A2963" s="8" t="s">
        <v>2975</v>
      </c>
      <c r="B2963" s="2">
        <f>HYPERLINK("https://www.suredividend.com/sure-analysis-research-database/","Valley National Bancorp")</f>
        <v>0</v>
      </c>
      <c r="C2963" s="1" t="s">
        <v>3180</v>
      </c>
      <c r="D2963" s="3">
        <v>6.95</v>
      </c>
      <c r="E2963" s="4">
        <v>0.06130123026169101</v>
      </c>
      <c r="F2963" s="4">
        <v>0</v>
      </c>
      <c r="G2963" s="4">
        <v>0</v>
      </c>
      <c r="H2963" s="3">
        <v>0.426043550318756</v>
      </c>
      <c r="I2963" s="5">
        <v>3538.820335</v>
      </c>
      <c r="J2963" s="6">
        <v>8.19436932084472</v>
      </c>
      <c r="K2963" s="4">
        <v>0.5026469446894243</v>
      </c>
      <c r="L2963" s="7">
        <v>1.653079126250647</v>
      </c>
      <c r="M2963" s="3">
        <v>10.91</v>
      </c>
      <c r="N2963" s="3">
        <v>6.51</v>
      </c>
    </row>
    <row r="2964" spans="1:14">
      <c r="A2964" s="8" t="s">
        <v>2976</v>
      </c>
      <c r="B2964" s="2">
        <f>HYPERLINK("https://www.suredividend.com/sure-analysis-VMC/","Vulcan Materials Co")</f>
        <v>0</v>
      </c>
      <c r="C2964" s="1" t="s">
        <v>3177</v>
      </c>
      <c r="D2964" s="3">
        <v>247.59</v>
      </c>
      <c r="E2964" s="4">
        <v>0.007431641019427279</v>
      </c>
      <c r="F2964" s="4">
        <v>0.06976744186046524</v>
      </c>
      <c r="G2964" s="4">
        <v>0.08212947767693679</v>
      </c>
      <c r="H2964" s="3">
        <v>1.77530640278089</v>
      </c>
      <c r="I2964" s="5">
        <v>32744.337796</v>
      </c>
      <c r="J2964" s="6">
        <v>35.7783411234375</v>
      </c>
      <c r="K2964" s="4">
        <v>0.2591688179242175</v>
      </c>
      <c r="L2964" s="7">
        <v>1.081085900769791</v>
      </c>
      <c r="M2964" s="3">
        <v>276.09</v>
      </c>
      <c r="N2964" s="3">
        <v>189.45</v>
      </c>
    </row>
    <row r="2965" spans="1:14">
      <c r="A2965" s="8" t="s">
        <v>2977</v>
      </c>
      <c r="B2965" s="2">
        <f>HYPERLINK("https://www.suredividend.com/sure-analysis-research-database/","Valmont Industries, Inc.")</f>
        <v>0</v>
      </c>
      <c r="C2965" s="1" t="s">
        <v>3179</v>
      </c>
      <c r="D2965" s="3">
        <v>256.2</v>
      </c>
      <c r="E2965" s="4">
        <v>0.009330814435908</v>
      </c>
      <c r="F2965" s="4">
        <v>0</v>
      </c>
      <c r="G2965" s="4">
        <v>0.09856054330611785</v>
      </c>
      <c r="H2965" s="3">
        <v>2.390554658479791</v>
      </c>
      <c r="I2965" s="5">
        <v>5173.08792</v>
      </c>
      <c r="J2965" s="6">
        <v>31.51804302660679</v>
      </c>
      <c r="K2965" s="4">
        <v>0.3037553568589315</v>
      </c>
      <c r="L2965" s="7">
        <v>1.108907809286624</v>
      </c>
      <c r="M2965" s="3">
        <v>300.61</v>
      </c>
      <c r="N2965" s="3">
        <v>187.63</v>
      </c>
    </row>
    <row r="2966" spans="1:14">
      <c r="A2966" s="8" t="s">
        <v>2978</v>
      </c>
      <c r="B2966" s="2">
        <f>HYPERLINK("https://www.suredividend.com/sure-analysis-research-database/","Vmware Inc.")</f>
        <v>0</v>
      </c>
      <c r="C2966" s="1" t="s">
        <v>3181</v>
      </c>
      <c r="D2966" s="3">
        <v>142.48</v>
      </c>
      <c r="E2966" s="4">
        <v>0</v>
      </c>
      <c r="F2966" s="4" t="s">
        <v>3178</v>
      </c>
      <c r="G2966" s="4" t="s">
        <v>3178</v>
      </c>
      <c r="H2966" s="3">
        <v>0</v>
      </c>
      <c r="I2966" s="5">
        <v>61522.864</v>
      </c>
      <c r="J2966" s="6">
        <v>43.1436633941094</v>
      </c>
      <c r="K2966" s="4">
        <v>0</v>
      </c>
      <c r="M2966" s="3">
        <v>181.14</v>
      </c>
      <c r="N2966" s="3">
        <v>109</v>
      </c>
    </row>
    <row r="2967" spans="1:14">
      <c r="A2967" s="8" t="s">
        <v>2979</v>
      </c>
      <c r="B2967" s="2">
        <f>HYPERLINK("https://www.suredividend.com/sure-analysis-research-database/","Vince Holding Corp")</f>
        <v>0</v>
      </c>
      <c r="C2967" s="1" t="s">
        <v>3182</v>
      </c>
      <c r="D2967" s="3">
        <v>1.75</v>
      </c>
      <c r="E2967" s="4">
        <v>0</v>
      </c>
      <c r="F2967" s="4" t="s">
        <v>3178</v>
      </c>
      <c r="G2967" s="4" t="s">
        <v>3178</v>
      </c>
      <c r="H2967" s="3">
        <v>0</v>
      </c>
      <c r="I2967" s="5">
        <v>21.888004</v>
      </c>
      <c r="J2967" s="6">
        <v>0</v>
      </c>
      <c r="K2967" s="4" t="s">
        <v>3178</v>
      </c>
      <c r="L2967" s="7">
        <v>0.8305245338756161</v>
      </c>
      <c r="M2967" s="3">
        <v>4.92</v>
      </c>
      <c r="N2967" s="3">
        <v>1</v>
      </c>
    </row>
    <row r="2968" spans="1:14">
      <c r="A2968" s="8" t="s">
        <v>2980</v>
      </c>
      <c r="B2968" s="2">
        <f>HYPERLINK("https://www.suredividend.com/sure-analysis-research-database/","Vanda Pharmaceuticals Inc")</f>
        <v>0</v>
      </c>
      <c r="C2968" s="1" t="s">
        <v>3176</v>
      </c>
      <c r="D2968" s="3">
        <v>6.12</v>
      </c>
      <c r="E2968" s="4">
        <v>0</v>
      </c>
      <c r="F2968" s="4" t="s">
        <v>3178</v>
      </c>
      <c r="G2968" s="4" t="s">
        <v>3178</v>
      </c>
      <c r="H2968" s="3">
        <v>0</v>
      </c>
      <c r="I2968" s="5">
        <v>356.173431</v>
      </c>
      <c r="J2968" s="6" t="s">
        <v>3178</v>
      </c>
      <c r="K2968" s="4">
        <v>-0</v>
      </c>
      <c r="L2968" s="7">
        <v>0.6824823422989801</v>
      </c>
      <c r="M2968" s="3">
        <v>6.76</v>
      </c>
      <c r="N2968" s="3">
        <v>3.3</v>
      </c>
    </row>
    <row r="2969" spans="1:14">
      <c r="A2969" s="8" t="s">
        <v>2981</v>
      </c>
      <c r="B2969" s="2">
        <f>HYPERLINK("https://www.suredividend.com/sure-analysis-research-database/","Veoneer Inc")</f>
        <v>0</v>
      </c>
      <c r="C2969" s="1" t="s">
        <v>3182</v>
      </c>
      <c r="D2969" s="3">
        <v>36.95</v>
      </c>
      <c r="E2969" s="4">
        <v>0</v>
      </c>
      <c r="F2969" s="4" t="s">
        <v>3178</v>
      </c>
      <c r="G2969" s="4" t="s">
        <v>3178</v>
      </c>
      <c r="H2969" s="3">
        <v>0</v>
      </c>
      <c r="I2969" s="5">
        <v>4139.111103</v>
      </c>
      <c r="J2969" s="6">
        <v>0</v>
      </c>
      <c r="K2969" s="4" t="s">
        <v>3178</v>
      </c>
      <c r="L2969" s="7">
        <v>0.737299370288464</v>
      </c>
      <c r="M2969" s="3">
        <v>40.46</v>
      </c>
      <c r="N2969" s="3">
        <v>19.28</v>
      </c>
    </row>
    <row r="2970" spans="1:14">
      <c r="A2970" s="8" t="s">
        <v>2982</v>
      </c>
      <c r="B2970" s="2">
        <f>HYPERLINK("https://www.suredividend.com/sure-analysis-VNO/","Vornado Realty Trust")</f>
        <v>0</v>
      </c>
      <c r="C2970" s="1" t="s">
        <v>3183</v>
      </c>
      <c r="D2970" s="3">
        <v>24.22</v>
      </c>
      <c r="E2970" s="4">
        <v>0.02890173410404624</v>
      </c>
      <c r="F2970" s="4" t="s">
        <v>3178</v>
      </c>
      <c r="G2970" s="4" t="s">
        <v>3178</v>
      </c>
      <c r="H2970" s="3">
        <v>0.300000011920928</v>
      </c>
      <c r="I2970" s="5">
        <v>4613.508336</v>
      </c>
      <c r="J2970" s="6">
        <v>158.1322480041131</v>
      </c>
      <c r="K2970" s="4">
        <v>1.924310531885362</v>
      </c>
      <c r="L2970" s="7">
        <v>2.33302624397051</v>
      </c>
      <c r="M2970" s="3">
        <v>32.21</v>
      </c>
      <c r="N2970" s="3">
        <v>14.31</v>
      </c>
    </row>
    <row r="2971" spans="1:14">
      <c r="A2971" s="8" t="s">
        <v>2983</v>
      </c>
      <c r="B2971" s="2">
        <f>HYPERLINK("https://www.suredividend.com/sure-analysis-research-database/","VolitionRX Ltd")</f>
        <v>0</v>
      </c>
      <c r="C2971" s="1" t="s">
        <v>3176</v>
      </c>
      <c r="D2971" s="3">
        <v>0.6799000000000001</v>
      </c>
      <c r="E2971" s="4">
        <v>0</v>
      </c>
      <c r="F2971" s="4" t="s">
        <v>3178</v>
      </c>
      <c r="G2971" s="4" t="s">
        <v>3178</v>
      </c>
      <c r="H2971" s="3">
        <v>0</v>
      </c>
      <c r="I2971" s="5">
        <v>56.312361</v>
      </c>
      <c r="J2971" s="6" t="s">
        <v>3178</v>
      </c>
      <c r="K2971" s="4">
        <v>-0</v>
      </c>
      <c r="L2971" s="7">
        <v>-0.115685085982304</v>
      </c>
      <c r="M2971" s="3">
        <v>1.79</v>
      </c>
      <c r="N2971" s="3">
        <v>0.55</v>
      </c>
    </row>
    <row r="2972" spans="1:14">
      <c r="A2972" s="8" t="s">
        <v>2984</v>
      </c>
      <c r="B2972" s="2">
        <f>HYPERLINK("https://www.suredividend.com/sure-analysis-research-database/","Venator Materials PLC")</f>
        <v>0</v>
      </c>
      <c r="C2972" s="1" t="s">
        <v>3177</v>
      </c>
      <c r="D2972" s="3">
        <v>0.2687</v>
      </c>
      <c r="E2972" s="4">
        <v>0</v>
      </c>
      <c r="F2972" s="4" t="s">
        <v>3178</v>
      </c>
      <c r="G2972" s="4" t="s">
        <v>3178</v>
      </c>
      <c r="H2972" s="3">
        <v>0</v>
      </c>
      <c r="I2972" s="5">
        <v>0</v>
      </c>
      <c r="J2972" s="6">
        <v>0</v>
      </c>
      <c r="K2972" s="4" t="s">
        <v>3178</v>
      </c>
    </row>
    <row r="2973" spans="1:14">
      <c r="A2973" s="8" t="s">
        <v>2985</v>
      </c>
      <c r="B2973" s="2">
        <f>HYPERLINK("https://www.suredividend.com/sure-analysis-research-database/","VOXX International Corp")</f>
        <v>0</v>
      </c>
      <c r="C2973" s="1" t="s">
        <v>3182</v>
      </c>
      <c r="D2973" s="3">
        <v>3.6</v>
      </c>
      <c r="E2973" s="4">
        <v>0</v>
      </c>
      <c r="F2973" s="4" t="s">
        <v>3178</v>
      </c>
      <c r="G2973" s="4" t="s">
        <v>3178</v>
      </c>
      <c r="H2973" s="3">
        <v>0</v>
      </c>
      <c r="I2973" s="5">
        <v>73.01211499999999</v>
      </c>
      <c r="J2973" s="6" t="s">
        <v>3178</v>
      </c>
      <c r="K2973" s="4">
        <v>-0</v>
      </c>
      <c r="L2973" s="7">
        <v>1.448729750128933</v>
      </c>
      <c r="M2973" s="3">
        <v>13.23</v>
      </c>
      <c r="N2973" s="3">
        <v>3.34</v>
      </c>
    </row>
    <row r="2974" spans="1:14">
      <c r="A2974" s="8" t="s">
        <v>2986</v>
      </c>
      <c r="B2974" s="2">
        <f>HYPERLINK("https://www.suredividend.com/sure-analysis-research-database/","Voya Financial Inc")</f>
        <v>0</v>
      </c>
      <c r="C2974" s="1" t="s">
        <v>3180</v>
      </c>
      <c r="D2974" s="3">
        <v>74.26000000000001</v>
      </c>
      <c r="E2974" s="4">
        <v>0.021364829154915</v>
      </c>
      <c r="F2974" s="4">
        <v>0</v>
      </c>
      <c r="G2974" s="4">
        <v>0.2167286837864115</v>
      </c>
      <c r="H2974" s="3">
        <v>1.586552213044051</v>
      </c>
      <c r="I2974" s="5">
        <v>7478.071409</v>
      </c>
      <c r="J2974" s="6">
        <v>9.917866590238727</v>
      </c>
      <c r="K2974" s="4">
        <v>0.226326991875043</v>
      </c>
      <c r="L2974" s="7">
        <v>0.7329375152076041</v>
      </c>
      <c r="M2974" s="3">
        <v>76.75</v>
      </c>
      <c r="N2974" s="3">
        <v>61.96</v>
      </c>
    </row>
    <row r="2975" spans="1:14">
      <c r="A2975" s="8" t="s">
        <v>2987</v>
      </c>
      <c r="B2975" s="2">
        <f>HYPERLINK("https://www.suredividend.com/sure-analysis-research-database/","Vishay Precision Group Inc")</f>
        <v>0</v>
      </c>
      <c r="C2975" s="1" t="s">
        <v>3181</v>
      </c>
      <c r="D2975" s="3">
        <v>32.44</v>
      </c>
      <c r="E2975" s="4">
        <v>0</v>
      </c>
      <c r="F2975" s="4" t="s">
        <v>3178</v>
      </c>
      <c r="G2975" s="4" t="s">
        <v>3178</v>
      </c>
      <c r="H2975" s="3">
        <v>0</v>
      </c>
      <c r="I2975" s="5">
        <v>400.018808</v>
      </c>
      <c r="J2975" s="6">
        <v>0</v>
      </c>
      <c r="K2975" s="4" t="s">
        <v>3178</v>
      </c>
      <c r="L2975" s="7">
        <v>1.016603442805569</v>
      </c>
      <c r="M2975" s="3">
        <v>38.56</v>
      </c>
      <c r="N2975" s="3">
        <v>27.94</v>
      </c>
    </row>
    <row r="2976" spans="1:14">
      <c r="A2976" s="8" t="s">
        <v>2988</v>
      </c>
      <c r="B2976" s="2">
        <f>HYPERLINK("https://www.suredividend.com/sure-analysis-research-database/","Vera Bradley Inc")</f>
        <v>0</v>
      </c>
      <c r="C2976" s="1" t="s">
        <v>3182</v>
      </c>
      <c r="D2976" s="3">
        <v>7.81</v>
      </c>
      <c r="E2976" s="4">
        <v>0</v>
      </c>
      <c r="F2976" s="4" t="s">
        <v>3178</v>
      </c>
      <c r="G2976" s="4" t="s">
        <v>3178</v>
      </c>
      <c r="H2976" s="3">
        <v>0</v>
      </c>
      <c r="I2976" s="5">
        <v>240.212162</v>
      </c>
      <c r="J2976" s="6">
        <v>30.64712454580249</v>
      </c>
      <c r="K2976" s="4">
        <v>0</v>
      </c>
      <c r="L2976" s="7">
        <v>1.091823048795666</v>
      </c>
      <c r="M2976" s="3">
        <v>8.35</v>
      </c>
      <c r="N2976" s="3">
        <v>5.8</v>
      </c>
    </row>
    <row r="2977" spans="1:14">
      <c r="A2977" s="8" t="s">
        <v>2989</v>
      </c>
      <c r="B2977" s="2">
        <f>HYPERLINK("https://www.suredividend.com/sure-analysis-research-database/","ViewRay Inc.")</f>
        <v>0</v>
      </c>
      <c r="C2977" s="1" t="s">
        <v>3176</v>
      </c>
      <c r="E2977" s="4">
        <v>0</v>
      </c>
      <c r="F2977" s="4" t="s">
        <v>3178</v>
      </c>
      <c r="G2977" s="4" t="s">
        <v>3178</v>
      </c>
      <c r="H2977" s="3">
        <v>0</v>
      </c>
      <c r="I2977" s="5">
        <v>0</v>
      </c>
      <c r="J2977" s="6">
        <v>0</v>
      </c>
      <c r="K2977" s="4" t="s">
        <v>3178</v>
      </c>
    </row>
    <row r="2978" spans="1:14">
      <c r="A2978" s="8" t="s">
        <v>2990</v>
      </c>
      <c r="B2978" s="2">
        <f>HYPERLINK("https://www.suredividend.com/sure-analysis-research-database/","Varex Imaging Corp")</f>
        <v>0</v>
      </c>
      <c r="C2978" s="1" t="s">
        <v>3176</v>
      </c>
      <c r="D2978" s="3">
        <v>15.18</v>
      </c>
      <c r="E2978" s="4">
        <v>0</v>
      </c>
      <c r="F2978" s="4" t="s">
        <v>3178</v>
      </c>
      <c r="G2978" s="4" t="s">
        <v>3178</v>
      </c>
      <c r="H2978" s="3">
        <v>0</v>
      </c>
      <c r="I2978" s="5">
        <v>620.862</v>
      </c>
      <c r="J2978" s="6">
        <v>14.81770883054892</v>
      </c>
      <c r="K2978" s="4">
        <v>0</v>
      </c>
      <c r="L2978" s="7">
        <v>0.828284706432017</v>
      </c>
      <c r="M2978" s="3">
        <v>23.9</v>
      </c>
      <c r="N2978" s="3">
        <v>14.55</v>
      </c>
    </row>
    <row r="2979" spans="1:14">
      <c r="A2979" s="8" t="s">
        <v>2991</v>
      </c>
      <c r="B2979" s="2">
        <f>HYPERLINK("https://www.suredividend.com/sure-analysis-research-database/","Varonis Systems Inc")</f>
        <v>0</v>
      </c>
      <c r="C2979" s="1" t="s">
        <v>3181</v>
      </c>
      <c r="D2979" s="3">
        <v>42.36</v>
      </c>
      <c r="E2979" s="4">
        <v>0</v>
      </c>
      <c r="F2979" s="4" t="s">
        <v>3178</v>
      </c>
      <c r="G2979" s="4" t="s">
        <v>3178</v>
      </c>
      <c r="H2979" s="3">
        <v>0</v>
      </c>
      <c r="I2979" s="5">
        <v>4723.275976</v>
      </c>
      <c r="J2979" s="6" t="s">
        <v>3178</v>
      </c>
      <c r="K2979" s="4">
        <v>-0</v>
      </c>
      <c r="L2979" s="7">
        <v>1.445302405709666</v>
      </c>
      <c r="M2979" s="3">
        <v>52.88</v>
      </c>
      <c r="N2979" s="3">
        <v>24.66</v>
      </c>
    </row>
    <row r="2980" spans="1:14">
      <c r="A2980" s="8" t="s">
        <v>2992</v>
      </c>
      <c r="B2980" s="2">
        <f>HYPERLINK("https://www.suredividend.com/sure-analysis-research-database/","Verint Systems, Inc.")</f>
        <v>0</v>
      </c>
      <c r="C2980" s="1" t="s">
        <v>3181</v>
      </c>
      <c r="D2980" s="3">
        <v>36.78</v>
      </c>
      <c r="E2980" s="4">
        <v>0</v>
      </c>
      <c r="F2980" s="4" t="s">
        <v>3178</v>
      </c>
      <c r="G2980" s="4" t="s">
        <v>3178</v>
      </c>
      <c r="H2980" s="3">
        <v>0</v>
      </c>
      <c r="I2980" s="5">
        <v>2269.847761</v>
      </c>
      <c r="J2980" s="6">
        <v>76.28201912488238</v>
      </c>
      <c r="K2980" s="4">
        <v>0</v>
      </c>
      <c r="L2980" s="7">
        <v>1.871243358019425</v>
      </c>
      <c r="M2980" s="3">
        <v>40.28</v>
      </c>
      <c r="N2980" s="3">
        <v>18.41</v>
      </c>
    </row>
    <row r="2981" spans="1:14">
      <c r="A2981" s="8" t="s">
        <v>2993</v>
      </c>
      <c r="B2981" s="2">
        <f>HYPERLINK("https://www.suredividend.com/sure-analysis-research-database/","Verra Mobility Corp")</f>
        <v>0</v>
      </c>
      <c r="C2981" s="1" t="s">
        <v>3179</v>
      </c>
      <c r="D2981" s="3">
        <v>25.82</v>
      </c>
      <c r="E2981" s="4">
        <v>0</v>
      </c>
      <c r="F2981" s="4" t="s">
        <v>3178</v>
      </c>
      <c r="G2981" s="4" t="s">
        <v>3178</v>
      </c>
      <c r="H2981" s="3">
        <v>0</v>
      </c>
      <c r="I2981" s="5">
        <v>4299.669716</v>
      </c>
      <c r="J2981" s="6">
        <v>52.70042673857355</v>
      </c>
      <c r="K2981" s="4">
        <v>0</v>
      </c>
      <c r="L2981" s="7">
        <v>0.8205614793458691</v>
      </c>
      <c r="M2981" s="3">
        <v>28.46</v>
      </c>
      <c r="N2981" s="3">
        <v>17.04</v>
      </c>
    </row>
    <row r="2982" spans="1:14">
      <c r="A2982" s="8" t="s">
        <v>2994</v>
      </c>
      <c r="B2982" s="2">
        <f>HYPERLINK("https://www.suredividend.com/sure-analysis-research-database/","Verso Corp")</f>
        <v>0</v>
      </c>
      <c r="C2982" s="1" t="s">
        <v>3177</v>
      </c>
      <c r="D2982" s="3">
        <v>26.99</v>
      </c>
      <c r="E2982" s="4">
        <v>0.011060929415307</v>
      </c>
      <c r="F2982" s="4" t="s">
        <v>3178</v>
      </c>
      <c r="G2982" s="4" t="s">
        <v>3178</v>
      </c>
      <c r="H2982" s="3">
        <v>0.298534484919161</v>
      </c>
      <c r="I2982" s="5">
        <v>786.882114</v>
      </c>
      <c r="J2982" s="6">
        <v>0</v>
      </c>
      <c r="K2982" s="4" t="s">
        <v>3178</v>
      </c>
      <c r="L2982" s="7">
        <v>0.239328693063605</v>
      </c>
      <c r="M2982" s="3">
        <v>27.29</v>
      </c>
      <c r="N2982" s="3">
        <v>14.28</v>
      </c>
    </row>
    <row r="2983" spans="1:14">
      <c r="A2983" s="8" t="s">
        <v>2995</v>
      </c>
      <c r="B2983" s="2">
        <f>HYPERLINK("https://www.suredividend.com/sure-analysis-VRSK/","Verisk Analytics Inc")</f>
        <v>0</v>
      </c>
      <c r="C2983" s="1" t="s">
        <v>3179</v>
      </c>
      <c r="D2983" s="3">
        <v>264</v>
      </c>
      <c r="E2983" s="4">
        <v>0.005909090909090909</v>
      </c>
      <c r="F2983" s="4">
        <v>0.1470588235294117</v>
      </c>
      <c r="G2983" s="4">
        <v>0.09301197394385863</v>
      </c>
      <c r="H2983" s="3">
        <v>1.403839772724615</v>
      </c>
      <c r="I2983" s="5">
        <v>37666.262568</v>
      </c>
      <c r="J2983" s="6">
        <v>48.42044294639414</v>
      </c>
      <c r="K2983" s="4">
        <v>0.26191040535907</v>
      </c>
      <c r="L2983" s="7">
        <v>0.52834358487398</v>
      </c>
      <c r="M2983" s="3">
        <v>264.14</v>
      </c>
      <c r="N2983" s="3">
        <v>213.67</v>
      </c>
    </row>
    <row r="2984" spans="1:14">
      <c r="A2984" s="8" t="s">
        <v>2996</v>
      </c>
      <c r="B2984" s="2">
        <f>HYPERLINK("https://www.suredividend.com/sure-analysis-research-database/","Verisign Inc.")</f>
        <v>0</v>
      </c>
      <c r="C2984" s="1" t="s">
        <v>3181</v>
      </c>
      <c r="D2984" s="3">
        <v>180.46</v>
      </c>
      <c r="E2984" s="4">
        <v>0</v>
      </c>
      <c r="F2984" s="4" t="s">
        <v>3178</v>
      </c>
      <c r="G2984" s="4" t="s">
        <v>3178</v>
      </c>
      <c r="H2984" s="3">
        <v>0</v>
      </c>
      <c r="I2984" s="5">
        <v>17973.816</v>
      </c>
      <c r="J2984" s="6">
        <v>21.57721008403361</v>
      </c>
      <c r="K2984" s="4">
        <v>0</v>
      </c>
      <c r="L2984" s="7">
        <v>0.62659450526641</v>
      </c>
      <c r="M2984" s="3">
        <v>226.8</v>
      </c>
      <c r="N2984" s="3">
        <v>167.05</v>
      </c>
    </row>
    <row r="2985" spans="1:14">
      <c r="A2985" s="8" t="s">
        <v>2997</v>
      </c>
      <c r="B2985" s="2">
        <f>HYPERLINK("https://www.suredividend.com/sure-analysis-research-database/","Virtus Investment Partners Inc")</f>
        <v>0</v>
      </c>
      <c r="C2985" s="1" t="s">
        <v>3180</v>
      </c>
      <c r="D2985" s="3">
        <v>218</v>
      </c>
      <c r="E2985" s="4">
        <v>0.017286225259169</v>
      </c>
      <c r="F2985" s="4">
        <v>0.1515151515151516</v>
      </c>
      <c r="G2985" s="4">
        <v>0.2813807114396103</v>
      </c>
      <c r="H2985" s="3">
        <v>3.768397106498888</v>
      </c>
      <c r="I2985" s="5">
        <v>1553.878058</v>
      </c>
      <c r="J2985" s="6">
        <v>12.75186129416109</v>
      </c>
      <c r="K2985" s="4">
        <v>0.2271487104580403</v>
      </c>
      <c r="L2985" s="7">
        <v>1.263587011047006</v>
      </c>
      <c r="M2985" s="3">
        <v>259.01</v>
      </c>
      <c r="N2985" s="3">
        <v>159.86</v>
      </c>
    </row>
    <row r="2986" spans="1:14">
      <c r="A2986" s="8" t="s">
        <v>2998</v>
      </c>
      <c r="B2986" s="2">
        <f>HYPERLINK("https://www.suredividend.com/sure-analysis-research-database/","Virtusa Corp")</f>
        <v>0</v>
      </c>
      <c r="C2986" s="1" t="s">
        <v>3181</v>
      </c>
      <c r="D2986" s="3">
        <v>51.325</v>
      </c>
      <c r="E2986" s="4">
        <v>0</v>
      </c>
      <c r="F2986" s="4" t="s">
        <v>3178</v>
      </c>
      <c r="G2986" s="4" t="s">
        <v>3178</v>
      </c>
      <c r="H2986" s="3">
        <v>0</v>
      </c>
      <c r="I2986" s="5">
        <v>0</v>
      </c>
      <c r="J2986" s="6">
        <v>0</v>
      </c>
      <c r="K2986" s="4">
        <v>0</v>
      </c>
    </row>
    <row r="2987" spans="1:14">
      <c r="A2987" s="8" t="s">
        <v>2999</v>
      </c>
      <c r="B2987" s="2">
        <f>HYPERLINK("https://www.suredividend.com/sure-analysis-research-database/","Veritiv Corp")</f>
        <v>0</v>
      </c>
      <c r="C2987" s="1" t="s">
        <v>3179</v>
      </c>
      <c r="D2987" s="3">
        <v>169.99</v>
      </c>
      <c r="E2987" s="4">
        <v>0.011068667902938</v>
      </c>
      <c r="F2987" s="4" t="s">
        <v>3178</v>
      </c>
      <c r="G2987" s="4" t="s">
        <v>3178</v>
      </c>
      <c r="H2987" s="3">
        <v>1.881562856820443</v>
      </c>
      <c r="I2987" s="5">
        <v>2306.307027</v>
      </c>
      <c r="J2987" s="6">
        <v>8.485309149742459</v>
      </c>
      <c r="K2987" s="4">
        <v>0.09512451247828327</v>
      </c>
      <c r="M2987" s="3">
        <v>170.02</v>
      </c>
      <c r="N2987" s="3">
        <v>101.12</v>
      </c>
    </row>
    <row r="2988" spans="1:14">
      <c r="A2988" s="8" t="s">
        <v>3000</v>
      </c>
      <c r="B2988" s="2">
        <f>HYPERLINK("https://www.suredividend.com/sure-analysis-research-database/","Vertex Pharmaceuticals, Inc.")</f>
        <v>0</v>
      </c>
      <c r="C2988" s="1" t="s">
        <v>3176</v>
      </c>
      <c r="D2988" s="3">
        <v>483.04</v>
      </c>
      <c r="E2988" s="4">
        <v>0</v>
      </c>
      <c r="F2988" s="4" t="s">
        <v>3178</v>
      </c>
      <c r="G2988" s="4" t="s">
        <v>3178</v>
      </c>
      <c r="H2988" s="3">
        <v>0</v>
      </c>
      <c r="I2988" s="5">
        <v>124650.108056</v>
      </c>
      <c r="J2988" s="6">
        <v>31.01211824065284</v>
      </c>
      <c r="K2988" s="4">
        <v>0</v>
      </c>
      <c r="L2988" s="7">
        <v>0.6792481343950141</v>
      </c>
      <c r="M2988" s="3">
        <v>486.43</v>
      </c>
      <c r="N2988" s="3">
        <v>331.87</v>
      </c>
    </row>
    <row r="2989" spans="1:14">
      <c r="A2989" s="8" t="s">
        <v>3001</v>
      </c>
      <c r="B2989" s="2">
        <f>HYPERLINK("https://www.suredividend.com/sure-analysis-research-database/","Viasat, Inc.")</f>
        <v>0</v>
      </c>
      <c r="C2989" s="1" t="s">
        <v>3181</v>
      </c>
      <c r="D2989" s="3">
        <v>16.09</v>
      </c>
      <c r="E2989" s="4">
        <v>0</v>
      </c>
      <c r="F2989" s="4" t="s">
        <v>3178</v>
      </c>
      <c r="G2989" s="4" t="s">
        <v>3178</v>
      </c>
      <c r="H2989" s="3">
        <v>0</v>
      </c>
      <c r="I2989" s="5">
        <v>2025.102283</v>
      </c>
      <c r="J2989" s="6" t="s">
        <v>3178</v>
      </c>
      <c r="K2989" s="4">
        <v>-0</v>
      </c>
      <c r="L2989" s="7">
        <v>1.624786165152155</v>
      </c>
      <c r="M2989" s="3">
        <v>45.8</v>
      </c>
      <c r="N2989" s="3">
        <v>13.8</v>
      </c>
    </row>
    <row r="2990" spans="1:14">
      <c r="A2990" s="8" t="s">
        <v>3002</v>
      </c>
      <c r="B2990" s="2">
        <f>HYPERLINK("https://www.suredividend.com/sure-analysis-research-database/","VSE Corp.")</f>
        <v>0</v>
      </c>
      <c r="C2990" s="1" t="s">
        <v>3179</v>
      </c>
      <c r="D2990" s="3">
        <v>82.02</v>
      </c>
      <c r="E2990" s="4">
        <v>0.004854620600339</v>
      </c>
      <c r="F2990" s="4">
        <v>0</v>
      </c>
      <c r="G2990" s="4">
        <v>0.02129568760013512</v>
      </c>
      <c r="H2990" s="3">
        <v>0.3981759816398701</v>
      </c>
      <c r="I2990" s="5">
        <v>1310.909748</v>
      </c>
      <c r="J2990" s="6">
        <v>56.00742322994104</v>
      </c>
      <c r="K2990" s="4">
        <v>0.2536152749298535</v>
      </c>
      <c r="L2990" s="7">
        <v>1.261357615645838</v>
      </c>
      <c r="M2990" s="3">
        <v>86.26000000000001</v>
      </c>
      <c r="N2990" s="3">
        <v>48</v>
      </c>
    </row>
    <row r="2991" spans="1:14">
      <c r="A2991" s="8" t="s">
        <v>3003</v>
      </c>
      <c r="B2991" s="2">
        <f>HYPERLINK("https://www.suredividend.com/sure-analysis-research-database/","Vishay Intertechnology, Inc.")</f>
        <v>0</v>
      </c>
      <c r="C2991" s="1" t="s">
        <v>3181</v>
      </c>
      <c r="D2991" s="3">
        <v>22.63</v>
      </c>
      <c r="E2991" s="4">
        <v>0.017564463511662</v>
      </c>
      <c r="F2991" s="4">
        <v>0</v>
      </c>
      <c r="G2991" s="4">
        <v>0.01031145931793609</v>
      </c>
      <c r="H2991" s="3">
        <v>0.397483809268931</v>
      </c>
      <c r="I2991" s="5">
        <v>2831.919513</v>
      </c>
      <c r="J2991" s="6">
        <v>11.65576450957553</v>
      </c>
      <c r="K2991" s="4">
        <v>0.2284389708442132</v>
      </c>
      <c r="L2991" s="7">
        <v>1.293471419450546</v>
      </c>
      <c r="M2991" s="3">
        <v>29.73</v>
      </c>
      <c r="N2991" s="3">
        <v>20.83</v>
      </c>
    </row>
    <row r="2992" spans="1:14">
      <c r="A2992" s="8" t="s">
        <v>3004</v>
      </c>
      <c r="B2992" s="2">
        <f>HYPERLINK("https://www.suredividend.com/sure-analysis-VST/","Vistra Corp")</f>
        <v>0</v>
      </c>
      <c r="C2992" s="1" t="s">
        <v>3186</v>
      </c>
      <c r="D2992" s="3">
        <v>85.06999999999999</v>
      </c>
      <c r="E2992" s="4">
        <v>0.01010932173504173</v>
      </c>
      <c r="F2992" s="4">
        <v>0.08860759493670889</v>
      </c>
      <c r="G2992" s="4">
        <v>0.1145657399648676</v>
      </c>
      <c r="H2992" s="3">
        <v>0.832308025845883</v>
      </c>
      <c r="I2992" s="5">
        <v>29558.422285</v>
      </c>
      <c r="J2992" s="6">
        <v>22.00924965381236</v>
      </c>
      <c r="K2992" s="4">
        <v>0.232488275375945</v>
      </c>
      <c r="L2992" s="7">
        <v>0.901023814229249</v>
      </c>
      <c r="M2992" s="3">
        <v>107.24</v>
      </c>
      <c r="N2992" s="3">
        <v>24.03</v>
      </c>
    </row>
    <row r="2993" spans="1:14">
      <c r="A2993" s="8" t="s">
        <v>3005</v>
      </c>
      <c r="B2993" s="2">
        <f>HYPERLINK("https://www.suredividend.com/sure-analysis-research-database/","Verastem Inc")</f>
        <v>0</v>
      </c>
      <c r="C2993" s="1" t="s">
        <v>3176</v>
      </c>
      <c r="D2993" s="3">
        <v>3.4</v>
      </c>
      <c r="E2993" s="4">
        <v>0</v>
      </c>
      <c r="F2993" s="4" t="s">
        <v>3178</v>
      </c>
      <c r="G2993" s="4" t="s">
        <v>3178</v>
      </c>
      <c r="H2993" s="3">
        <v>0</v>
      </c>
      <c r="I2993" s="5">
        <v>86.10687299999999</v>
      </c>
      <c r="J2993" s="6">
        <v>0</v>
      </c>
      <c r="K2993" s="4" t="s">
        <v>3178</v>
      </c>
      <c r="L2993" s="7">
        <v>0.9900637327540491</v>
      </c>
      <c r="M2993" s="3">
        <v>14.22</v>
      </c>
      <c r="N2993" s="3">
        <v>3.39</v>
      </c>
    </row>
    <row r="2994" spans="1:14">
      <c r="A2994" s="8" t="s">
        <v>3006</v>
      </c>
      <c r="B2994" s="2">
        <f>HYPERLINK("https://www.suredividend.com/sure-analysis-research-database/","Vista Outdoor Inc")</f>
        <v>0</v>
      </c>
      <c r="C2994" s="1" t="s">
        <v>3182</v>
      </c>
      <c r="D2994" s="3">
        <v>35.78</v>
      </c>
      <c r="E2994" s="4">
        <v>0</v>
      </c>
      <c r="F2994" s="4" t="s">
        <v>3178</v>
      </c>
      <c r="G2994" s="4" t="s">
        <v>3178</v>
      </c>
      <c r="H2994" s="3">
        <v>0</v>
      </c>
      <c r="I2994" s="5">
        <v>2087.261901</v>
      </c>
      <c r="J2994" s="6" t="s">
        <v>3178</v>
      </c>
      <c r="K2994" s="4">
        <v>-0</v>
      </c>
      <c r="L2994" s="7">
        <v>0.5867348950367021</v>
      </c>
      <c r="M2994" s="3">
        <v>36.37</v>
      </c>
      <c r="N2994" s="3">
        <v>23.33</v>
      </c>
    </row>
    <row r="2995" spans="1:14">
      <c r="A2995" s="8" t="s">
        <v>3007</v>
      </c>
      <c r="B2995" s="2">
        <f>HYPERLINK("https://www.suredividend.com/sure-analysis-research-database/","Vertex Energy Inc")</f>
        <v>0</v>
      </c>
      <c r="C2995" s="1" t="s">
        <v>3185</v>
      </c>
      <c r="D2995" s="3">
        <v>1.01</v>
      </c>
      <c r="E2995" s="4">
        <v>0</v>
      </c>
      <c r="F2995" s="4" t="s">
        <v>3178</v>
      </c>
      <c r="G2995" s="4" t="s">
        <v>3178</v>
      </c>
      <c r="H2995" s="3">
        <v>0</v>
      </c>
      <c r="I2995" s="5">
        <v>94.449489</v>
      </c>
      <c r="J2995" s="6">
        <v>0</v>
      </c>
      <c r="K2995" s="4" t="s">
        <v>3178</v>
      </c>
      <c r="L2995" s="7">
        <v>1.539478489128847</v>
      </c>
      <c r="M2995" s="3">
        <v>6.82</v>
      </c>
      <c r="N2995" s="3">
        <v>0.9500000000000001</v>
      </c>
    </row>
    <row r="2996" spans="1:14">
      <c r="A2996" s="8" t="s">
        <v>3008</v>
      </c>
      <c r="B2996" s="2">
        <f>HYPERLINK("https://www.suredividend.com/sure-analysis-VTR/","Ventas Inc")</f>
        <v>0</v>
      </c>
      <c r="C2996" s="1" t="s">
        <v>3183</v>
      </c>
      <c r="D2996" s="3">
        <v>49.71</v>
      </c>
      <c r="E2996" s="4">
        <v>0.03621001810500905</v>
      </c>
      <c r="F2996" s="4">
        <v>0</v>
      </c>
      <c r="G2996" s="4">
        <v>-0.1070181156534039</v>
      </c>
      <c r="H2996" s="3">
        <v>1.773502218003893</v>
      </c>
      <c r="I2996" s="5">
        <v>20121.30351</v>
      </c>
      <c r="J2996" s="6" t="s">
        <v>3178</v>
      </c>
      <c r="K2996" s="4" t="s">
        <v>3178</v>
      </c>
      <c r="L2996" s="7">
        <v>1.000319505795986</v>
      </c>
      <c r="M2996" s="3">
        <v>50.49</v>
      </c>
      <c r="N2996" s="3">
        <v>38.58</v>
      </c>
    </row>
    <row r="2997" spans="1:14">
      <c r="A2997" s="8" t="s">
        <v>3009</v>
      </c>
      <c r="B2997" s="2">
        <f>HYPERLINK("https://www.suredividend.com/sure-analysis-research-database/","vTv Therapeutics Inc")</f>
        <v>0</v>
      </c>
      <c r="C2997" s="1" t="s">
        <v>3176</v>
      </c>
      <c r="D2997" s="3">
        <v>17.1</v>
      </c>
      <c r="E2997" s="4">
        <v>0</v>
      </c>
      <c r="F2997" s="4" t="s">
        <v>3178</v>
      </c>
      <c r="G2997" s="4" t="s">
        <v>3178</v>
      </c>
      <c r="H2997" s="3">
        <v>0</v>
      </c>
      <c r="I2997" s="5">
        <v>41.601855</v>
      </c>
      <c r="J2997" s="6">
        <v>0</v>
      </c>
      <c r="K2997" s="4" t="s">
        <v>3178</v>
      </c>
      <c r="L2997" s="7">
        <v>0.149218762845958</v>
      </c>
      <c r="M2997" s="3">
        <v>34</v>
      </c>
      <c r="N2997" s="3">
        <v>7.38</v>
      </c>
    </row>
    <row r="2998" spans="1:14">
      <c r="A2998" s="8" t="s">
        <v>3010</v>
      </c>
      <c r="B2998" s="2">
        <f>HYPERLINK("https://www.suredividend.com/sure-analysis-research-database/","Vuzix Corporation")</f>
        <v>0</v>
      </c>
      <c r="C2998" s="1" t="s">
        <v>3181</v>
      </c>
      <c r="D2998" s="3">
        <v>1.37</v>
      </c>
      <c r="E2998" s="4">
        <v>0</v>
      </c>
      <c r="F2998" s="4" t="s">
        <v>3178</v>
      </c>
      <c r="G2998" s="4" t="s">
        <v>3178</v>
      </c>
      <c r="H2998" s="3">
        <v>0</v>
      </c>
      <c r="I2998" s="5">
        <v>88.674746</v>
      </c>
      <c r="J2998" s="6">
        <v>0</v>
      </c>
      <c r="K2998" s="4" t="s">
        <v>3178</v>
      </c>
      <c r="L2998" s="7">
        <v>2.023198231304045</v>
      </c>
      <c r="M2998" s="3">
        <v>6.06</v>
      </c>
      <c r="N2998" s="3">
        <v>1.1</v>
      </c>
    </row>
    <row r="2999" spans="1:14">
      <c r="A2999" s="8" t="s">
        <v>3011</v>
      </c>
      <c r="B2999" s="2">
        <f>HYPERLINK("https://www.suredividend.com/sure-analysis-research-database/","Viad Corp.")</f>
        <v>0</v>
      </c>
      <c r="C2999" s="1" t="s">
        <v>3179</v>
      </c>
      <c r="D2999" s="3">
        <v>34.03</v>
      </c>
      <c r="E2999" s="4">
        <v>0</v>
      </c>
      <c r="F2999" s="4" t="s">
        <v>3178</v>
      </c>
      <c r="G2999" s="4" t="s">
        <v>3178</v>
      </c>
      <c r="H2999" s="3">
        <v>0</v>
      </c>
      <c r="I2999" s="5">
        <v>718.991319</v>
      </c>
      <c r="J2999" s="6">
        <v>364.0462373822785</v>
      </c>
      <c r="K2999" s="4">
        <v>0</v>
      </c>
      <c r="L2999" s="7">
        <v>1.152354199173916</v>
      </c>
      <c r="M2999" s="3">
        <v>39.98</v>
      </c>
      <c r="N2999" s="3">
        <v>22.72</v>
      </c>
    </row>
    <row r="3000" spans="1:14">
      <c r="A3000" s="8" t="s">
        <v>3012</v>
      </c>
      <c r="B3000" s="2">
        <f>HYPERLINK("https://www.suredividend.com/sure-analysis-research-database/","Valvoline Inc")</f>
        <v>0</v>
      </c>
      <c r="C3000" s="1" t="s">
        <v>3185</v>
      </c>
      <c r="D3000" s="3">
        <v>40.93</v>
      </c>
      <c r="E3000" s="4">
        <v>0</v>
      </c>
      <c r="F3000" s="4" t="s">
        <v>3178</v>
      </c>
      <c r="G3000" s="4" t="s">
        <v>3178</v>
      </c>
      <c r="H3000" s="3">
        <v>0</v>
      </c>
      <c r="I3000" s="5">
        <v>5274.027701</v>
      </c>
      <c r="J3000" s="6">
        <v>3.850498430853472</v>
      </c>
      <c r="K3000" s="4">
        <v>0</v>
      </c>
      <c r="L3000" s="7">
        <v>0.867720680054168</v>
      </c>
      <c r="M3000" s="3">
        <v>45.37</v>
      </c>
      <c r="N3000" s="3">
        <v>29.15</v>
      </c>
    </row>
    <row r="3001" spans="1:14">
      <c r="A3001" s="8" t="s">
        <v>3013</v>
      </c>
      <c r="B3001" s="2">
        <f>HYPERLINK("https://www.suredividend.com/sure-analysis-research-database/","Vaxart Inc")</f>
        <v>0</v>
      </c>
      <c r="C3001" s="1" t="s">
        <v>3176</v>
      </c>
      <c r="D3001" s="3">
        <v>0.7713</v>
      </c>
      <c r="E3001" s="4">
        <v>0</v>
      </c>
      <c r="F3001" s="4" t="s">
        <v>3178</v>
      </c>
      <c r="G3001" s="4" t="s">
        <v>3178</v>
      </c>
      <c r="H3001" s="3">
        <v>0</v>
      </c>
      <c r="I3001" s="5">
        <v>136.395158</v>
      </c>
      <c r="J3001" s="6" t="s">
        <v>3178</v>
      </c>
      <c r="K3001" s="4">
        <v>-0</v>
      </c>
      <c r="L3001" s="7">
        <v>1.144524287740832</v>
      </c>
      <c r="M3001" s="3">
        <v>1.54</v>
      </c>
      <c r="N3001" s="3">
        <v>0.53</v>
      </c>
    </row>
    <row r="3002" spans="1:14">
      <c r="A3002" s="8" t="s">
        <v>3014</v>
      </c>
      <c r="B3002" s="2">
        <f>HYPERLINK("https://www.suredividend.com/sure-analysis-research-database/","Voyager Therapeutics Inc")</f>
        <v>0</v>
      </c>
      <c r="C3002" s="1" t="s">
        <v>3176</v>
      </c>
      <c r="D3002" s="3">
        <v>8.42</v>
      </c>
      <c r="E3002" s="4">
        <v>0</v>
      </c>
      <c r="F3002" s="4" t="s">
        <v>3178</v>
      </c>
      <c r="G3002" s="4" t="s">
        <v>3178</v>
      </c>
      <c r="H3002" s="3">
        <v>0</v>
      </c>
      <c r="I3002" s="5">
        <v>457.994348</v>
      </c>
      <c r="J3002" s="6" t="s">
        <v>3178</v>
      </c>
      <c r="K3002" s="4">
        <v>-0</v>
      </c>
      <c r="L3002" s="7">
        <v>1.420864404028804</v>
      </c>
      <c r="M3002" s="3">
        <v>14.07</v>
      </c>
      <c r="N3002" s="3">
        <v>6.06</v>
      </c>
    </row>
    <row r="3003" spans="1:14">
      <c r="A3003" s="8" t="s">
        <v>3015</v>
      </c>
      <c r="B3003" s="2">
        <f>HYPERLINK("https://www.suredividend.com/sure-analysis-VZ/","Verizon Communications Inc")</f>
        <v>0</v>
      </c>
      <c r="C3003" s="1" t="s">
        <v>3187</v>
      </c>
      <c r="D3003" s="3">
        <v>40.94</v>
      </c>
      <c r="E3003" s="4">
        <v>0.06497313141182219</v>
      </c>
      <c r="F3003" s="4">
        <v>0.0191570881226053</v>
      </c>
      <c r="G3003" s="4">
        <v>0.01993599472552776</v>
      </c>
      <c r="H3003" s="3">
        <v>2.581210394251774</v>
      </c>
      <c r="I3003" s="5">
        <v>172326.89536</v>
      </c>
      <c r="J3003" s="6">
        <v>15.24072657295127</v>
      </c>
      <c r="K3003" s="4">
        <v>0.9631382068103633</v>
      </c>
      <c r="L3003" s="7">
        <v>0.38360239914407</v>
      </c>
      <c r="M3003" s="3">
        <v>42.73</v>
      </c>
      <c r="N3003" s="3">
        <v>29.16</v>
      </c>
    </row>
    <row r="3004" spans="1:14">
      <c r="A3004" s="8" t="s">
        <v>3016</v>
      </c>
      <c r="B3004" s="2">
        <f>HYPERLINK("https://www.suredividend.com/sure-analysis-research-database/","Wayfair Inc")</f>
        <v>0</v>
      </c>
      <c r="C3004" s="1" t="s">
        <v>3182</v>
      </c>
      <c r="D3004" s="3">
        <v>56.45</v>
      </c>
      <c r="E3004" s="4">
        <v>0</v>
      </c>
      <c r="F3004" s="4" t="s">
        <v>3178</v>
      </c>
      <c r="G3004" s="4" t="s">
        <v>3178</v>
      </c>
      <c r="H3004" s="3">
        <v>0</v>
      </c>
      <c r="I3004" s="5">
        <v>5432.695502</v>
      </c>
      <c r="J3004" s="6" t="s">
        <v>3178</v>
      </c>
      <c r="K3004" s="4">
        <v>-0</v>
      </c>
      <c r="L3004" s="7">
        <v>3.124822399601733</v>
      </c>
      <c r="M3004" s="3">
        <v>90.70999999999999</v>
      </c>
      <c r="N3004" s="3">
        <v>38.37</v>
      </c>
    </row>
    <row r="3005" spans="1:14">
      <c r="A3005" s="8" t="s">
        <v>3017</v>
      </c>
      <c r="B3005" s="2">
        <f>HYPERLINK("https://www.suredividend.com/sure-analysis-research-database/","Westinghouse Air Brake Technologies Corp")</f>
        <v>0</v>
      </c>
      <c r="C3005" s="1" t="s">
        <v>3179</v>
      </c>
      <c r="D3005" s="3">
        <v>163.17</v>
      </c>
      <c r="E3005" s="4">
        <v>0.004526620980520001</v>
      </c>
      <c r="F3005" s="4">
        <v>0.1764705882352942</v>
      </c>
      <c r="G3005" s="4">
        <v>0.1075663432482901</v>
      </c>
      <c r="H3005" s="3">
        <v>0.738608745391472</v>
      </c>
      <c r="I3005" s="5">
        <v>28780.730986</v>
      </c>
      <c r="J3005" s="6">
        <v>31.35155880843137</v>
      </c>
      <c r="K3005" s="4">
        <v>0.1436981994925043</v>
      </c>
      <c r="L3005" s="7">
        <v>0.7633317367292121</v>
      </c>
      <c r="M3005" s="3">
        <v>170.63</v>
      </c>
      <c r="N3005" s="3">
        <v>97.97</v>
      </c>
    </row>
    <row r="3006" spans="1:14">
      <c r="A3006" s="8" t="s">
        <v>3018</v>
      </c>
      <c r="B3006" s="2">
        <f>HYPERLINK("https://www.suredividend.com/sure-analysis-WABC/","Westamerica Bancorporation")</f>
        <v>0</v>
      </c>
      <c r="C3006" s="1" t="s">
        <v>3180</v>
      </c>
      <c r="D3006" s="3">
        <v>47.3</v>
      </c>
      <c r="E3006" s="4">
        <v>0.03720930232558139</v>
      </c>
      <c r="F3006" s="4">
        <v>0.04761904761904767</v>
      </c>
      <c r="G3006" s="4">
        <v>0.01422372146612827</v>
      </c>
      <c r="H3006" s="3">
        <v>1.723995332482117</v>
      </c>
      <c r="I3006" s="5">
        <v>1261.888367</v>
      </c>
      <c r="J3006" s="6">
        <v>8.00010376519964</v>
      </c>
      <c r="K3006" s="4">
        <v>0.2912154277841414</v>
      </c>
      <c r="L3006" s="7">
        <v>0.683164046075542</v>
      </c>
      <c r="M3006" s="3">
        <v>56.36</v>
      </c>
      <c r="N3006" s="3">
        <v>35.72</v>
      </c>
    </row>
    <row r="3007" spans="1:14">
      <c r="A3007" s="8" t="s">
        <v>3019</v>
      </c>
      <c r="B3007" s="2">
        <f>HYPERLINK("https://www.suredividend.com/sure-analysis-WAFD/","WaFd Inc")</f>
        <v>0</v>
      </c>
      <c r="C3007" s="1" t="s">
        <v>3180</v>
      </c>
      <c r="D3007" s="3">
        <v>26.98</v>
      </c>
      <c r="E3007" s="4">
        <v>0.0385470719051149</v>
      </c>
      <c r="F3007" s="4">
        <v>0.04000000000000004</v>
      </c>
      <c r="G3007" s="4">
        <v>0.04364022715043592</v>
      </c>
      <c r="H3007" s="3">
        <v>0.9927924590305541</v>
      </c>
      <c r="I3007" s="5">
        <v>2196.572194</v>
      </c>
      <c r="J3007" s="6">
        <v>12.79315659578681</v>
      </c>
      <c r="K3007" s="4">
        <v>0.38184325347329</v>
      </c>
      <c r="L3007" s="7">
        <v>1.392152285007168</v>
      </c>
      <c r="M3007" s="3">
        <v>32.84</v>
      </c>
      <c r="N3007" s="3">
        <v>22.1</v>
      </c>
    </row>
    <row r="3008" spans="1:14">
      <c r="A3008" s="8" t="s">
        <v>3020</v>
      </c>
      <c r="B3008" s="2">
        <f>HYPERLINK("https://www.suredividend.com/sure-analysis-research-database/","Western Alliance Bancorp")</f>
        <v>0</v>
      </c>
      <c r="C3008" s="1" t="s">
        <v>3180</v>
      </c>
      <c r="D3008" s="3">
        <v>58.77</v>
      </c>
      <c r="E3008" s="4">
        <v>0.024782962801924</v>
      </c>
      <c r="F3008" s="4">
        <v>0.0277777777777779</v>
      </c>
      <c r="G3008" s="4">
        <v>0.08156429832376855</v>
      </c>
      <c r="H3008" s="3">
        <v>1.456494723869124</v>
      </c>
      <c r="I3008" s="5">
        <v>6471.19479</v>
      </c>
      <c r="J3008" s="6">
        <v>8.688499986895811</v>
      </c>
      <c r="K3008" s="4">
        <v>0.2126269669881933</v>
      </c>
      <c r="L3008" s="7">
        <v>1.856561270808673</v>
      </c>
      <c r="M3008" s="3">
        <v>69.39</v>
      </c>
      <c r="N3008" s="3">
        <v>33.55</v>
      </c>
    </row>
    <row r="3009" spans="1:14">
      <c r="A3009" s="8" t="s">
        <v>3021</v>
      </c>
      <c r="B3009" s="2">
        <f>HYPERLINK("https://www.suredividend.com/sure-analysis-WASH/","Washington Trust Bancorp, Inc.")</f>
        <v>0</v>
      </c>
      <c r="C3009" s="1" t="s">
        <v>3180</v>
      </c>
      <c r="D3009" s="3">
        <v>25.93</v>
      </c>
      <c r="E3009" s="4">
        <v>0.08638642499035867</v>
      </c>
      <c r="F3009" s="4">
        <v>0</v>
      </c>
      <c r="G3009" s="4">
        <v>0.01888124997130225</v>
      </c>
      <c r="H3009" s="3">
        <v>2.14792905433658</v>
      </c>
      <c r="I3009" s="5">
        <v>442.21971</v>
      </c>
      <c r="J3009" s="6">
        <v>9.565229935542479</v>
      </c>
      <c r="K3009" s="4">
        <v>0.7925937469876679</v>
      </c>
      <c r="L3009" s="7">
        <v>1.291092092525854</v>
      </c>
      <c r="M3009" s="3">
        <v>32.59</v>
      </c>
      <c r="N3009" s="3">
        <v>20.54</v>
      </c>
    </row>
    <row r="3010" spans="1:14">
      <c r="A3010" s="8" t="s">
        <v>3022</v>
      </c>
      <c r="B3010" s="2">
        <f>HYPERLINK("https://www.suredividend.com/sure-analysis-research-database/","Waters Corp.")</f>
        <v>0</v>
      </c>
      <c r="C3010" s="1" t="s">
        <v>3176</v>
      </c>
      <c r="D3010" s="3">
        <v>302.09</v>
      </c>
      <c r="E3010" s="4">
        <v>0</v>
      </c>
      <c r="F3010" s="4" t="s">
        <v>3178</v>
      </c>
      <c r="G3010" s="4" t="s">
        <v>3178</v>
      </c>
      <c r="H3010" s="3">
        <v>0</v>
      </c>
      <c r="I3010" s="5">
        <v>17919.887871</v>
      </c>
      <c r="J3010" s="6">
        <v>29.69292464032728</v>
      </c>
      <c r="K3010" s="4">
        <v>0</v>
      </c>
      <c r="L3010" s="7">
        <v>1.138882080449752</v>
      </c>
      <c r="M3010" s="3">
        <v>367.21</v>
      </c>
      <c r="N3010" s="3">
        <v>231.9</v>
      </c>
    </row>
    <row r="3011" spans="1:14">
      <c r="A3011" s="8" t="s">
        <v>3023</v>
      </c>
      <c r="B3011" s="2">
        <f>HYPERLINK("https://www.suredividend.com/sure-analysis-research-database/","Energous Corp")</f>
        <v>0</v>
      </c>
      <c r="C3011" s="1" t="s">
        <v>3181</v>
      </c>
      <c r="D3011" s="3">
        <v>1.41</v>
      </c>
      <c r="E3011" s="4">
        <v>0</v>
      </c>
      <c r="F3011" s="4" t="s">
        <v>3178</v>
      </c>
      <c r="G3011" s="4" t="s">
        <v>3178</v>
      </c>
      <c r="H3011" s="3">
        <v>0</v>
      </c>
      <c r="I3011" s="5">
        <v>9.218918</v>
      </c>
      <c r="J3011" s="6" t="s">
        <v>3178</v>
      </c>
      <c r="K3011" s="4">
        <v>-0</v>
      </c>
      <c r="L3011" s="7">
        <v>2.117256180309418</v>
      </c>
      <c r="M3011" s="3">
        <v>7.66</v>
      </c>
      <c r="N3011" s="3">
        <v>1.3</v>
      </c>
    </row>
    <row r="3012" spans="1:14">
      <c r="A3012" s="8" t="s">
        <v>3024</v>
      </c>
      <c r="B3012" s="2">
        <f>HYPERLINK("https://www.suredividend.com/sure-analysis-WBA/","Walgreens Boots Alliance Inc")</f>
        <v>0</v>
      </c>
      <c r="C3012" s="1" t="s">
        <v>3176</v>
      </c>
      <c r="D3012" s="3">
        <v>15.84</v>
      </c>
      <c r="E3012" s="4">
        <v>0.06313131313131314</v>
      </c>
      <c r="F3012" s="4">
        <v>-0.4791666666666666</v>
      </c>
      <c r="G3012" s="4">
        <v>-0.1138448167957292</v>
      </c>
      <c r="H3012" s="3">
        <v>1.395373920112685</v>
      </c>
      <c r="I3012" s="5">
        <v>13665.379717</v>
      </c>
      <c r="J3012" s="6" t="s">
        <v>3178</v>
      </c>
      <c r="K3012" s="4" t="s">
        <v>3178</v>
      </c>
      <c r="L3012" s="7">
        <v>0.7664800758100011</v>
      </c>
      <c r="M3012" s="3">
        <v>29.65</v>
      </c>
      <c r="N3012" s="3">
        <v>14.62</v>
      </c>
    </row>
    <row r="3013" spans="1:14">
      <c r="A3013" s="8" t="s">
        <v>3025</v>
      </c>
      <c r="B3013" s="2">
        <f>HYPERLINK("https://www.suredividend.com/sure-analysis-research-database/","Webster Financial Corp.")</f>
        <v>0</v>
      </c>
      <c r="C3013" s="1" t="s">
        <v>3180</v>
      </c>
      <c r="D3013" s="3">
        <v>41.43</v>
      </c>
      <c r="E3013" s="4">
        <v>0.03809846732643701</v>
      </c>
      <c r="F3013" s="4">
        <v>0</v>
      </c>
      <c r="G3013" s="4">
        <v>0</v>
      </c>
      <c r="H3013" s="3">
        <v>1.578419501334315</v>
      </c>
      <c r="I3013" s="5">
        <v>7104.687104</v>
      </c>
      <c r="J3013" s="6">
        <v>8.425182864308855</v>
      </c>
      <c r="K3013" s="4">
        <v>0.3214703668705326</v>
      </c>
      <c r="L3013" s="7">
        <v>1.19259569472922</v>
      </c>
      <c r="M3013" s="3">
        <v>52.46</v>
      </c>
      <c r="N3013" s="3">
        <v>34.92</v>
      </c>
    </row>
    <row r="3014" spans="1:14">
      <c r="A3014" s="8" t="s">
        <v>3026</v>
      </c>
      <c r="B3014" s="2">
        <f>HYPERLINK("https://www.suredividend.com/sure-analysis-research-database/","Welbilt Inc")</f>
        <v>0</v>
      </c>
      <c r="C3014" s="1" t="s">
        <v>3179</v>
      </c>
      <c r="D3014" s="3">
        <v>24.01</v>
      </c>
      <c r="E3014" s="4">
        <v>0</v>
      </c>
      <c r="F3014" s="4" t="s">
        <v>3178</v>
      </c>
      <c r="G3014" s="4" t="s">
        <v>3178</v>
      </c>
      <c r="H3014" s="3">
        <v>0</v>
      </c>
      <c r="I3014" s="5">
        <v>3437.755786</v>
      </c>
      <c r="J3014" s="6">
        <v>52.64557099019908</v>
      </c>
      <c r="K3014" s="4">
        <v>0</v>
      </c>
      <c r="L3014" s="7">
        <v>0.074023481239715</v>
      </c>
      <c r="M3014" s="3">
        <v>24.01</v>
      </c>
      <c r="N3014" s="3">
        <v>22.9</v>
      </c>
    </row>
    <row r="3015" spans="1:14">
      <c r="A3015" s="8" t="s">
        <v>3027</v>
      </c>
      <c r="B3015" s="2">
        <f>HYPERLINK("https://www.suredividend.com/sure-analysis-research-database/","Wesco International, Inc.")</f>
        <v>0</v>
      </c>
      <c r="C3015" s="1" t="s">
        <v>3179</v>
      </c>
      <c r="D3015" s="3">
        <v>176.38</v>
      </c>
      <c r="E3015" s="4">
        <v>0.008686341982285</v>
      </c>
      <c r="F3015" s="4" t="s">
        <v>3178</v>
      </c>
      <c r="G3015" s="4" t="s">
        <v>3178</v>
      </c>
      <c r="H3015" s="3">
        <v>1.532096998835482</v>
      </c>
      <c r="I3015" s="5">
        <v>8964.967855000001</v>
      </c>
      <c r="J3015" s="6">
        <v>14.3027566287173</v>
      </c>
      <c r="K3015" s="4">
        <v>0.1274623127150983</v>
      </c>
      <c r="L3015" s="7">
        <v>2.0479031913704</v>
      </c>
      <c r="M3015" s="3">
        <v>194.94</v>
      </c>
      <c r="N3015" s="3">
        <v>121.72</v>
      </c>
    </row>
    <row r="3016" spans="1:14">
      <c r="A3016" s="8" t="s">
        <v>3028</v>
      </c>
      <c r="B3016" s="2">
        <f>HYPERLINK("https://www.suredividend.com/sure-analysis-research-database/","Walker &amp; Dunlop Inc")</f>
        <v>0</v>
      </c>
      <c r="C3016" s="1" t="s">
        <v>3180</v>
      </c>
      <c r="D3016" s="3">
        <v>92.16</v>
      </c>
      <c r="E3016" s="4">
        <v>0.027498459548334</v>
      </c>
      <c r="F3016" s="4">
        <v>0.03174603174603186</v>
      </c>
      <c r="G3016" s="4">
        <v>0.1254395453048029</v>
      </c>
      <c r="H3016" s="3">
        <v>2.534258031974541</v>
      </c>
      <c r="I3016" s="5">
        <v>3107.461571</v>
      </c>
      <c r="J3016" s="6">
        <v>34.44239288155882</v>
      </c>
      <c r="K3016" s="4">
        <v>0.9249116905016572</v>
      </c>
      <c r="L3016" s="7">
        <v>1.710014508319821</v>
      </c>
      <c r="M3016" s="3">
        <v>112.16</v>
      </c>
      <c r="N3016" s="3">
        <v>61.2</v>
      </c>
    </row>
    <row r="3017" spans="1:14">
      <c r="A3017" s="8" t="s">
        <v>3029</v>
      </c>
      <c r="B3017" s="2">
        <f>HYPERLINK("https://www.suredividend.com/sure-analysis-research-database/","Workday Inc")</f>
        <v>0</v>
      </c>
      <c r="C3017" s="1" t="s">
        <v>3181</v>
      </c>
      <c r="D3017" s="3">
        <v>215.56</v>
      </c>
      <c r="E3017" s="4">
        <v>0</v>
      </c>
      <c r="F3017" s="4" t="s">
        <v>3178</v>
      </c>
      <c r="G3017" s="4" t="s">
        <v>3178</v>
      </c>
      <c r="H3017" s="3">
        <v>0</v>
      </c>
      <c r="I3017" s="5">
        <v>45698.72</v>
      </c>
      <c r="J3017" s="6">
        <v>30.7143125984633</v>
      </c>
      <c r="K3017" s="4">
        <v>0</v>
      </c>
      <c r="L3017" s="7">
        <v>1.045556029798831</v>
      </c>
      <c r="M3017" s="3">
        <v>311.28</v>
      </c>
      <c r="N3017" s="3">
        <v>202.01</v>
      </c>
    </row>
    <row r="3018" spans="1:14">
      <c r="A3018" s="8" t="s">
        <v>3030</v>
      </c>
      <c r="B3018" s="2">
        <f>HYPERLINK("https://www.suredividend.com/sure-analysis-research-database/","Western Digital Corp.")</f>
        <v>0</v>
      </c>
      <c r="C3018" s="1" t="s">
        <v>3181</v>
      </c>
      <c r="D3018" s="3">
        <v>74.98</v>
      </c>
      <c r="E3018" s="4">
        <v>0</v>
      </c>
      <c r="F3018" s="4" t="s">
        <v>3178</v>
      </c>
      <c r="G3018" s="4" t="s">
        <v>3178</v>
      </c>
      <c r="H3018" s="3">
        <v>0</v>
      </c>
      <c r="I3018" s="5">
        <v>24482.819607</v>
      </c>
      <c r="J3018" s="6" t="s">
        <v>3178</v>
      </c>
      <c r="K3018" s="4">
        <v>-0</v>
      </c>
      <c r="L3018" s="7">
        <v>1.393432564415942</v>
      </c>
      <c r="M3018" s="3">
        <v>77.66</v>
      </c>
      <c r="N3018" s="3">
        <v>35.62</v>
      </c>
    </row>
    <row r="3019" spans="1:14">
      <c r="A3019" s="8" t="s">
        <v>3031</v>
      </c>
      <c r="B3019" s="2">
        <f>HYPERLINK("https://www.suredividend.com/sure-analysis-WDFC/","WD-40 Co.")</f>
        <v>0</v>
      </c>
      <c r="C3019" s="1" t="s">
        <v>3177</v>
      </c>
      <c r="D3019" s="3">
        <v>224.39</v>
      </c>
      <c r="E3019" s="4">
        <v>0.01568697357279736</v>
      </c>
      <c r="F3019" s="4">
        <v>0.06024096385542155</v>
      </c>
      <c r="G3019" s="4">
        <v>0.07604533102866506</v>
      </c>
      <c r="H3019" s="3">
        <v>3.388849051116314</v>
      </c>
      <c r="I3019" s="5">
        <v>3041.076216</v>
      </c>
      <c r="J3019" s="6">
        <v>44.57814122795702</v>
      </c>
      <c r="K3019" s="4">
        <v>0.6750695320948833</v>
      </c>
      <c r="L3019" s="7">
        <v>0.9787102272521421</v>
      </c>
      <c r="M3019" s="3">
        <v>275.78</v>
      </c>
      <c r="N3019" s="3">
        <v>177.77</v>
      </c>
    </row>
    <row r="3020" spans="1:14">
      <c r="A3020" s="8" t="s">
        <v>3032</v>
      </c>
      <c r="B3020" s="2">
        <f>HYPERLINK("https://www.suredividend.com/sure-analysis-research-database/","Waddell &amp; Reed Financial, Inc.")</f>
        <v>0</v>
      </c>
      <c r="C3020" s="1" t="s">
        <v>3180</v>
      </c>
      <c r="D3020" s="3">
        <v>24.98</v>
      </c>
      <c r="E3020" s="4">
        <v>0.039384485398388</v>
      </c>
      <c r="F3020" s="4" t="s">
        <v>3178</v>
      </c>
      <c r="G3020" s="4" t="s">
        <v>3178</v>
      </c>
      <c r="H3020" s="3">
        <v>0.9838244452517491</v>
      </c>
      <c r="I3020" s="5">
        <v>1549.379129</v>
      </c>
      <c r="J3020" s="6">
        <v>30.93622844677835</v>
      </c>
      <c r="K3020" s="4">
        <v>1.250889313733947</v>
      </c>
      <c r="L3020" s="7">
        <v>0.9785227016099101</v>
      </c>
      <c r="M3020" s="3">
        <v>25.39</v>
      </c>
      <c r="N3020" s="3">
        <v>11.82</v>
      </c>
    </row>
    <row r="3021" spans="1:14">
      <c r="A3021" s="8" t="s">
        <v>3033</v>
      </c>
      <c r="B3021" s="2">
        <f>HYPERLINK("https://www.suredividend.com/sure-analysis-WEC/","WEC Energy Group Inc")</f>
        <v>0</v>
      </c>
      <c r="C3021" s="1" t="s">
        <v>3186</v>
      </c>
      <c r="D3021" s="3">
        <v>79.84999999999999</v>
      </c>
      <c r="E3021" s="4">
        <v>0.04182842830306825</v>
      </c>
      <c r="F3021" s="4">
        <v>0.07051282051282048</v>
      </c>
      <c r="G3021" s="4">
        <v>0.07193115294828023</v>
      </c>
      <c r="H3021" s="3">
        <v>3.182710266641542</v>
      </c>
      <c r="I3021" s="5">
        <v>25218.433572</v>
      </c>
      <c r="J3021" s="6">
        <v>17.43410547663325</v>
      </c>
      <c r="K3021" s="4">
        <v>0.6949149053802494</v>
      </c>
      <c r="L3021" s="7">
        <v>0.408600875708812</v>
      </c>
      <c r="M3021" s="3">
        <v>89.77</v>
      </c>
      <c r="N3021" s="3">
        <v>73.22</v>
      </c>
    </row>
    <row r="3022" spans="1:14">
      <c r="A3022" s="8" t="s">
        <v>3034</v>
      </c>
      <c r="B3022" s="2">
        <f>HYPERLINK("https://www.suredividend.com/sure-analysis-WELL/","Welltower Inc.")</f>
        <v>0</v>
      </c>
      <c r="C3022" s="1" t="s">
        <v>3183</v>
      </c>
      <c r="D3022" s="3">
        <v>103.81</v>
      </c>
      <c r="E3022" s="4">
        <v>0.02350447933725075</v>
      </c>
      <c r="F3022" s="4">
        <v>0</v>
      </c>
      <c r="G3022" s="4">
        <v>-0.06854448919933698</v>
      </c>
      <c r="H3022" s="3">
        <v>2.416621073068157</v>
      </c>
      <c r="I3022" s="5">
        <v>62069.680411</v>
      </c>
      <c r="J3022" s="6">
        <v>140.5668458253674</v>
      </c>
      <c r="K3022" s="4">
        <v>2.952499783834034</v>
      </c>
      <c r="L3022" s="7">
        <v>0.8739020470210861</v>
      </c>
      <c r="M3022" s="3">
        <v>105.69</v>
      </c>
      <c r="N3022" s="3">
        <v>73.84</v>
      </c>
    </row>
    <row r="3023" spans="1:14">
      <c r="A3023" s="8" t="s">
        <v>3035</v>
      </c>
      <c r="B3023" s="2">
        <f>HYPERLINK("https://www.suredividend.com/sure-analysis-WEN/","Wendy`s Co")</f>
        <v>0</v>
      </c>
      <c r="C3023" s="1" t="s">
        <v>3182</v>
      </c>
      <c r="D3023" s="3">
        <v>16.67</v>
      </c>
      <c r="E3023" s="4">
        <v>0.05998800239952009</v>
      </c>
      <c r="F3023" s="4">
        <v>0</v>
      </c>
      <c r="G3023" s="4">
        <v>0.2011244339814313</v>
      </c>
      <c r="H3023" s="3">
        <v>0.9657508959060001</v>
      </c>
      <c r="I3023" s="5">
        <v>3419.575295</v>
      </c>
      <c r="J3023" s="6">
        <v>16.550710002178</v>
      </c>
      <c r="K3023" s="4">
        <v>0.9793640562884088</v>
      </c>
      <c r="L3023" s="7">
        <v>0.4218746978883791</v>
      </c>
      <c r="M3023" s="3">
        <v>20.56</v>
      </c>
      <c r="N3023" s="3">
        <v>16.34</v>
      </c>
    </row>
    <row r="3024" spans="1:14">
      <c r="A3024" s="8" t="s">
        <v>3036</v>
      </c>
      <c r="B3024" s="2">
        <f>HYPERLINK("https://www.suredividend.com/sure-analysis-research-database/","Werner Enterprises, Inc.")</f>
        <v>0</v>
      </c>
      <c r="C3024" s="1" t="s">
        <v>3179</v>
      </c>
      <c r="D3024" s="3">
        <v>36.55</v>
      </c>
      <c r="E3024" s="4">
        <v>0.015157982374139</v>
      </c>
      <c r="F3024" s="4">
        <v>0.07692307692307709</v>
      </c>
      <c r="G3024" s="4">
        <v>0.09238846414037316</v>
      </c>
      <c r="H3024" s="3">
        <v>0.5540242557747851</v>
      </c>
      <c r="I3024" s="5">
        <v>2317.739046</v>
      </c>
      <c r="J3024" s="6">
        <v>27.76733013238289</v>
      </c>
      <c r="K3024" s="4">
        <v>0.4229192792173932</v>
      </c>
      <c r="L3024" s="7">
        <v>0.8474907542861211</v>
      </c>
      <c r="M3024" s="3">
        <v>46.27</v>
      </c>
      <c r="N3024" s="3">
        <v>33.12</v>
      </c>
    </row>
    <row r="3025" spans="1:14">
      <c r="A3025" s="8" t="s">
        <v>3037</v>
      </c>
      <c r="B3025" s="2">
        <f>HYPERLINK("https://www.suredividend.com/sure-analysis-research-database/","WEX Inc")</f>
        <v>0</v>
      </c>
      <c r="C3025" s="1" t="s">
        <v>3181</v>
      </c>
      <c r="D3025" s="3">
        <v>181.17</v>
      </c>
      <c r="E3025" s="4">
        <v>0</v>
      </c>
      <c r="F3025" s="4" t="s">
        <v>3178</v>
      </c>
      <c r="G3025" s="4" t="s">
        <v>3178</v>
      </c>
      <c r="H3025" s="3">
        <v>0</v>
      </c>
      <c r="I3025" s="5">
        <v>7591.119926</v>
      </c>
      <c r="J3025" s="6">
        <v>28.71074102099092</v>
      </c>
      <c r="K3025" s="4">
        <v>0</v>
      </c>
      <c r="L3025" s="7">
        <v>1.066370872245484</v>
      </c>
      <c r="M3025" s="3">
        <v>244.04</v>
      </c>
      <c r="N3025" s="3">
        <v>161.95</v>
      </c>
    </row>
    <row r="3026" spans="1:14">
      <c r="A3026" s="8" t="s">
        <v>3038</v>
      </c>
      <c r="B3026" s="2">
        <f>HYPERLINK("https://www.suredividend.com/sure-analysis-WEYS/","Weyco Group, Inc")</f>
        <v>0</v>
      </c>
      <c r="C3026" s="1" t="s">
        <v>3182</v>
      </c>
      <c r="D3026" s="3">
        <v>30.04</v>
      </c>
      <c r="E3026" s="4">
        <v>0.03462050599201066</v>
      </c>
      <c r="F3026" s="4">
        <v>0.04000000000000004</v>
      </c>
      <c r="G3026" s="4">
        <v>0.01613736474159566</v>
      </c>
      <c r="H3026" s="3">
        <v>0.984580180921466</v>
      </c>
      <c r="I3026" s="5">
        <v>285.376786</v>
      </c>
      <c r="J3026" s="6">
        <v>9.709005059708094</v>
      </c>
      <c r="K3026" s="4">
        <v>0.3196688899095669</v>
      </c>
      <c r="L3026" s="7">
        <v>0.489104980330377</v>
      </c>
      <c r="M3026" s="3">
        <v>32.57</v>
      </c>
      <c r="N3026" s="3">
        <v>23.05</v>
      </c>
    </row>
    <row r="3027" spans="1:14">
      <c r="A3027" s="8" t="s">
        <v>3039</v>
      </c>
      <c r="B3027" s="2">
        <f>HYPERLINK("https://www.suredividend.com/sure-analysis-WFC/","Wells Fargo &amp; Co.")</f>
        <v>0</v>
      </c>
      <c r="C3027" s="1" t="s">
        <v>3180</v>
      </c>
      <c r="D3027" s="3">
        <v>58.36</v>
      </c>
      <c r="E3027" s="4">
        <v>0.02398903358464702</v>
      </c>
      <c r="F3027" s="4">
        <v>0.1666666666666665</v>
      </c>
      <c r="G3027" s="4">
        <v>-0.07253063458388997</v>
      </c>
      <c r="H3027" s="3">
        <v>1.386090354195254</v>
      </c>
      <c r="I3027" s="5">
        <v>213526.595547</v>
      </c>
      <c r="J3027" s="6">
        <v>11.57213993248095</v>
      </c>
      <c r="K3027" s="4">
        <v>0.2887688237906779</v>
      </c>
      <c r="L3027" s="7">
        <v>0.7772626520200731</v>
      </c>
      <c r="M3027" s="3">
        <v>62.55</v>
      </c>
      <c r="N3027" s="3">
        <v>37.56</v>
      </c>
    </row>
    <row r="3028" spans="1:14">
      <c r="A3028" s="8" t="s">
        <v>3040</v>
      </c>
      <c r="B3028" s="2">
        <f>HYPERLINK("https://www.suredividend.com/sure-analysis-WGO/","Winnebago Industries, Inc.")</f>
        <v>0</v>
      </c>
      <c r="C3028" s="1" t="s">
        <v>3182</v>
      </c>
      <c r="D3028" s="3">
        <v>59.65</v>
      </c>
      <c r="E3028" s="4">
        <v>0.02078792958927075</v>
      </c>
      <c r="F3028" s="4">
        <v>0.1481481481481481</v>
      </c>
      <c r="G3028" s="4">
        <v>0.2302512125022786</v>
      </c>
      <c r="H3028" s="3">
        <v>1.192124578334854</v>
      </c>
      <c r="I3028" s="5">
        <v>1745.874078</v>
      </c>
      <c r="J3028" s="6">
        <v>15.0506386012931</v>
      </c>
      <c r="K3028" s="4">
        <v>0.3455433560390881</v>
      </c>
      <c r="L3028" s="7">
        <v>1.205066003935138</v>
      </c>
      <c r="M3028" s="3">
        <v>74.75</v>
      </c>
      <c r="N3028" s="3">
        <v>55.38</v>
      </c>
    </row>
    <row r="3029" spans="1:14">
      <c r="A3029" s="8" t="s">
        <v>3041</v>
      </c>
      <c r="B3029" s="2">
        <f>HYPERLINK("https://www.suredividend.com/sure-analysis-research-database/","Wyndham Hotels &amp; Resorts Inc")</f>
        <v>0</v>
      </c>
      <c r="C3029" s="1" t="s">
        <v>3182</v>
      </c>
      <c r="D3029" s="3">
        <v>71.14</v>
      </c>
      <c r="E3029" s="4">
        <v>0.019964297280287</v>
      </c>
      <c r="F3029" s="4">
        <v>0.08571428571428563</v>
      </c>
      <c r="G3029" s="4">
        <v>0.05554589164848411</v>
      </c>
      <c r="H3029" s="3">
        <v>1.420260108519638</v>
      </c>
      <c r="I3029" s="5">
        <v>5732.237251</v>
      </c>
      <c r="J3029" s="6">
        <v>24.08503046756302</v>
      </c>
      <c r="K3029" s="4">
        <v>0.4983368801823291</v>
      </c>
      <c r="L3029" s="7">
        <v>0.77679201773283</v>
      </c>
      <c r="M3029" s="3">
        <v>81.34</v>
      </c>
      <c r="N3029" s="3">
        <v>64.64</v>
      </c>
    </row>
    <row r="3030" spans="1:14">
      <c r="A3030" s="8" t="s">
        <v>3042</v>
      </c>
      <c r="B3030" s="2">
        <f>HYPERLINK("https://www.suredividend.com/sure-analysis-research-database/","Cactus Inc")</f>
        <v>0</v>
      </c>
      <c r="C3030" s="1" t="s">
        <v>3185</v>
      </c>
      <c r="D3030" s="3">
        <v>46.82</v>
      </c>
      <c r="E3030" s="4">
        <v>0.0102130914295</v>
      </c>
      <c r="F3030" s="4">
        <v>0</v>
      </c>
      <c r="G3030" s="4">
        <v>0.05922384104881218</v>
      </c>
      <c r="H3030" s="3">
        <v>0.4781769407292321</v>
      </c>
      <c r="I3030" s="5">
        <v>3069.524444</v>
      </c>
      <c r="J3030" s="6">
        <v>18.57593374468961</v>
      </c>
      <c r="K3030" s="4">
        <v>0.2298927599659769</v>
      </c>
      <c r="L3030" s="7">
        <v>0.8447108484091911</v>
      </c>
      <c r="M3030" s="3">
        <v>56.55</v>
      </c>
      <c r="N3030" s="3">
        <v>37.39</v>
      </c>
    </row>
    <row r="3031" spans="1:14">
      <c r="A3031" s="8" t="s">
        <v>3043</v>
      </c>
      <c r="B3031" s="2">
        <f>HYPERLINK("https://www.suredividend.com/sure-analysis-research-database/","Westwood Holdings Group Inc")</f>
        <v>0</v>
      </c>
      <c r="C3031" s="1" t="s">
        <v>3180</v>
      </c>
      <c r="D3031" s="3">
        <v>12.2</v>
      </c>
      <c r="E3031" s="4">
        <v>0.04826186937016901</v>
      </c>
      <c r="F3031" s="4" t="s">
        <v>3178</v>
      </c>
      <c r="G3031" s="4" t="s">
        <v>3178</v>
      </c>
      <c r="H3031" s="3">
        <v>0.5887948063160711</v>
      </c>
      <c r="I3031" s="5">
        <v>113.621321</v>
      </c>
      <c r="J3031" s="6">
        <v>10.23431098901099</v>
      </c>
      <c r="K3031" s="4">
        <v>0.4361443009748674</v>
      </c>
      <c r="L3031" s="7">
        <v>0.268236163273925</v>
      </c>
      <c r="M3031" s="3">
        <v>13.46</v>
      </c>
      <c r="N3031" s="3">
        <v>8.57</v>
      </c>
    </row>
    <row r="3032" spans="1:14">
      <c r="A3032" s="8" t="s">
        <v>3044</v>
      </c>
      <c r="B3032" s="2">
        <f>HYPERLINK("https://www.suredividend.com/sure-analysis-research-database/","Wilhelmina International Inc")</f>
        <v>0</v>
      </c>
      <c r="C3032" s="1" t="s">
        <v>3179</v>
      </c>
      <c r="D3032" s="3">
        <v>6.415</v>
      </c>
      <c r="E3032" s="4">
        <v>0</v>
      </c>
      <c r="F3032" s="4" t="s">
        <v>3178</v>
      </c>
      <c r="G3032" s="4" t="s">
        <v>3178</v>
      </c>
      <c r="H3032" s="3">
        <v>0</v>
      </c>
      <c r="I3032" s="5">
        <v>33.084362</v>
      </c>
      <c r="J3032" s="6">
        <v>0</v>
      </c>
      <c r="K3032" s="4" t="s">
        <v>3178</v>
      </c>
      <c r="M3032" s="3">
        <v>7.62</v>
      </c>
      <c r="N3032" s="3">
        <v>3.28</v>
      </c>
    </row>
    <row r="3033" spans="1:14">
      <c r="A3033" s="8" t="s">
        <v>3045</v>
      </c>
      <c r="B3033" s="2">
        <f>HYPERLINK("https://www.suredividend.com/sure-analysis-research-database/","Wheeler Real Estate Investment Trust Inc")</f>
        <v>0</v>
      </c>
      <c r="C3033" s="1" t="s">
        <v>3183</v>
      </c>
      <c r="D3033" s="3">
        <v>1.61</v>
      </c>
      <c r="E3033" s="4">
        <v>0</v>
      </c>
      <c r="F3033" s="4" t="s">
        <v>3178</v>
      </c>
      <c r="G3033" s="4" t="s">
        <v>3178</v>
      </c>
      <c r="H3033" s="3">
        <v>0</v>
      </c>
      <c r="I3033" s="5">
        <v>109.518186</v>
      </c>
      <c r="J3033" s="6">
        <v>0</v>
      </c>
      <c r="K3033" s="4" t="s">
        <v>3178</v>
      </c>
      <c r="M3033" s="3">
        <v>226.08</v>
      </c>
      <c r="N3033" s="3">
        <v>1.58</v>
      </c>
    </row>
    <row r="3034" spans="1:14">
      <c r="A3034" s="8" t="s">
        <v>3046</v>
      </c>
      <c r="B3034" s="2">
        <f>HYPERLINK("https://www.suredividend.com/sure-analysis-WHR/","Whirlpool Corp.")</f>
        <v>0</v>
      </c>
      <c r="C3034" s="1" t="s">
        <v>3182</v>
      </c>
      <c r="D3034" s="3">
        <v>88.12</v>
      </c>
      <c r="E3034" s="4">
        <v>0.07943713118474807</v>
      </c>
      <c r="F3034" s="4">
        <v>0</v>
      </c>
      <c r="G3034" s="4">
        <v>0.07837884744794921</v>
      </c>
      <c r="H3034" s="3">
        <v>6.821645020973147</v>
      </c>
      <c r="I3034" s="5">
        <v>4814.49524</v>
      </c>
      <c r="J3034" s="6">
        <v>12.0062225446384</v>
      </c>
      <c r="K3034" s="4">
        <v>0.9396205263048412</v>
      </c>
      <c r="L3034" s="7">
        <v>1.419291997690212</v>
      </c>
      <c r="M3034" s="3">
        <v>150.77</v>
      </c>
      <c r="N3034" s="3">
        <v>84.18000000000001</v>
      </c>
    </row>
    <row r="3035" spans="1:14">
      <c r="A3035" s="8" t="s">
        <v>3047</v>
      </c>
      <c r="B3035" s="2">
        <f>HYPERLINK("https://www.suredividend.com/sure-analysis-research-database/","Boingo Wireless Inc")</f>
        <v>0</v>
      </c>
      <c r="C3035" s="1" t="s">
        <v>3187</v>
      </c>
      <c r="D3035" s="3">
        <v>13.99</v>
      </c>
      <c r="E3035" s="4">
        <v>0</v>
      </c>
      <c r="F3035" s="4" t="s">
        <v>3178</v>
      </c>
      <c r="G3035" s="4" t="s">
        <v>3178</v>
      </c>
      <c r="H3035" s="3">
        <v>0</v>
      </c>
      <c r="I3035" s="5">
        <v>0</v>
      </c>
      <c r="J3035" s="6">
        <v>0</v>
      </c>
      <c r="K3035" s="4">
        <v>-0</v>
      </c>
    </row>
    <row r="3036" spans="1:14">
      <c r="A3036" s="8" t="s">
        <v>3048</v>
      </c>
      <c r="B3036" s="2">
        <f>HYPERLINK("https://www.suredividend.com/sure-analysis-research-database/","Winmark Corporation")</f>
        <v>0</v>
      </c>
      <c r="C3036" s="1" t="s">
        <v>3182</v>
      </c>
      <c r="D3036" s="3">
        <v>333.69</v>
      </c>
      <c r="E3036" s="4">
        <v>0.03774398368457901</v>
      </c>
      <c r="F3036" s="4">
        <v>0.125</v>
      </c>
      <c r="G3036" s="4">
        <v>0.2919940099556333</v>
      </c>
      <c r="H3036" s="3">
        <v>12.59478991570736</v>
      </c>
      <c r="I3036" s="5">
        <v>1167.057417</v>
      </c>
      <c r="J3036" s="6">
        <v>29.13680935677478</v>
      </c>
      <c r="K3036" s="4">
        <v>1.150209124722134</v>
      </c>
      <c r="L3036" s="7">
        <v>0.7539912341347721</v>
      </c>
      <c r="M3036" s="3">
        <v>447.26</v>
      </c>
      <c r="N3036" s="3">
        <v>308.8</v>
      </c>
    </row>
    <row r="3037" spans="1:14">
      <c r="A3037" s="8" t="s">
        <v>3049</v>
      </c>
      <c r="B3037" s="2">
        <f>HYPERLINK("https://www.suredividend.com/sure-analysis-research-database/","Wingstop Inc")</f>
        <v>0</v>
      </c>
      <c r="C3037" s="1" t="s">
        <v>3182</v>
      </c>
      <c r="D3037" s="3">
        <v>383.79</v>
      </c>
      <c r="E3037" s="4">
        <v>0.002288490329239</v>
      </c>
      <c r="F3037" s="4">
        <v>0.1578947368421053</v>
      </c>
      <c r="G3037" s="4">
        <v>0.1486983549970351</v>
      </c>
      <c r="H3037" s="3">
        <v>0.8782997034587001</v>
      </c>
      <c r="I3037" s="5">
        <v>11245.047</v>
      </c>
      <c r="J3037" s="6">
        <v>135.0707722244244</v>
      </c>
      <c r="K3037" s="4">
        <v>0.3136784655209643</v>
      </c>
      <c r="L3037" s="7">
        <v>0.962564457168501</v>
      </c>
      <c r="M3037" s="3">
        <v>410.95</v>
      </c>
      <c r="N3037" s="3">
        <v>149.44</v>
      </c>
    </row>
    <row r="3038" spans="1:14">
      <c r="A3038" s="8" t="s">
        <v>3050</v>
      </c>
      <c r="B3038" s="2">
        <f>HYPERLINK("https://www.suredividend.com/sure-analysis-research-database/","Encore Wire Corp.")</f>
        <v>0</v>
      </c>
      <c r="C3038" s="1" t="s">
        <v>3179</v>
      </c>
      <c r="D3038" s="3">
        <v>288.7</v>
      </c>
      <c r="E3038" s="4">
        <v>0.00027704708522</v>
      </c>
      <c r="F3038" s="4">
        <v>0</v>
      </c>
      <c r="G3038" s="4">
        <v>0</v>
      </c>
      <c r="H3038" s="3">
        <v>0.07998349350318301</v>
      </c>
      <c r="I3038" s="5">
        <v>4560.646732</v>
      </c>
      <c r="J3038" s="6">
        <v>14.42361700638534</v>
      </c>
      <c r="K3038" s="4">
        <v>0.004216314892102425</v>
      </c>
      <c r="L3038" s="7">
        <v>0.9034790231341311</v>
      </c>
      <c r="M3038" s="3">
        <v>295.9</v>
      </c>
      <c r="N3038" s="3">
        <v>150.44</v>
      </c>
    </row>
    <row r="3039" spans="1:14">
      <c r="A3039" s="8" t="s">
        <v>3051</v>
      </c>
      <c r="B3039" s="2">
        <f>HYPERLINK("https://www.suredividend.com/sure-analysis-research-database/","Workiva Inc")</f>
        <v>0</v>
      </c>
      <c r="C3039" s="1" t="s">
        <v>3181</v>
      </c>
      <c r="D3039" s="3">
        <v>77.09</v>
      </c>
      <c r="E3039" s="4">
        <v>0</v>
      </c>
      <c r="F3039" s="4" t="s">
        <v>3178</v>
      </c>
      <c r="G3039" s="4" t="s">
        <v>3178</v>
      </c>
      <c r="H3039" s="3">
        <v>0</v>
      </c>
      <c r="I3039" s="5">
        <v>3929.993774</v>
      </c>
      <c r="J3039" s="6" t="s">
        <v>3178</v>
      </c>
      <c r="K3039" s="4">
        <v>-0</v>
      </c>
      <c r="L3039" s="7">
        <v>1.527769265421274</v>
      </c>
      <c r="M3039" s="3">
        <v>116</v>
      </c>
      <c r="N3039" s="3">
        <v>74.67</v>
      </c>
    </row>
    <row r="3040" spans="1:14">
      <c r="A3040" s="8" t="s">
        <v>3052</v>
      </c>
      <c r="B3040" s="2">
        <f>HYPERLINK("https://www.suredividend.com/sure-analysis-research-database/","Workhorse Group Inc")</f>
        <v>0</v>
      </c>
      <c r="C3040" s="1" t="s">
        <v>3182</v>
      </c>
      <c r="D3040" s="3">
        <v>0.18</v>
      </c>
      <c r="E3040" s="4">
        <v>0</v>
      </c>
      <c r="F3040" s="4" t="s">
        <v>3178</v>
      </c>
      <c r="G3040" s="4" t="s">
        <v>3178</v>
      </c>
      <c r="H3040" s="3">
        <v>0</v>
      </c>
      <c r="I3040" s="5">
        <v>67.54124899999999</v>
      </c>
      <c r="J3040" s="6">
        <v>0</v>
      </c>
      <c r="K3040" s="4" t="s">
        <v>3178</v>
      </c>
      <c r="L3040" s="7">
        <v>2.437490265048909</v>
      </c>
      <c r="M3040" s="3">
        <v>1.36</v>
      </c>
      <c r="N3040" s="3">
        <v>0.15</v>
      </c>
    </row>
    <row r="3041" spans="1:14">
      <c r="A3041" s="8" t="s">
        <v>3053</v>
      </c>
      <c r="B3041" s="2">
        <f>HYPERLINK("https://www.suredividend.com/sure-analysis-research-database/","Willdan Group Inc")</f>
        <v>0</v>
      </c>
      <c r="C3041" s="1" t="s">
        <v>3179</v>
      </c>
      <c r="D3041" s="3">
        <v>31.41</v>
      </c>
      <c r="E3041" s="4">
        <v>0</v>
      </c>
      <c r="F3041" s="4" t="s">
        <v>3178</v>
      </c>
      <c r="G3041" s="4" t="s">
        <v>3178</v>
      </c>
      <c r="H3041" s="3">
        <v>0</v>
      </c>
      <c r="I3041" s="5">
        <v>433.994294</v>
      </c>
      <c r="J3041" s="6">
        <v>0</v>
      </c>
      <c r="K3041" s="4" t="s">
        <v>3178</v>
      </c>
      <c r="L3041" s="7">
        <v>1.471038460959033</v>
      </c>
      <c r="M3041" s="3">
        <v>34.81</v>
      </c>
      <c r="N3041" s="3">
        <v>17.09</v>
      </c>
    </row>
    <row r="3042" spans="1:14">
      <c r="A3042" s="8" t="s">
        <v>3054</v>
      </c>
      <c r="B3042" s="2">
        <f>HYPERLINK("https://www.suredividend.com/sure-analysis-research-database/","Willis Lease Finance Corp.")</f>
        <v>0</v>
      </c>
      <c r="C3042" s="1" t="s">
        <v>3179</v>
      </c>
      <c r="D3042" s="3">
        <v>62.9</v>
      </c>
      <c r="E3042" s="4">
        <v>0</v>
      </c>
      <c r="F3042" s="4" t="s">
        <v>3178</v>
      </c>
      <c r="G3042" s="4" t="s">
        <v>3178</v>
      </c>
      <c r="H3042" s="3">
        <v>0</v>
      </c>
      <c r="I3042" s="5">
        <v>413.253</v>
      </c>
      <c r="J3042" s="6">
        <v>0</v>
      </c>
      <c r="K3042" s="4" t="s">
        <v>3178</v>
      </c>
      <c r="L3042" s="7">
        <v>0.531622065425835</v>
      </c>
      <c r="M3042" s="3">
        <v>66.90000000000001</v>
      </c>
      <c r="N3042" s="3">
        <v>37.04</v>
      </c>
    </row>
    <row r="3043" spans="1:14">
      <c r="A3043" s="8" t="s">
        <v>3055</v>
      </c>
      <c r="B3043" s="2">
        <f>HYPERLINK("https://www.suredividend.com/sure-analysis-WLK/","Westlake Corporation")</f>
        <v>0</v>
      </c>
      <c r="C3043" s="1" t="s">
        <v>3177</v>
      </c>
      <c r="D3043" s="3">
        <v>153.01</v>
      </c>
      <c r="E3043" s="4">
        <v>0.01307104110842429</v>
      </c>
      <c r="F3043" s="4">
        <v>0.400560224089636</v>
      </c>
      <c r="G3043" s="4">
        <v>0.137543830351883</v>
      </c>
      <c r="H3043" s="3">
        <v>1.989710974377337</v>
      </c>
      <c r="I3043" s="5">
        <v>19672.490804</v>
      </c>
      <c r="J3043" s="6">
        <v>76.845667201875</v>
      </c>
      <c r="K3043" s="4">
        <v>0.9998547609936368</v>
      </c>
      <c r="L3043" s="7">
        <v>1.145614442861267</v>
      </c>
      <c r="M3043" s="3">
        <v>162.12</v>
      </c>
      <c r="N3043" s="3">
        <v>105.79</v>
      </c>
    </row>
    <row r="3044" spans="1:14">
      <c r="A3044" s="8" t="s">
        <v>3056</v>
      </c>
      <c r="B3044" s="2">
        <f>HYPERLINK("https://www.suredividend.com/sure-analysis-research-database/","Whiting Petroleum Corp")</f>
        <v>0</v>
      </c>
      <c r="C3044" s="1" t="s">
        <v>3185</v>
      </c>
      <c r="D3044" s="3">
        <v>68.03</v>
      </c>
      <c r="E3044" s="4">
        <v>0.007337216789287001</v>
      </c>
      <c r="F3044" s="4" t="s">
        <v>3178</v>
      </c>
      <c r="G3044" s="4" t="s">
        <v>3178</v>
      </c>
      <c r="H3044" s="3">
        <v>0.499150858175248</v>
      </c>
      <c r="I3044" s="5">
        <v>2669.620947</v>
      </c>
      <c r="J3044" s="6" t="s">
        <v>3178</v>
      </c>
      <c r="K3044" s="4" t="s">
        <v>3178</v>
      </c>
      <c r="L3044" s="7">
        <v>1.019783848772831</v>
      </c>
      <c r="M3044" s="3">
        <v>101.74</v>
      </c>
      <c r="N3044" s="3">
        <v>38.14</v>
      </c>
    </row>
    <row r="3045" spans="1:14">
      <c r="A3045" s="8" t="s">
        <v>3057</v>
      </c>
      <c r="B3045" s="2">
        <f>HYPERLINK("https://www.suredividend.com/sure-analysis-WM/","Waste Management, Inc.")</f>
        <v>0</v>
      </c>
      <c r="C3045" s="1" t="s">
        <v>3179</v>
      </c>
      <c r="D3045" s="3">
        <v>200.55</v>
      </c>
      <c r="E3045" s="4">
        <v>0.01495886312640239</v>
      </c>
      <c r="F3045" s="4">
        <v>0.0714285714285714</v>
      </c>
      <c r="G3045" s="4">
        <v>0.07912928578583145</v>
      </c>
      <c r="H3045" s="3">
        <v>2.884213534743651</v>
      </c>
      <c r="I3045" s="5">
        <v>80437.215304</v>
      </c>
      <c r="J3045" s="6">
        <v>32.44744465667608</v>
      </c>
      <c r="K3045" s="4">
        <v>0.4720480416929052</v>
      </c>
      <c r="L3045" s="7">
        <v>0.180908753160583</v>
      </c>
      <c r="M3045" s="3">
        <v>213.75</v>
      </c>
      <c r="N3045" s="3">
        <v>148.01</v>
      </c>
    </row>
    <row r="3046" spans="1:14">
      <c r="A3046" s="8" t="s">
        <v>3058</v>
      </c>
      <c r="B3046" s="2">
        <f>HYPERLINK("https://www.suredividend.com/sure-analysis-WMB/","Williams Cos Inc")</f>
        <v>0</v>
      </c>
      <c r="C3046" s="1" t="s">
        <v>3185</v>
      </c>
      <c r="D3046" s="3">
        <v>40.7</v>
      </c>
      <c r="E3046" s="4">
        <v>0.04668304668304668</v>
      </c>
      <c r="F3046" s="4">
        <v>0.06145251396648055</v>
      </c>
      <c r="G3046" s="4">
        <v>0.04563955259127317</v>
      </c>
      <c r="H3046" s="3">
        <v>2.237853662333822</v>
      </c>
      <c r="I3046" s="5">
        <v>49603.288573</v>
      </c>
      <c r="J3046" s="6">
        <v>17.21738582898299</v>
      </c>
      <c r="K3046" s="4">
        <v>0.948243077260094</v>
      </c>
      <c r="L3046" s="7">
        <v>0.489823149715252</v>
      </c>
      <c r="M3046" s="3">
        <v>41.41</v>
      </c>
      <c r="N3046" s="3">
        <v>28.62</v>
      </c>
    </row>
    <row r="3047" spans="1:14">
      <c r="A3047" s="8" t="s">
        <v>3059</v>
      </c>
      <c r="B3047" s="2">
        <f>HYPERLINK("https://www.suredividend.com/sure-analysis-research-database/","Western Asset Mortgage Capital Corp")</f>
        <v>0</v>
      </c>
      <c r="C3047" s="1" t="s">
        <v>3183</v>
      </c>
      <c r="D3047" s="3">
        <v>9.18</v>
      </c>
      <c r="E3047" s="4">
        <v>0.170853599230145</v>
      </c>
      <c r="F3047" s="4">
        <v>-0.7142857142857143</v>
      </c>
      <c r="G3047" s="4">
        <v>0.1075663432482901</v>
      </c>
      <c r="H3047" s="3">
        <v>1.568436040932733</v>
      </c>
      <c r="I3047" s="5">
        <v>55.534952</v>
      </c>
      <c r="J3047" s="6" t="s">
        <v>3178</v>
      </c>
      <c r="K3047" s="4" t="s">
        <v>3178</v>
      </c>
      <c r="M3047" s="3">
        <v>10.2</v>
      </c>
      <c r="N3047" s="3">
        <v>7.05</v>
      </c>
    </row>
    <row r="3048" spans="1:14">
      <c r="A3048" s="8" t="s">
        <v>3060</v>
      </c>
      <c r="B3048" s="2">
        <f>HYPERLINK("https://www.suredividend.com/sure-analysis-research-database/","Weis Markets, Inc.")</f>
        <v>0</v>
      </c>
      <c r="C3048" s="1" t="s">
        <v>3184</v>
      </c>
      <c r="D3048" s="3">
        <v>62.82</v>
      </c>
      <c r="E3048" s="4">
        <v>0.021477865362762</v>
      </c>
      <c r="F3048" s="4">
        <v>0</v>
      </c>
      <c r="G3048" s="4">
        <v>0.01864637644473</v>
      </c>
      <c r="H3048" s="3">
        <v>1.34923950208875</v>
      </c>
      <c r="I3048" s="5">
        <v>1689.760189</v>
      </c>
      <c r="J3048" s="6">
        <v>16.70070063214699</v>
      </c>
      <c r="K3048" s="4">
        <v>0.3588402931087101</v>
      </c>
      <c r="L3048" s="7">
        <v>0.175748471276835</v>
      </c>
      <c r="M3048" s="3">
        <v>70.29000000000001</v>
      </c>
      <c r="N3048" s="3">
        <v>58.24</v>
      </c>
    </row>
    <row r="3049" spans="1:14">
      <c r="A3049" s="8" t="s">
        <v>3061</v>
      </c>
      <c r="B3049" s="2">
        <f>HYPERLINK("https://www.suredividend.com/sure-analysis-research-database/","Advanced Drainage Systems Inc")</f>
        <v>0</v>
      </c>
      <c r="C3049" s="1" t="s">
        <v>3179</v>
      </c>
      <c r="D3049" s="3">
        <v>161.81</v>
      </c>
      <c r="E3049" s="4">
        <v>0.003579605515065</v>
      </c>
      <c r="F3049" s="4">
        <v>0.1428571428571428</v>
      </c>
      <c r="G3049" s="4">
        <v>0.1219551454461996</v>
      </c>
      <c r="H3049" s="3">
        <v>0.579215968392726</v>
      </c>
      <c r="I3049" s="5">
        <v>12541.600871</v>
      </c>
      <c r="J3049" s="6">
        <v>24.59547350272104</v>
      </c>
      <c r="K3049" s="4">
        <v>0.08980092533220559</v>
      </c>
      <c r="L3049" s="7">
        <v>1.483494284443271</v>
      </c>
      <c r="M3049" s="3">
        <v>184.1</v>
      </c>
      <c r="N3049" s="3">
        <v>102.02</v>
      </c>
    </row>
    <row r="3050" spans="1:14">
      <c r="A3050" s="8" t="s">
        <v>3062</v>
      </c>
      <c r="B3050" s="2">
        <f>HYPERLINK("https://www.suredividend.com/sure-analysis-WMT/","Walmart Inc")</f>
        <v>0</v>
      </c>
      <c r="C3050" s="1" t="s">
        <v>3184</v>
      </c>
      <c r="D3050" s="3">
        <v>65.88</v>
      </c>
      <c r="E3050" s="4">
        <v>0.0125986642380085</v>
      </c>
      <c r="F3050" s="4">
        <v>-0.6359649122807018</v>
      </c>
      <c r="G3050" s="4">
        <v>-0.1710116138175594</v>
      </c>
      <c r="H3050" s="3">
        <v>0.7909976100652411</v>
      </c>
      <c r="I3050" s="5">
        <v>530334</v>
      </c>
      <c r="J3050" s="6">
        <v>34.22501751293404</v>
      </c>
      <c r="K3050" s="4">
        <v>0.4141348743797073</v>
      </c>
      <c r="L3050" s="7">
        <v>0.317058684599078</v>
      </c>
      <c r="M3050" s="3">
        <v>67.56999999999999</v>
      </c>
      <c r="N3050" s="3">
        <v>49.51</v>
      </c>
    </row>
    <row r="3051" spans="1:14">
      <c r="A3051" s="8" t="s">
        <v>3063</v>
      </c>
      <c r="B3051" s="2">
        <f>HYPERLINK("https://www.suredividend.com/sure-analysis-research-database/","Wabash National Corp.")</f>
        <v>0</v>
      </c>
      <c r="C3051" s="1" t="s">
        <v>3179</v>
      </c>
      <c r="D3051" s="3">
        <v>20.46</v>
      </c>
      <c r="E3051" s="4">
        <v>0.015567306182438</v>
      </c>
      <c r="F3051" s="4">
        <v>0</v>
      </c>
      <c r="G3051" s="4">
        <v>0</v>
      </c>
      <c r="H3051" s="3">
        <v>0.318507084492682</v>
      </c>
      <c r="I3051" s="5">
        <v>921.162335</v>
      </c>
      <c r="J3051" s="6">
        <v>4.647499745820006</v>
      </c>
      <c r="K3051" s="4">
        <v>0.07601601061877851</v>
      </c>
      <c r="L3051" s="7">
        <v>0.861846844512655</v>
      </c>
      <c r="M3051" s="3">
        <v>29.98</v>
      </c>
      <c r="N3051" s="3">
        <v>19.89</v>
      </c>
    </row>
    <row r="3052" spans="1:14">
      <c r="A3052" s="8" t="s">
        <v>3064</v>
      </c>
      <c r="B3052" s="2">
        <f>HYPERLINK("https://www.suredividend.com/sure-analysis-research-database/","Western New England Bancorp Inc")</f>
        <v>0</v>
      </c>
      <c r="C3052" s="1" t="s">
        <v>3180</v>
      </c>
      <c r="D3052" s="3">
        <v>6.5</v>
      </c>
      <c r="E3052" s="4">
        <v>0.042010453903435</v>
      </c>
      <c r="F3052" s="4">
        <v>0</v>
      </c>
      <c r="G3052" s="4">
        <v>0.06961037572506878</v>
      </c>
      <c r="H3052" s="3">
        <v>0.273067950372332</v>
      </c>
      <c r="I3052" s="5">
        <v>140.579985</v>
      </c>
      <c r="J3052" s="6">
        <v>11.04754302554028</v>
      </c>
      <c r="K3052" s="4">
        <v>0.4613413589666025</v>
      </c>
      <c r="L3052" s="7">
        <v>0.446423123384681</v>
      </c>
      <c r="M3052" s="3">
        <v>8.98</v>
      </c>
      <c r="N3052" s="3">
        <v>5.29</v>
      </c>
    </row>
    <row r="3053" spans="1:14">
      <c r="A3053" s="8" t="s">
        <v>3065</v>
      </c>
      <c r="B3053" s="2">
        <f>HYPERLINK("https://www.suredividend.com/sure-analysis-research-database/","Worthington Enterprises Inc.")</f>
        <v>0</v>
      </c>
      <c r="C3053" s="1" t="s">
        <v>3177</v>
      </c>
      <c r="D3053" s="3">
        <v>53.31</v>
      </c>
      <c r="E3053" s="4">
        <v>0.014744474450252</v>
      </c>
      <c r="F3053" s="4">
        <v>-0.4838709677419355</v>
      </c>
      <c r="G3053" s="4">
        <v>-0.07000967743947428</v>
      </c>
      <c r="H3053" s="3">
        <v>0.786027932942955</v>
      </c>
      <c r="I3053" s="5">
        <v>2670.831</v>
      </c>
      <c r="J3053" s="6">
        <v>9.808017303744617</v>
      </c>
      <c r="K3053" s="4">
        <v>0.1442253087968725</v>
      </c>
      <c r="L3053" s="7">
        <v>1.136777438016326</v>
      </c>
      <c r="M3053" s="3">
        <v>69.95999999999999</v>
      </c>
      <c r="N3053" s="3">
        <v>38.78</v>
      </c>
    </row>
    <row r="3054" spans="1:14">
      <c r="A3054" s="8" t="s">
        <v>3066</v>
      </c>
      <c r="B3054" s="2">
        <f>HYPERLINK("https://www.suredividend.com/sure-analysis-research-database/","WideOpenWest Inc")</f>
        <v>0</v>
      </c>
      <c r="C3054" s="1" t="s">
        <v>3187</v>
      </c>
      <c r="D3054" s="3">
        <v>5.08</v>
      </c>
      <c r="E3054" s="4">
        <v>0</v>
      </c>
      <c r="F3054" s="4" t="s">
        <v>3178</v>
      </c>
      <c r="G3054" s="4" t="s">
        <v>3178</v>
      </c>
      <c r="H3054" s="3">
        <v>0</v>
      </c>
      <c r="I3054" s="5">
        <v>429.599679</v>
      </c>
      <c r="J3054" s="6" t="s">
        <v>3178</v>
      </c>
      <c r="K3054" s="4">
        <v>-0</v>
      </c>
      <c r="L3054" s="7">
        <v>1.817375709631952</v>
      </c>
      <c r="M3054" s="3">
        <v>9.06</v>
      </c>
      <c r="N3054" s="3">
        <v>2.31</v>
      </c>
    </row>
    <row r="3055" spans="1:14">
      <c r="A3055" s="8" t="s">
        <v>3067</v>
      </c>
      <c r="B3055" s="2">
        <f>HYPERLINK("https://www.suredividend.com/sure-analysis-WPC/","W. P. Carey Inc")</f>
        <v>0</v>
      </c>
      <c r="C3055" s="1" t="s">
        <v>3183</v>
      </c>
      <c r="D3055" s="3">
        <v>56.21</v>
      </c>
      <c r="E3055" s="4">
        <v>0.06795943782245152</v>
      </c>
      <c r="F3055" s="4">
        <v>-0.1893158388003748</v>
      </c>
      <c r="G3055" s="4">
        <v>-0.03506265733044833</v>
      </c>
      <c r="H3055" s="3">
        <v>3.73872029860292</v>
      </c>
      <c r="I3055" s="5">
        <v>12300.136837</v>
      </c>
      <c r="J3055" s="6">
        <v>21.45957851881705</v>
      </c>
      <c r="K3055" s="4">
        <v>1.410837848529404</v>
      </c>
      <c r="L3055" s="7">
        <v>0.7631138953891781</v>
      </c>
      <c r="M3055" s="3">
        <v>68.81999999999999</v>
      </c>
      <c r="N3055" s="3">
        <v>49.13</v>
      </c>
    </row>
    <row r="3056" spans="1:14">
      <c r="A3056" s="8" t="s">
        <v>3068</v>
      </c>
      <c r="B3056" s="2">
        <f>HYPERLINK("https://www.suredividend.com/sure-analysis-research-database/","Washington Prime Group Inc")</f>
        <v>0</v>
      </c>
      <c r="C3056" s="1" t="s">
        <v>3183</v>
      </c>
      <c r="D3056" s="3">
        <v>0.8323</v>
      </c>
      <c r="E3056" s="4">
        <v>0</v>
      </c>
      <c r="F3056" s="4" t="s">
        <v>3178</v>
      </c>
      <c r="G3056" s="4" t="s">
        <v>3178</v>
      </c>
      <c r="H3056" s="3">
        <v>0</v>
      </c>
      <c r="I3056" s="5">
        <v>15.701488</v>
      </c>
      <c r="J3056" s="6" t="s">
        <v>3178</v>
      </c>
      <c r="K3056" s="4">
        <v>-0</v>
      </c>
      <c r="L3056" s="7">
        <v>2.113330496512534</v>
      </c>
      <c r="M3056" s="3">
        <v>16.55</v>
      </c>
      <c r="N3056" s="3">
        <v>0.8250000000000001</v>
      </c>
    </row>
    <row r="3057" spans="1:14">
      <c r="A3057" s="8" t="s">
        <v>3069</v>
      </c>
      <c r="B3057" s="2">
        <f>HYPERLINK("https://www.suredividend.com/sure-analysis-research-database/","WPX Energy Inc")</f>
        <v>0</v>
      </c>
      <c r="C3057" s="1" t="s">
        <v>3185</v>
      </c>
      <c r="D3057" s="3">
        <v>9.43</v>
      </c>
      <c r="E3057" s="4">
        <v>0</v>
      </c>
      <c r="F3057" s="4" t="s">
        <v>3178</v>
      </c>
      <c r="G3057" s="4" t="s">
        <v>3178</v>
      </c>
      <c r="H3057" s="3">
        <v>0</v>
      </c>
      <c r="I3057" s="5">
        <v>5290.612717</v>
      </c>
      <c r="J3057" s="6" t="s">
        <v>3178</v>
      </c>
      <c r="K3057" s="4">
        <v>-0</v>
      </c>
      <c r="L3057" s="7">
        <v>2.129134810594393</v>
      </c>
      <c r="M3057" s="3">
        <v>13.6</v>
      </c>
      <c r="N3057" s="3">
        <v>2.11</v>
      </c>
    </row>
    <row r="3058" spans="1:14">
      <c r="A3058" s="8" t="s">
        <v>3070</v>
      </c>
      <c r="B3058" s="2">
        <f>HYPERLINK("https://www.suredividend.com/sure-analysis-WRB/","W.R. Berkley Corp.")</f>
        <v>0</v>
      </c>
      <c r="C3058" s="1" t="s">
        <v>3180</v>
      </c>
      <c r="D3058" s="3">
        <v>80.2</v>
      </c>
      <c r="E3058" s="4">
        <v>0.005486284289276807</v>
      </c>
      <c r="F3058" s="4">
        <v>-0.78</v>
      </c>
      <c r="G3058" s="4">
        <v>-0.01725173034385397</v>
      </c>
      <c r="H3058" s="3">
        <v>0.437184755069744</v>
      </c>
      <c r="I3058" s="5">
        <v>20504.114615</v>
      </c>
      <c r="J3058" s="6">
        <v>13.40397528894479</v>
      </c>
      <c r="K3058" s="4">
        <v>0.07765270960386217</v>
      </c>
      <c r="L3058" s="7">
        <v>0.255577587372156</v>
      </c>
      <c r="M3058" s="3">
        <v>89.19</v>
      </c>
      <c r="N3058" s="3">
        <v>55.36</v>
      </c>
    </row>
    <row r="3059" spans="1:14">
      <c r="A3059" s="8" t="s">
        <v>3071</v>
      </c>
      <c r="B3059" s="2">
        <f>HYPERLINK("https://www.suredividend.com/sure-analysis-research-database/","Weingarten Realty Investors")</f>
        <v>0</v>
      </c>
      <c r="C3059" s="1" t="s">
        <v>3183</v>
      </c>
      <c r="D3059" s="3">
        <v>31.44</v>
      </c>
      <c r="E3059" s="4">
        <v>0.049146813288633</v>
      </c>
      <c r="F3059" s="4" t="s">
        <v>3178</v>
      </c>
      <c r="G3059" s="4" t="s">
        <v>3178</v>
      </c>
      <c r="H3059" s="3">
        <v>1.545175809794621</v>
      </c>
      <c r="I3059" s="5">
        <v>4017.554018</v>
      </c>
      <c r="J3059" s="6">
        <v>45.88134413320543</v>
      </c>
      <c r="K3059" s="4">
        <v>2.250474526353949</v>
      </c>
      <c r="L3059" s="7">
        <v>1.169584313419684</v>
      </c>
      <c r="M3059" s="3">
        <v>33.41</v>
      </c>
      <c r="N3059" s="3">
        <v>14.4</v>
      </c>
    </row>
    <row r="3060" spans="1:14">
      <c r="A3060" s="8" t="s">
        <v>3072</v>
      </c>
      <c r="B3060" s="2">
        <f>HYPERLINK("https://www.suredividend.com/sure-analysis-WRK/","WestRock Co")</f>
        <v>0</v>
      </c>
      <c r="C3060" s="1" t="s">
        <v>3182</v>
      </c>
      <c r="D3060" s="3">
        <v>51.86</v>
      </c>
      <c r="E3060" s="4">
        <v>0.02333204782105669</v>
      </c>
      <c r="F3060" s="4">
        <v>0.09999999999999987</v>
      </c>
      <c r="G3060" s="4">
        <v>-0.07839929889760267</v>
      </c>
      <c r="H3060" s="3">
        <v>1.170857949159536</v>
      </c>
      <c r="I3060" s="5">
        <v>13328.02</v>
      </c>
      <c r="J3060" s="6">
        <v>43.71275828140374</v>
      </c>
      <c r="K3060" s="4">
        <v>0.9839142429912069</v>
      </c>
      <c r="L3060" s="7">
        <v>0.6261824379826471</v>
      </c>
      <c r="M3060" s="3">
        <v>54.83</v>
      </c>
      <c r="N3060" s="3">
        <v>26.34</v>
      </c>
    </row>
    <row r="3061" spans="1:14">
      <c r="A3061" s="8" t="s">
        <v>3073</v>
      </c>
      <c r="B3061" s="2">
        <f>HYPERLINK("https://www.suredividend.com/sure-analysis-research-database/","World Acceptance Corp.")</f>
        <v>0</v>
      </c>
      <c r="C3061" s="1" t="s">
        <v>3180</v>
      </c>
      <c r="D3061" s="3">
        <v>126.47</v>
      </c>
      <c r="E3061" s="4">
        <v>0</v>
      </c>
      <c r="F3061" s="4" t="s">
        <v>3178</v>
      </c>
      <c r="G3061" s="4" t="s">
        <v>3178</v>
      </c>
      <c r="H3061" s="3">
        <v>0</v>
      </c>
      <c r="I3061" s="5">
        <v>739.20425</v>
      </c>
      <c r="J3061" s="6">
        <v>9.557205773796488</v>
      </c>
      <c r="K3061" s="4">
        <v>0</v>
      </c>
      <c r="L3061" s="7">
        <v>1.533770647110721</v>
      </c>
      <c r="M3061" s="3">
        <v>160.07</v>
      </c>
      <c r="N3061" s="3">
        <v>94.56999999999999</v>
      </c>
    </row>
    <row r="3062" spans="1:14">
      <c r="A3062" s="8" t="s">
        <v>3074</v>
      </c>
      <c r="B3062" s="2">
        <f>HYPERLINK("https://www.suredividend.com/sure-analysis-research-database/","Wrap Technologies Inc")</f>
        <v>0</v>
      </c>
      <c r="C3062" s="1" t="s">
        <v>3181</v>
      </c>
      <c r="D3062" s="3">
        <v>5.75</v>
      </c>
      <c r="E3062" s="4">
        <v>0</v>
      </c>
      <c r="F3062" s="4" t="s">
        <v>3178</v>
      </c>
      <c r="G3062" s="4" t="s">
        <v>3178</v>
      </c>
      <c r="H3062" s="3">
        <v>0</v>
      </c>
      <c r="I3062" s="5">
        <v>213.964498</v>
      </c>
      <c r="J3062" s="6">
        <v>0</v>
      </c>
      <c r="K3062" s="4" t="s">
        <v>3178</v>
      </c>
      <c r="L3062" s="7">
        <v>1.199903386352587</v>
      </c>
      <c r="M3062" s="3">
        <v>13.35</v>
      </c>
      <c r="N3062" s="3">
        <v>3.36</v>
      </c>
    </row>
    <row r="3063" spans="1:14">
      <c r="A3063" s="8" t="s">
        <v>3075</v>
      </c>
      <c r="B3063" s="2">
        <f>HYPERLINK("https://www.suredividend.com/sure-analysis-WSBC/","Wesbanco, Inc.")</f>
        <v>0</v>
      </c>
      <c r="C3063" s="1" t="s">
        <v>3180</v>
      </c>
      <c r="D3063" s="3">
        <v>26.45</v>
      </c>
      <c r="E3063" s="4">
        <v>0.05444234404536862</v>
      </c>
      <c r="F3063" s="4">
        <v>0.02857142857142847</v>
      </c>
      <c r="G3063" s="4">
        <v>0.03035803310185115</v>
      </c>
      <c r="H3063" s="3">
        <v>1.376392892331266</v>
      </c>
      <c r="I3063" s="5">
        <v>1571.743561</v>
      </c>
      <c r="J3063" s="6">
        <v>11.04846484686382</v>
      </c>
      <c r="K3063" s="4">
        <v>0.5758966076699857</v>
      </c>
      <c r="L3063" s="7">
        <v>1.170976506055588</v>
      </c>
      <c r="M3063" s="3">
        <v>30.58</v>
      </c>
      <c r="N3063" s="3">
        <v>21.3</v>
      </c>
    </row>
    <row r="3064" spans="1:14">
      <c r="A3064" s="8" t="s">
        <v>3076</v>
      </c>
      <c r="B3064" s="2">
        <f>HYPERLINK("https://www.suredividend.com/sure-analysis-research-database/","Waterstone Financial Inc")</f>
        <v>0</v>
      </c>
      <c r="C3064" s="1" t="s">
        <v>3180</v>
      </c>
      <c r="D3064" s="3">
        <v>12.13</v>
      </c>
      <c r="E3064" s="4">
        <v>0.05147860225453001</v>
      </c>
      <c r="F3064" s="4">
        <v>-0.2500000000000001</v>
      </c>
      <c r="G3064" s="4">
        <v>0.04563955259127317</v>
      </c>
      <c r="H3064" s="3">
        <v>0.6244354453474541</v>
      </c>
      <c r="I3064" s="5">
        <v>238.278578</v>
      </c>
      <c r="J3064" s="6">
        <v>23.22856096022617</v>
      </c>
      <c r="K3064" s="4">
        <v>1.199914383834462</v>
      </c>
      <c r="L3064" s="7">
        <v>0.9749045497141041</v>
      </c>
      <c r="M3064" s="3">
        <v>14.24</v>
      </c>
      <c r="N3064" s="3">
        <v>9.17</v>
      </c>
    </row>
    <row r="3065" spans="1:14">
      <c r="A3065" s="8" t="s">
        <v>3077</v>
      </c>
      <c r="B3065" s="2">
        <f>HYPERLINK("https://www.suredividend.com/sure-analysis-research-database/","WillScot Mobile Mini Holdings Corp")</f>
        <v>0</v>
      </c>
      <c r="C3065" s="1" t="s">
        <v>3179</v>
      </c>
      <c r="D3065" s="3">
        <v>38.3</v>
      </c>
      <c r="E3065" s="4">
        <v>0</v>
      </c>
      <c r="F3065" s="4" t="s">
        <v>3178</v>
      </c>
      <c r="G3065" s="4" t="s">
        <v>3178</v>
      </c>
      <c r="H3065" s="3">
        <v>0</v>
      </c>
      <c r="I3065" s="5">
        <v>7283.917248</v>
      </c>
      <c r="J3065" s="6">
        <v>22.6340056122655</v>
      </c>
      <c r="K3065" s="4">
        <v>0</v>
      </c>
      <c r="L3065" s="7">
        <v>1.049827743563844</v>
      </c>
      <c r="M3065" s="3">
        <v>52.16</v>
      </c>
      <c r="N3065" s="3">
        <v>34.4</v>
      </c>
    </row>
    <row r="3066" spans="1:14">
      <c r="A3066" s="8" t="s">
        <v>3078</v>
      </c>
      <c r="B3066" s="2">
        <f>HYPERLINK("https://www.suredividend.com/sure-analysis-research-database/","WSFS Financial Corp.")</f>
        <v>0</v>
      </c>
      <c r="C3066" s="1" t="s">
        <v>3180</v>
      </c>
      <c r="D3066" s="3">
        <v>43.79</v>
      </c>
      <c r="E3066" s="4">
        <v>0.01355703067931</v>
      </c>
      <c r="F3066" s="4">
        <v>0</v>
      </c>
      <c r="G3066" s="4">
        <v>0.04563955259127317</v>
      </c>
      <c r="H3066" s="3">
        <v>0.593662373447006</v>
      </c>
      <c r="I3066" s="5">
        <v>2631.504918</v>
      </c>
      <c r="J3066" s="6">
        <v>9.656438108970949</v>
      </c>
      <c r="K3066" s="4">
        <v>0.132810374372932</v>
      </c>
      <c r="L3066" s="7">
        <v>1.317343357042891</v>
      </c>
      <c r="M3066" s="3">
        <v>47.55</v>
      </c>
      <c r="N3066" s="3">
        <v>32.39</v>
      </c>
    </row>
    <row r="3067" spans="1:14">
      <c r="A3067" s="8" t="s">
        <v>3079</v>
      </c>
      <c r="B3067" s="2">
        <f>HYPERLINK("https://www.suredividend.com/sure-analysis-WSM/","Williams-Sonoma, Inc.")</f>
        <v>0</v>
      </c>
      <c r="C3067" s="1" t="s">
        <v>3182</v>
      </c>
      <c r="D3067" s="3">
        <v>292.52</v>
      </c>
      <c r="E3067" s="4">
        <v>0.01545193491043347</v>
      </c>
      <c r="F3067" s="4">
        <v>0.2555555555555553</v>
      </c>
      <c r="G3067" s="4">
        <v>0.1867724097442729</v>
      </c>
      <c r="H3067" s="3">
        <v>3.806265000508658</v>
      </c>
      <c r="I3067" s="5">
        <v>18811.400439</v>
      </c>
      <c r="J3067" s="6">
        <v>17.76508993713269</v>
      </c>
      <c r="K3067" s="4">
        <v>0.2333700184248104</v>
      </c>
      <c r="L3067" s="7">
        <v>1.412579730932323</v>
      </c>
      <c r="M3067" s="3">
        <v>348.51</v>
      </c>
      <c r="N3067" s="3">
        <v>115.45</v>
      </c>
    </row>
    <row r="3068" spans="1:14">
      <c r="A3068" s="8" t="s">
        <v>3080</v>
      </c>
      <c r="B3068" s="2">
        <f>HYPERLINK("https://www.suredividend.com/sure-analysis-WSO/","Watsco Inc.")</f>
        <v>0</v>
      </c>
      <c r="C3068" s="1" t="s">
        <v>3179</v>
      </c>
      <c r="D3068" s="3">
        <v>462.63</v>
      </c>
      <c r="E3068" s="4">
        <v>0.02334478957266066</v>
      </c>
      <c r="F3068" s="4">
        <v>0.1020408163265305</v>
      </c>
      <c r="G3068" s="4">
        <v>0.11032151746146</v>
      </c>
      <c r="H3068" s="3">
        <v>9.957416455686641</v>
      </c>
      <c r="I3068" s="5">
        <v>21115.669685</v>
      </c>
      <c r="J3068" s="6">
        <v>44.27563394039596</v>
      </c>
      <c r="K3068" s="4">
        <v>0.766544761792659</v>
      </c>
      <c r="L3068" s="7">
        <v>1.285829914407184</v>
      </c>
      <c r="M3068" s="3">
        <v>491.9</v>
      </c>
      <c r="N3068" s="3">
        <v>331.23</v>
      </c>
    </row>
    <row r="3069" spans="1:14">
      <c r="A3069" s="8" t="s">
        <v>3081</v>
      </c>
      <c r="B3069" s="2">
        <f>HYPERLINK("https://www.suredividend.com/sure-analysis-WSR/","Whitestone REIT")</f>
        <v>0</v>
      </c>
      <c r="C3069" s="1" t="s">
        <v>3183</v>
      </c>
      <c r="D3069" s="3">
        <v>13.15</v>
      </c>
      <c r="E3069" s="4">
        <v>0.03802281368821293</v>
      </c>
      <c r="F3069" s="4">
        <v>0.03125</v>
      </c>
      <c r="G3069" s="4">
        <v>0.006173308542779088</v>
      </c>
      <c r="H3069" s="3">
        <v>0.474798182525653</v>
      </c>
      <c r="I3069" s="5">
        <v>656.96924</v>
      </c>
      <c r="J3069" s="6">
        <v>26.6270514205812</v>
      </c>
      <c r="K3069" s="4">
        <v>0.9824088196268426</v>
      </c>
      <c r="L3069" s="7">
        <v>0.8454028798783191</v>
      </c>
      <c r="M3069" s="3">
        <v>13.44</v>
      </c>
      <c r="N3069" s="3">
        <v>8.83</v>
      </c>
    </row>
    <row r="3070" spans="1:14">
      <c r="A3070" s="8" t="s">
        <v>3082</v>
      </c>
      <c r="B3070" s="2">
        <f>HYPERLINK("https://www.suredividend.com/sure-analysis-WST/","West Pharmaceutical Services, Inc.")</f>
        <v>0</v>
      </c>
      <c r="C3070" s="1" t="s">
        <v>3176</v>
      </c>
      <c r="D3070" s="3">
        <v>314.68</v>
      </c>
      <c r="E3070" s="4">
        <v>0.002542265158256006</v>
      </c>
      <c r="F3070" s="4">
        <v>0.05263157894736836</v>
      </c>
      <c r="G3070" s="4">
        <v>0.05922384104881218</v>
      </c>
      <c r="H3070" s="3">
        <v>0.7894752302422651</v>
      </c>
      <c r="I3070" s="5">
        <v>22922.284645</v>
      </c>
      <c r="J3070" s="6">
        <v>40.3064614819061</v>
      </c>
      <c r="K3070" s="4">
        <v>0.1040151818501008</v>
      </c>
      <c r="L3070" s="7">
        <v>1.081037998669279</v>
      </c>
      <c r="M3070" s="3">
        <v>415.28</v>
      </c>
      <c r="N3070" s="3">
        <v>310.09</v>
      </c>
    </row>
    <row r="3071" spans="1:14">
      <c r="A3071" s="8" t="s">
        <v>3083</v>
      </c>
      <c r="B3071" s="2">
        <f>HYPERLINK("https://www.suredividend.com/sure-analysis-research-database/","Westell Technologies, Inc.")</f>
        <v>0</v>
      </c>
      <c r="C3071" s="1" t="s">
        <v>3181</v>
      </c>
      <c r="D3071" s="3">
        <v>1.33</v>
      </c>
      <c r="E3071" s="4">
        <v>0</v>
      </c>
      <c r="F3071" s="4" t="s">
        <v>3178</v>
      </c>
      <c r="G3071" s="4" t="s">
        <v>3178</v>
      </c>
      <c r="H3071" s="3">
        <v>0</v>
      </c>
      <c r="I3071" s="5">
        <v>10.75133</v>
      </c>
      <c r="J3071" s="6" t="s">
        <v>3178</v>
      </c>
      <c r="K3071" s="4">
        <v>-0</v>
      </c>
      <c r="M3071" s="3">
        <v>1.85</v>
      </c>
      <c r="N3071" s="3">
        <v>1.11</v>
      </c>
    </row>
    <row r="3072" spans="1:14">
      <c r="A3072" s="8" t="s">
        <v>3084</v>
      </c>
      <c r="B3072" s="2">
        <f>HYPERLINK("https://www.suredividend.com/sure-analysis-research-database/","West Bancorporation")</f>
        <v>0</v>
      </c>
      <c r="C3072" s="1" t="s">
        <v>3180</v>
      </c>
      <c r="D3072" s="3">
        <v>16.89</v>
      </c>
      <c r="E3072" s="4">
        <v>0.057134478756399</v>
      </c>
      <c r="F3072" s="4">
        <v>0</v>
      </c>
      <c r="G3072" s="4">
        <v>0.03548578845590522</v>
      </c>
      <c r="H3072" s="3">
        <v>0.9650013461955841</v>
      </c>
      <c r="I3072" s="5">
        <v>283.987649</v>
      </c>
      <c r="J3072" s="6">
        <v>12.84895707537779</v>
      </c>
      <c r="K3072" s="4">
        <v>0.7310616259057455</v>
      </c>
      <c r="L3072" s="7">
        <v>0.9513176844836491</v>
      </c>
      <c r="M3072" s="3">
        <v>21.45</v>
      </c>
      <c r="N3072" s="3">
        <v>14.19</v>
      </c>
    </row>
    <row r="3073" spans="1:14">
      <c r="A3073" s="8" t="s">
        <v>3085</v>
      </c>
      <c r="B3073" s="2">
        <f>HYPERLINK("https://www.suredividend.com/sure-analysis-research-database/","Alkaline Water Company Inc (The)")</f>
        <v>0</v>
      </c>
      <c r="C3073" s="1" t="s">
        <v>3184</v>
      </c>
      <c r="D3073" s="3">
        <v>0.0001</v>
      </c>
      <c r="E3073" s="4">
        <v>0</v>
      </c>
      <c r="F3073" s="4" t="s">
        <v>3178</v>
      </c>
      <c r="G3073" s="4" t="s">
        <v>3178</v>
      </c>
      <c r="H3073" s="3">
        <v>0</v>
      </c>
      <c r="I3073" s="5">
        <v>0.001302</v>
      </c>
      <c r="J3073" s="6">
        <v>0</v>
      </c>
      <c r="K3073" s="4" t="s">
        <v>3178</v>
      </c>
      <c r="M3073" s="3">
        <v>0.275</v>
      </c>
      <c r="N3073" s="3">
        <v>0.0001</v>
      </c>
    </row>
    <row r="3074" spans="1:14">
      <c r="A3074" s="8" t="s">
        <v>3086</v>
      </c>
      <c r="B3074" s="2">
        <f>HYPERLINK("https://www.suredividend.com/sure-analysis-research-database/","Wintrust Financial Corp.")</f>
        <v>0</v>
      </c>
      <c r="C3074" s="1" t="s">
        <v>3180</v>
      </c>
      <c r="D3074" s="3">
        <v>95.43000000000001</v>
      </c>
      <c r="E3074" s="4">
        <v>0.017595649489435</v>
      </c>
      <c r="F3074" s="4">
        <v>0.125</v>
      </c>
      <c r="G3074" s="4">
        <v>0.1247461131420948</v>
      </c>
      <c r="H3074" s="3">
        <v>1.679152830776876</v>
      </c>
      <c r="I3074" s="5">
        <v>5893.141372</v>
      </c>
      <c r="J3074" s="6">
        <v>9.793208186563369</v>
      </c>
      <c r="K3074" s="4">
        <v>0.1736455874639996</v>
      </c>
      <c r="L3074" s="7">
        <v>1.022676938743161</v>
      </c>
      <c r="M3074" s="3">
        <v>104.35</v>
      </c>
      <c r="N3074" s="3">
        <v>65.70999999999999</v>
      </c>
    </row>
    <row r="3075" spans="1:14">
      <c r="A3075" s="8" t="s">
        <v>3087</v>
      </c>
      <c r="B3075" s="2">
        <f>HYPERLINK("https://www.suredividend.com/sure-analysis-research-database/","W &amp; T Offshore Inc")</f>
        <v>0</v>
      </c>
      <c r="C3075" s="1" t="s">
        <v>3185</v>
      </c>
      <c r="D3075" s="3">
        <v>2.11</v>
      </c>
      <c r="E3075" s="4">
        <v>0.014157510675189</v>
      </c>
      <c r="F3075" s="4" t="s">
        <v>3178</v>
      </c>
      <c r="G3075" s="4" t="s">
        <v>3178</v>
      </c>
      <c r="H3075" s="3">
        <v>0.029872347524649</v>
      </c>
      <c r="I3075" s="5">
        <v>309.868854</v>
      </c>
      <c r="J3075" s="6">
        <v>19.86593502179766</v>
      </c>
      <c r="K3075" s="4">
        <v>0.2839576760898194</v>
      </c>
      <c r="L3075" s="7">
        <v>0.7575281913889771</v>
      </c>
      <c r="M3075" s="3">
        <v>4.45</v>
      </c>
      <c r="N3075" s="3">
        <v>2.08</v>
      </c>
    </row>
    <row r="3076" spans="1:14">
      <c r="A3076" s="8" t="s">
        <v>3088</v>
      </c>
      <c r="B3076" s="2">
        <f>HYPERLINK("https://www.suredividend.com/sure-analysis-research-database/","White Mountains Insurance Group, Ltd.")</f>
        <v>0</v>
      </c>
      <c r="C3076" s="1" t="s">
        <v>3180</v>
      </c>
      <c r="D3076" s="3">
        <v>1756.82</v>
      </c>
      <c r="E3076" s="4">
        <v>0.00056921027766</v>
      </c>
      <c r="F3076" s="4" t="s">
        <v>3178</v>
      </c>
      <c r="G3076" s="4" t="s">
        <v>3178</v>
      </c>
      <c r="H3076" s="3">
        <v>1</v>
      </c>
      <c r="I3076" s="5">
        <v>4507.531049</v>
      </c>
      <c r="J3076" s="6">
        <v>8.072226090723495</v>
      </c>
      <c r="K3076" s="4">
        <v>0.004522431259044862</v>
      </c>
      <c r="L3076" s="7">
        <v>0.364903557306475</v>
      </c>
      <c r="M3076" s="3">
        <v>1899.21</v>
      </c>
      <c r="N3076" s="3">
        <v>1349.24</v>
      </c>
    </row>
    <row r="3077" spans="1:14">
      <c r="A3077" s="8" t="s">
        <v>3089</v>
      </c>
      <c r="B3077" s="2">
        <f>HYPERLINK("https://www.suredividend.com/sure-analysis-research-database/","Watts Water Technologies, Inc.")</f>
        <v>0</v>
      </c>
      <c r="C3077" s="1" t="s">
        <v>3179</v>
      </c>
      <c r="D3077" s="3">
        <v>186.97</v>
      </c>
      <c r="E3077" s="4">
        <v>0.008053116658868001</v>
      </c>
      <c r="F3077" s="4">
        <v>0.1944444444444444</v>
      </c>
      <c r="G3077" s="4">
        <v>0.1333084422054029</v>
      </c>
      <c r="H3077" s="3">
        <v>1.505691221708675</v>
      </c>
      <c r="I3077" s="5">
        <v>5125.291567</v>
      </c>
      <c r="J3077" s="6">
        <v>18.98256135844445</v>
      </c>
      <c r="K3077" s="4">
        <v>0.1868103252740292</v>
      </c>
      <c r="L3077" s="7">
        <v>1.204205275922262</v>
      </c>
      <c r="M3077" s="3">
        <v>218.65</v>
      </c>
      <c r="N3077" s="3">
        <v>166.89</v>
      </c>
    </row>
    <row r="3078" spans="1:14">
      <c r="A3078" s="8" t="s">
        <v>3090</v>
      </c>
      <c r="B3078" s="2">
        <f>HYPERLINK("https://www.suredividend.com/sure-analysis-research-database/","Wireless Telecom Group, Inc.")</f>
        <v>0</v>
      </c>
      <c r="C3078" s="1" t="s">
        <v>3181</v>
      </c>
      <c r="D3078" s="3">
        <v>2.13</v>
      </c>
      <c r="E3078" s="4">
        <v>0</v>
      </c>
      <c r="F3078" s="4" t="s">
        <v>3178</v>
      </c>
      <c r="G3078" s="4" t="s">
        <v>3178</v>
      </c>
      <c r="H3078" s="3">
        <v>0</v>
      </c>
      <c r="I3078" s="5">
        <v>45.41383</v>
      </c>
      <c r="J3078" s="6">
        <v>0</v>
      </c>
      <c r="K3078" s="4" t="s">
        <v>3178</v>
      </c>
      <c r="L3078" s="7">
        <v>0.367352188296081</v>
      </c>
      <c r="M3078" s="3">
        <v>2.13</v>
      </c>
      <c r="N3078" s="3">
        <v>1.15</v>
      </c>
    </row>
    <row r="3079" spans="1:14">
      <c r="A3079" s="8" t="s">
        <v>3091</v>
      </c>
      <c r="B3079" s="2">
        <f>HYPERLINK("https://www.suredividend.com/sure-analysis-research-database/","Select Water Solutions Inc")</f>
        <v>0</v>
      </c>
      <c r="C3079" s="1" t="s">
        <v>3185</v>
      </c>
      <c r="D3079" s="3">
        <v>10.34</v>
      </c>
      <c r="E3079" s="4">
        <v>0.022013096312988</v>
      </c>
      <c r="F3079" s="4" t="s">
        <v>3178</v>
      </c>
      <c r="G3079" s="4" t="s">
        <v>3178</v>
      </c>
      <c r="H3079" s="3">
        <v>0.227615415876304</v>
      </c>
      <c r="I3079" s="5">
        <v>1061.861864</v>
      </c>
      <c r="J3079" s="6">
        <v>16.1669564126612</v>
      </c>
      <c r="K3079" s="4">
        <v>0.3534400867644472</v>
      </c>
      <c r="L3079" s="7">
        <v>0.4308798091150171</v>
      </c>
      <c r="M3079" s="3">
        <v>10.99</v>
      </c>
      <c r="N3079" s="3">
        <v>6.63</v>
      </c>
    </row>
    <row r="3080" spans="1:14">
      <c r="A3080" s="8" t="s">
        <v>3092</v>
      </c>
      <c r="B3080" s="2">
        <f>HYPERLINK("https://www.suredividend.com/sure-analysis-WU/","Western Union Company")</f>
        <v>0</v>
      </c>
      <c r="C3080" s="1" t="s">
        <v>3180</v>
      </c>
      <c r="D3080" s="3">
        <v>12.89</v>
      </c>
      <c r="E3080" s="4">
        <v>0.07292474786656322</v>
      </c>
      <c r="F3080" s="4">
        <v>0</v>
      </c>
      <c r="G3080" s="4">
        <v>0.03277941543624618</v>
      </c>
      <c r="H3080" s="3">
        <v>0.9146569310208581</v>
      </c>
      <c r="I3080" s="5">
        <v>4361.13998</v>
      </c>
      <c r="J3080" s="6">
        <v>7.069443962360189</v>
      </c>
      <c r="K3080" s="4">
        <v>0.5412171189472533</v>
      </c>
      <c r="L3080" s="7">
        <v>0.714338997708706</v>
      </c>
      <c r="M3080" s="3">
        <v>14</v>
      </c>
      <c r="N3080" s="3">
        <v>10.52</v>
      </c>
    </row>
    <row r="3081" spans="1:14">
      <c r="A3081" s="8" t="s">
        <v>3093</v>
      </c>
      <c r="B3081" s="2">
        <f>HYPERLINK("https://www.suredividend.com/sure-analysis-research-database/","Wave Life Sciences Ltd.")</f>
        <v>0</v>
      </c>
      <c r="C3081" s="1" t="s">
        <v>3176</v>
      </c>
      <c r="D3081" s="3">
        <v>5.81</v>
      </c>
      <c r="E3081" s="4">
        <v>0</v>
      </c>
      <c r="F3081" s="4" t="s">
        <v>3178</v>
      </c>
      <c r="G3081" s="4" t="s">
        <v>3178</v>
      </c>
      <c r="H3081" s="3">
        <v>0</v>
      </c>
      <c r="I3081" s="5">
        <v>711.49353</v>
      </c>
      <c r="J3081" s="6" t="s">
        <v>3178</v>
      </c>
      <c r="K3081" s="4">
        <v>-0</v>
      </c>
      <c r="L3081" s="7">
        <v>0.806232495403558</v>
      </c>
      <c r="M3081" s="3">
        <v>7.67</v>
      </c>
      <c r="N3081" s="3">
        <v>3.45</v>
      </c>
    </row>
    <row r="3082" spans="1:14">
      <c r="A3082" s="8" t="s">
        <v>3094</v>
      </c>
      <c r="B3082" s="2">
        <f>HYPERLINK("https://www.suredividend.com/sure-analysis-research-database/","WVS Financial Corp.")</f>
        <v>0</v>
      </c>
      <c r="C3082" s="1" t="s">
        <v>3180</v>
      </c>
      <c r="D3082" s="3">
        <v>12.16</v>
      </c>
      <c r="E3082" s="4">
        <v>0</v>
      </c>
      <c r="F3082" s="4">
        <v>-0.6000000000000001</v>
      </c>
      <c r="G3082" s="4">
        <v>-0.1674467925981269</v>
      </c>
      <c r="H3082" s="3">
        <v>0.400000005960464</v>
      </c>
      <c r="I3082" s="5">
        <v>0</v>
      </c>
      <c r="J3082" s="6">
        <v>0</v>
      </c>
      <c r="K3082" s="4" t="s">
        <v>3178</v>
      </c>
    </row>
    <row r="3083" spans="1:14">
      <c r="A3083" s="8" t="s">
        <v>3095</v>
      </c>
      <c r="B3083" s="2">
        <f>HYPERLINK("https://www.suredividend.com/sure-analysis-research-database/","Willamette Valley Vineyard Inc.")</f>
        <v>0</v>
      </c>
      <c r="C3083" s="1" t="s">
        <v>3184</v>
      </c>
      <c r="D3083" s="3">
        <v>4.12</v>
      </c>
      <c r="E3083" s="4">
        <v>0</v>
      </c>
      <c r="F3083" s="4" t="s">
        <v>3178</v>
      </c>
      <c r="G3083" s="4" t="s">
        <v>3178</v>
      </c>
      <c r="H3083" s="3">
        <v>0</v>
      </c>
      <c r="I3083" s="5">
        <v>20.453859</v>
      </c>
      <c r="J3083" s="6">
        <v>0</v>
      </c>
      <c r="K3083" s="4" t="s">
        <v>3178</v>
      </c>
      <c r="M3083" s="3">
        <v>6.59</v>
      </c>
      <c r="N3083" s="3">
        <v>3.96</v>
      </c>
    </row>
    <row r="3084" spans="1:14">
      <c r="A3084" s="8" t="s">
        <v>3096</v>
      </c>
      <c r="B3084" s="2">
        <f>HYPERLINK("https://www.suredividend.com/sure-analysis-research-database/","WW International Inc")</f>
        <v>0</v>
      </c>
      <c r="C3084" s="1" t="s">
        <v>3182</v>
      </c>
      <c r="D3084" s="3">
        <v>1.58</v>
      </c>
      <c r="E3084" s="4">
        <v>0</v>
      </c>
      <c r="F3084" s="4" t="s">
        <v>3178</v>
      </c>
      <c r="G3084" s="4" t="s">
        <v>3178</v>
      </c>
      <c r="H3084" s="3">
        <v>0</v>
      </c>
      <c r="I3084" s="5">
        <v>125.253982</v>
      </c>
      <c r="J3084" s="6" t="s">
        <v>3178</v>
      </c>
      <c r="K3084" s="4">
        <v>-0</v>
      </c>
      <c r="L3084" s="7">
        <v>2.133445208373566</v>
      </c>
      <c r="M3084" s="3">
        <v>13.31</v>
      </c>
      <c r="N3084" s="3">
        <v>1.42</v>
      </c>
    </row>
    <row r="3085" spans="1:14">
      <c r="A3085" s="8" t="s">
        <v>3097</v>
      </c>
      <c r="B3085" s="2">
        <f>HYPERLINK("https://www.suredividend.com/sure-analysis-research-database/","Woodward Inc")</f>
        <v>0</v>
      </c>
      <c r="C3085" s="1" t="s">
        <v>3179</v>
      </c>
      <c r="D3085" s="3">
        <v>182.21</v>
      </c>
      <c r="E3085" s="4">
        <v>0.005137776606902</v>
      </c>
      <c r="F3085" s="4">
        <v>0.1363636363636365</v>
      </c>
      <c r="G3085" s="4">
        <v>0.08997698704834534</v>
      </c>
      <c r="H3085" s="3">
        <v>0.9361542755436331</v>
      </c>
      <c r="I3085" s="5">
        <v>11096.589</v>
      </c>
      <c r="J3085" s="6">
        <v>31.27112224567495</v>
      </c>
      <c r="K3085" s="4">
        <v>0.1636633348852505</v>
      </c>
      <c r="L3085" s="7">
        <v>0.6602753617758591</v>
      </c>
      <c r="M3085" s="3">
        <v>188.35</v>
      </c>
      <c r="N3085" s="3">
        <v>110.45</v>
      </c>
    </row>
    <row r="3086" spans="1:14">
      <c r="A3086" s="8" t="s">
        <v>3098</v>
      </c>
      <c r="B3086" s="2">
        <f>HYPERLINK("https://www.suredividend.com/sure-analysis-research-database/","World Wrestling Entertainment, Inc.")</f>
        <v>0</v>
      </c>
      <c r="C3086" s="1" t="s">
        <v>3187</v>
      </c>
      <c r="D3086" s="3">
        <v>100.65</v>
      </c>
      <c r="E3086" s="4">
        <v>0.004759269769558001</v>
      </c>
      <c r="F3086" s="4" t="s">
        <v>3178</v>
      </c>
      <c r="G3086" s="4" t="s">
        <v>3178</v>
      </c>
      <c r="H3086" s="3">
        <v>0.4790205023060971</v>
      </c>
      <c r="I3086" s="5">
        <v>5240.104917</v>
      </c>
      <c r="J3086" s="6">
        <v>30.98325469794888</v>
      </c>
      <c r="K3086" s="4">
        <v>0.2443982154622944</v>
      </c>
      <c r="M3086" s="3">
        <v>118.04</v>
      </c>
      <c r="N3086" s="3">
        <v>65.84999999999999</v>
      </c>
    </row>
    <row r="3087" spans="1:14">
      <c r="A3087" s="8" t="s">
        <v>3099</v>
      </c>
      <c r="B3087" s="2">
        <f>HYPERLINK("https://www.suredividend.com/sure-analysis-research-database/","Westwater Resources Inc")</f>
        <v>0</v>
      </c>
      <c r="C3087" s="1" t="s">
        <v>3177</v>
      </c>
      <c r="D3087" s="3">
        <v>0.5499000000000001</v>
      </c>
      <c r="E3087" s="4">
        <v>0</v>
      </c>
      <c r="F3087" s="4" t="s">
        <v>3178</v>
      </c>
      <c r="G3087" s="4" t="s">
        <v>3178</v>
      </c>
      <c r="H3087" s="3">
        <v>0</v>
      </c>
      <c r="I3087" s="5">
        <v>31.447069</v>
      </c>
      <c r="J3087" s="6">
        <v>0</v>
      </c>
      <c r="K3087" s="4" t="s">
        <v>3178</v>
      </c>
      <c r="L3087" s="7">
        <v>0.5800680157351711</v>
      </c>
      <c r="M3087" s="3">
        <v>0.9599000000000001</v>
      </c>
      <c r="N3087" s="3">
        <v>0.4015</v>
      </c>
    </row>
    <row r="3088" spans="1:14">
      <c r="A3088" s="8" t="s">
        <v>3100</v>
      </c>
      <c r="B3088" s="2">
        <f>HYPERLINK("https://www.suredividend.com/sure-analysis-research-database/","Wolverine World Wide, Inc.")</f>
        <v>0</v>
      </c>
      <c r="C3088" s="1" t="s">
        <v>3182</v>
      </c>
      <c r="D3088" s="3">
        <v>13.1</v>
      </c>
      <c r="E3088" s="4">
        <v>0.030067416401984</v>
      </c>
      <c r="F3088" s="4">
        <v>0</v>
      </c>
      <c r="G3088" s="4">
        <v>0</v>
      </c>
      <c r="H3088" s="3">
        <v>0.393883154865994</v>
      </c>
      <c r="I3088" s="5">
        <v>1047.065014</v>
      </c>
      <c r="J3088" s="6" t="s">
        <v>3178</v>
      </c>
      <c r="K3088" s="4" t="s">
        <v>3178</v>
      </c>
      <c r="L3088" s="7">
        <v>1.679621016082588</v>
      </c>
      <c r="M3088" s="3">
        <v>14.6</v>
      </c>
      <c r="N3088" s="3">
        <v>7.07</v>
      </c>
    </row>
    <row r="3089" spans="1:14">
      <c r="A3089" s="8" t="s">
        <v>3101</v>
      </c>
      <c r="B3089" s="2">
        <f>HYPERLINK("https://www.suredividend.com/sure-analysis-WY/","Weyerhaeuser Co.")</f>
        <v>0</v>
      </c>
      <c r="C3089" s="1" t="s">
        <v>3183</v>
      </c>
      <c r="D3089" s="3">
        <v>29.36</v>
      </c>
      <c r="E3089" s="4">
        <v>0.02724795640326976</v>
      </c>
      <c r="F3089" s="4">
        <v>0.05263157894736836</v>
      </c>
      <c r="G3089" s="4">
        <v>0.03303780411393231</v>
      </c>
      <c r="H3089" s="3">
        <v>0.771202411645407</v>
      </c>
      <c r="I3089" s="5">
        <v>21403.93912</v>
      </c>
      <c r="J3089" s="6">
        <v>26.6882033915212</v>
      </c>
      <c r="K3089" s="4">
        <v>0.7010931014958245</v>
      </c>
      <c r="L3089" s="7">
        <v>0.9932402126474341</v>
      </c>
      <c r="M3089" s="3">
        <v>36.03</v>
      </c>
      <c r="N3089" s="3">
        <v>27.62</v>
      </c>
    </row>
    <row r="3090" spans="1:14">
      <c r="A3090" s="8" t="s">
        <v>3102</v>
      </c>
      <c r="B3090" s="2">
        <f>HYPERLINK("https://www.suredividend.com/sure-analysis-research-database/","Wynn Resorts Ltd.")</f>
        <v>0</v>
      </c>
      <c r="C3090" s="1" t="s">
        <v>3182</v>
      </c>
      <c r="D3090" s="3">
        <v>93.14</v>
      </c>
      <c r="E3090" s="4">
        <v>0.010654461703446</v>
      </c>
      <c r="F3090" s="4" t="s">
        <v>3178</v>
      </c>
      <c r="G3090" s="4" t="s">
        <v>3178</v>
      </c>
      <c r="H3090" s="3">
        <v>0.9923565630590521</v>
      </c>
      <c r="I3090" s="5">
        <v>10438.279994</v>
      </c>
      <c r="J3090" s="6">
        <v>12.11108764064056</v>
      </c>
      <c r="K3090" s="4">
        <v>0.1293815597208673</v>
      </c>
      <c r="L3090" s="7">
        <v>1.14270304203743</v>
      </c>
      <c r="M3090" s="3">
        <v>110.21</v>
      </c>
      <c r="N3090" s="3">
        <v>80.38</v>
      </c>
    </row>
    <row r="3091" spans="1:14">
      <c r="A3091" s="8" t="s">
        <v>3103</v>
      </c>
      <c r="B3091" s="2">
        <f>HYPERLINK("https://www.suredividend.com/sure-analysis-research-database/","Widepoint Corp")</f>
        <v>0</v>
      </c>
      <c r="C3091" s="1" t="s">
        <v>3181</v>
      </c>
      <c r="D3091" s="3">
        <v>2.84</v>
      </c>
      <c r="E3091" s="4">
        <v>0</v>
      </c>
      <c r="F3091" s="4" t="s">
        <v>3178</v>
      </c>
      <c r="G3091" s="4" t="s">
        <v>3178</v>
      </c>
      <c r="H3091" s="3">
        <v>0</v>
      </c>
      <c r="I3091" s="5">
        <v>26.445401</v>
      </c>
      <c r="J3091" s="6">
        <v>0</v>
      </c>
      <c r="K3091" s="4" t="s">
        <v>3178</v>
      </c>
      <c r="L3091" s="7">
        <v>0.836520925776557</v>
      </c>
      <c r="M3091" s="3">
        <v>3.49</v>
      </c>
      <c r="N3091" s="3">
        <v>1.6</v>
      </c>
    </row>
    <row r="3092" spans="1:14">
      <c r="A3092" s="8" t="s">
        <v>3104</v>
      </c>
      <c r="B3092" s="2">
        <f>HYPERLINK("https://www.suredividend.com/sure-analysis-research-database/","United States Steel Corp.")</f>
        <v>0</v>
      </c>
      <c r="C3092" s="1" t="s">
        <v>3177</v>
      </c>
      <c r="D3092" s="3">
        <v>38.27</v>
      </c>
      <c r="E3092" s="4">
        <v>0.005216179897218</v>
      </c>
      <c r="F3092" s="4">
        <v>0</v>
      </c>
      <c r="G3092" s="4">
        <v>0</v>
      </c>
      <c r="H3092" s="3">
        <v>0.199623204666558</v>
      </c>
      <c r="I3092" s="5">
        <v>8604.99446</v>
      </c>
      <c r="J3092" s="6">
        <v>9.925022445086508</v>
      </c>
      <c r="K3092" s="4">
        <v>0.05871270725487</v>
      </c>
      <c r="L3092" s="7">
        <v>0.8910338082414101</v>
      </c>
      <c r="M3092" s="3">
        <v>50.08</v>
      </c>
      <c r="N3092" s="3">
        <v>21.86</v>
      </c>
    </row>
    <row r="3093" spans="1:14">
      <c r="A3093" s="8" t="s">
        <v>3105</v>
      </c>
      <c r="B3093" s="2">
        <f>HYPERLINK("https://www.suredividend.com/sure-analysis-research-database/","XBiotech Inc")</f>
        <v>0</v>
      </c>
      <c r="C3093" s="1" t="s">
        <v>3176</v>
      </c>
      <c r="D3093" s="3">
        <v>6.74</v>
      </c>
      <c r="E3093" s="4">
        <v>0</v>
      </c>
      <c r="F3093" s="4" t="s">
        <v>3178</v>
      </c>
      <c r="G3093" s="4" t="s">
        <v>3178</v>
      </c>
      <c r="H3093" s="3">
        <v>0</v>
      </c>
      <c r="I3093" s="5">
        <v>205.283759</v>
      </c>
      <c r="J3093" s="6" t="s">
        <v>3178</v>
      </c>
      <c r="K3093" s="4">
        <v>-0</v>
      </c>
      <c r="M3093" s="3">
        <v>9.960000000000001</v>
      </c>
      <c r="N3093" s="3">
        <v>3.51</v>
      </c>
    </row>
    <row r="3094" spans="1:14">
      <c r="A3094" s="8" t="s">
        <v>3106</v>
      </c>
      <c r="B3094" s="2">
        <f>HYPERLINK("https://www.suredividend.com/sure-analysis-research-database/","Cimarex Energy Co.")</f>
        <v>0</v>
      </c>
      <c r="C3094" s="1" t="s">
        <v>3185</v>
      </c>
      <c r="D3094" s="3">
        <v>87.2</v>
      </c>
      <c r="E3094" s="4">
        <v>0.011175033791407</v>
      </c>
      <c r="F3094" s="4" t="s">
        <v>3178</v>
      </c>
      <c r="G3094" s="4" t="s">
        <v>3178</v>
      </c>
      <c r="H3094" s="3">
        <v>0.9744629466106991</v>
      </c>
      <c r="I3094" s="5">
        <v>8965.313918</v>
      </c>
      <c r="J3094" s="6" t="s">
        <v>3178</v>
      </c>
      <c r="K3094" s="4" t="s">
        <v>3178</v>
      </c>
      <c r="M3094" s="3">
        <v>92.51000000000001</v>
      </c>
      <c r="N3094" s="3">
        <v>21.97</v>
      </c>
    </row>
    <row r="3095" spans="1:14">
      <c r="A3095" s="8" t="s">
        <v>3107</v>
      </c>
      <c r="B3095" s="2">
        <f>HYPERLINK("https://www.suredividend.com/sure-analysis-XEL/","Xcel Energy, Inc.")</f>
        <v>0</v>
      </c>
      <c r="C3095" s="1" t="s">
        <v>3186</v>
      </c>
      <c r="D3095" s="3">
        <v>54.74</v>
      </c>
      <c r="E3095" s="4">
        <v>0.04000730727073438</v>
      </c>
      <c r="F3095" s="4">
        <v>0.05288461538461542</v>
      </c>
      <c r="G3095" s="4">
        <v>0.06214991835579098</v>
      </c>
      <c r="H3095" s="3">
        <v>2.053089912081635</v>
      </c>
      <c r="I3095" s="5">
        <v>30415.702891</v>
      </c>
      <c r="J3095" s="6">
        <v>16.52129434593156</v>
      </c>
      <c r="K3095" s="4">
        <v>0.6165435171416321</v>
      </c>
      <c r="L3095" s="7">
        <v>0.396404514050627</v>
      </c>
      <c r="M3095" s="3">
        <v>62.89</v>
      </c>
      <c r="N3095" s="3">
        <v>45.8</v>
      </c>
    </row>
    <row r="3096" spans="1:14">
      <c r="A3096" s="8" t="s">
        <v>3108</v>
      </c>
      <c r="B3096" s="2">
        <f>HYPERLINK("https://www.suredividend.com/sure-analysis-research-database/","Exela Technologies Inc")</f>
        <v>0</v>
      </c>
      <c r="C3096" s="1" t="s">
        <v>3181</v>
      </c>
      <c r="D3096" s="3">
        <v>2.35</v>
      </c>
      <c r="E3096" s="4">
        <v>0</v>
      </c>
      <c r="F3096" s="4" t="s">
        <v>3178</v>
      </c>
      <c r="G3096" s="4" t="s">
        <v>3178</v>
      </c>
      <c r="H3096" s="3">
        <v>0</v>
      </c>
      <c r="I3096" s="5">
        <v>152.6795</v>
      </c>
      <c r="J3096" s="6" t="s">
        <v>3178</v>
      </c>
      <c r="K3096" s="4">
        <v>-0</v>
      </c>
      <c r="L3096" s="7">
        <v>1.687645021018028</v>
      </c>
      <c r="M3096" s="3">
        <v>6.59</v>
      </c>
      <c r="N3096" s="3">
        <v>1.83</v>
      </c>
    </row>
    <row r="3097" spans="1:14">
      <c r="A3097" s="8" t="s">
        <v>3109</v>
      </c>
      <c r="B3097" s="2">
        <f>HYPERLINK("https://www.suredividend.com/sure-analysis-research-database/","Xcel Brands Inc")</f>
        <v>0</v>
      </c>
      <c r="C3097" s="1" t="s">
        <v>3182</v>
      </c>
      <c r="D3097" s="3">
        <v>0.6864</v>
      </c>
      <c r="E3097" s="4">
        <v>0</v>
      </c>
      <c r="F3097" s="4" t="s">
        <v>3178</v>
      </c>
      <c r="G3097" s="4" t="s">
        <v>3178</v>
      </c>
      <c r="H3097" s="3">
        <v>0</v>
      </c>
      <c r="I3097" s="5">
        <v>16.127338</v>
      </c>
      <c r="J3097" s="6">
        <v>0</v>
      </c>
      <c r="K3097" s="4" t="s">
        <v>3178</v>
      </c>
      <c r="L3097" s="7">
        <v>0.823226608434609</v>
      </c>
      <c r="M3097" s="3">
        <v>2.1</v>
      </c>
      <c r="N3097" s="3">
        <v>0.661</v>
      </c>
    </row>
    <row r="3098" spans="1:14">
      <c r="A3098" s="8" t="s">
        <v>3110</v>
      </c>
      <c r="B3098" s="2">
        <f>HYPERLINK("https://www.suredividend.com/sure-analysis-research-database/","Intersect ENT Inc")</f>
        <v>0</v>
      </c>
      <c r="C3098" s="1" t="s">
        <v>3176</v>
      </c>
      <c r="D3098" s="3">
        <v>28.24</v>
      </c>
      <c r="E3098" s="4">
        <v>0</v>
      </c>
      <c r="F3098" s="4" t="s">
        <v>3178</v>
      </c>
      <c r="G3098" s="4" t="s">
        <v>3178</v>
      </c>
      <c r="H3098" s="3">
        <v>0</v>
      </c>
      <c r="I3098" s="5">
        <v>0</v>
      </c>
      <c r="J3098" s="6">
        <v>0</v>
      </c>
      <c r="K3098" s="4" t="s">
        <v>3178</v>
      </c>
    </row>
    <row r="3099" spans="1:14">
      <c r="A3099" s="8" t="s">
        <v>3111</v>
      </c>
      <c r="B3099" s="2">
        <f>HYPERLINK("https://www.suredividend.com/sure-analysis-research-database/","Xeris Biopharma Holdings Inc")</f>
        <v>0</v>
      </c>
      <c r="C3099" s="1" t="s">
        <v>3176</v>
      </c>
      <c r="D3099" s="3">
        <v>2.33</v>
      </c>
      <c r="E3099" s="4">
        <v>0</v>
      </c>
      <c r="F3099" s="4" t="s">
        <v>3178</v>
      </c>
      <c r="G3099" s="4" t="s">
        <v>3178</v>
      </c>
      <c r="H3099" s="3">
        <v>0</v>
      </c>
      <c r="I3099" s="5">
        <v>345.435695</v>
      </c>
      <c r="J3099" s="6" t="s">
        <v>3178</v>
      </c>
      <c r="K3099" s="4">
        <v>-0</v>
      </c>
      <c r="L3099" s="7">
        <v>1.803681193931698</v>
      </c>
      <c r="M3099" s="3">
        <v>3.26</v>
      </c>
      <c r="N3099" s="3">
        <v>1.46</v>
      </c>
    </row>
    <row r="3100" spans="1:14">
      <c r="A3100" s="8" t="s">
        <v>3112</v>
      </c>
      <c r="B3100" s="2">
        <f>HYPERLINK("https://www.suredividend.com/sure-analysis-research-database/","X4 Pharmaceuticals Inc")</f>
        <v>0</v>
      </c>
      <c r="C3100" s="1" t="s">
        <v>3176</v>
      </c>
      <c r="D3100" s="3">
        <v>1.01</v>
      </c>
      <c r="E3100" s="4">
        <v>0</v>
      </c>
      <c r="F3100" s="4" t="s">
        <v>3178</v>
      </c>
      <c r="G3100" s="4" t="s">
        <v>3178</v>
      </c>
      <c r="H3100" s="3">
        <v>0</v>
      </c>
      <c r="I3100" s="5">
        <v>169.617159</v>
      </c>
      <c r="J3100" s="6">
        <v>0</v>
      </c>
      <c r="K3100" s="4" t="s">
        <v>3178</v>
      </c>
      <c r="L3100" s="7">
        <v>1.438341002762027</v>
      </c>
      <c r="M3100" s="3">
        <v>2.58</v>
      </c>
      <c r="N3100" s="3">
        <v>0.5723</v>
      </c>
    </row>
    <row r="3101" spans="1:14">
      <c r="A3101" s="8" t="s">
        <v>3113</v>
      </c>
      <c r="B3101" s="2">
        <f>HYPERLINK("https://www.suredividend.com/sure-analysis-research-database/","Xenia Hotels &amp; Resorts Inc")</f>
        <v>0</v>
      </c>
      <c r="C3101" s="1" t="s">
        <v>3183</v>
      </c>
      <c r="D3101" s="3">
        <v>14.25</v>
      </c>
      <c r="E3101" s="4">
        <v>0.029145533878706</v>
      </c>
      <c r="F3101" s="4" t="s">
        <v>3178</v>
      </c>
      <c r="G3101" s="4" t="s">
        <v>3178</v>
      </c>
      <c r="H3101" s="3">
        <v>0.4153238577715661</v>
      </c>
      <c r="I3101" s="5">
        <v>1452.982397</v>
      </c>
      <c r="J3101" s="6">
        <v>68.73467984530961</v>
      </c>
      <c r="K3101" s="4">
        <v>2.082867892535436</v>
      </c>
      <c r="L3101" s="7">
        <v>1.222330069137834</v>
      </c>
      <c r="M3101" s="3">
        <v>15.71</v>
      </c>
      <c r="N3101" s="3">
        <v>10.64</v>
      </c>
    </row>
    <row r="3102" spans="1:14">
      <c r="A3102" s="8" t="s">
        <v>3114</v>
      </c>
      <c r="B3102" s="2">
        <f>HYPERLINK("https://www.suredividend.com/sure-analysis-research-database/","Xilinx, Inc.")</f>
        <v>0</v>
      </c>
      <c r="C3102" s="1" t="s">
        <v>3181</v>
      </c>
      <c r="D3102" s="3">
        <v>194.92</v>
      </c>
      <c r="E3102" s="4">
        <v>0</v>
      </c>
      <c r="F3102" s="4" t="s">
        <v>3178</v>
      </c>
      <c r="G3102" s="4" t="s">
        <v>3178</v>
      </c>
      <c r="H3102" s="3">
        <v>0.7400000095367431</v>
      </c>
      <c r="I3102" s="5">
        <v>0</v>
      </c>
      <c r="J3102" s="6">
        <v>0</v>
      </c>
      <c r="K3102" s="4">
        <v>0.1994609190125992</v>
      </c>
    </row>
    <row r="3103" spans="1:14">
      <c r="A3103" s="8" t="s">
        <v>3115</v>
      </c>
      <c r="B3103" s="2">
        <f>HYPERLINK("https://www.suredividend.com/sure-analysis-research-database/","Acceleron Pharma Inc")</f>
        <v>0</v>
      </c>
      <c r="C3103" s="1" t="s">
        <v>3176</v>
      </c>
      <c r="D3103" s="3">
        <v>178.75</v>
      </c>
      <c r="E3103" s="4">
        <v>0</v>
      </c>
      <c r="F3103" s="4" t="s">
        <v>3178</v>
      </c>
      <c r="G3103" s="4" t="s">
        <v>3178</v>
      </c>
      <c r="H3103" s="3">
        <v>0</v>
      </c>
      <c r="I3103" s="5">
        <v>0</v>
      </c>
      <c r="J3103" s="6">
        <v>0</v>
      </c>
      <c r="K3103" s="4">
        <v>-0</v>
      </c>
    </row>
    <row r="3104" spans="1:14">
      <c r="A3104" s="8" t="s">
        <v>3116</v>
      </c>
      <c r="B3104" s="2">
        <f>HYPERLINK("https://www.suredividend.com/sure-analysis-research-database/","Xencor Inc")</f>
        <v>0</v>
      </c>
      <c r="C3104" s="1" t="s">
        <v>3176</v>
      </c>
      <c r="D3104" s="3">
        <v>21.74</v>
      </c>
      <c r="E3104" s="4">
        <v>0</v>
      </c>
      <c r="F3104" s="4" t="s">
        <v>3178</v>
      </c>
      <c r="G3104" s="4" t="s">
        <v>3178</v>
      </c>
      <c r="H3104" s="3">
        <v>0</v>
      </c>
      <c r="I3104" s="5">
        <v>1340.543837</v>
      </c>
      <c r="J3104" s="6" t="s">
        <v>3178</v>
      </c>
      <c r="K3104" s="4">
        <v>-0</v>
      </c>
      <c r="L3104" s="7">
        <v>1.200433002030455</v>
      </c>
      <c r="M3104" s="3">
        <v>27.37</v>
      </c>
      <c r="N3104" s="3">
        <v>16.49</v>
      </c>
    </row>
    <row r="3105" spans="1:14">
      <c r="A3105" s="8" t="s">
        <v>3117</v>
      </c>
      <c r="B3105" s="2">
        <f>HYPERLINK("https://www.suredividend.com/sure-analysis-research-database/","Extraction Oil &amp; Gas Inc")</f>
        <v>0</v>
      </c>
      <c r="C3105" s="1" t="s">
        <v>3185</v>
      </c>
      <c r="D3105" s="3">
        <v>68.54000000000001</v>
      </c>
      <c r="E3105" s="4">
        <v>0</v>
      </c>
      <c r="F3105" s="4" t="s">
        <v>3178</v>
      </c>
      <c r="G3105" s="4" t="s">
        <v>3178</v>
      </c>
      <c r="H3105" s="3">
        <v>0</v>
      </c>
      <c r="I3105" s="5">
        <v>0</v>
      </c>
      <c r="J3105" s="6">
        <v>0</v>
      </c>
      <c r="K3105" s="4" t="s">
        <v>3178</v>
      </c>
    </row>
    <row r="3106" spans="1:14">
      <c r="A3106" s="8" t="s">
        <v>3118</v>
      </c>
      <c r="B3106" s="2">
        <f>HYPERLINK("https://www.suredividend.com/sure-analysis-XOM/","Exxon Mobil Corp.")</f>
        <v>0</v>
      </c>
      <c r="C3106" s="1" t="s">
        <v>3185</v>
      </c>
      <c r="D3106" s="3">
        <v>112.75</v>
      </c>
      <c r="E3106" s="4">
        <v>0.03370288248337028</v>
      </c>
      <c r="F3106" s="4">
        <v>0.04395604395604402</v>
      </c>
      <c r="G3106" s="4">
        <v>0.01774943635823756</v>
      </c>
      <c r="H3106" s="3">
        <v>3.712266969510207</v>
      </c>
      <c r="I3106" s="5">
        <v>444574.024142</v>
      </c>
      <c r="J3106" s="6">
        <v>13.554086101875</v>
      </c>
      <c r="K3106" s="4">
        <v>0.4554928796945039</v>
      </c>
      <c r="L3106" s="7">
        <v>0.26628021795386</v>
      </c>
      <c r="M3106" s="3">
        <v>122.75</v>
      </c>
      <c r="N3106" s="3">
        <v>94.12</v>
      </c>
    </row>
    <row r="3107" spans="1:14">
      <c r="A3107" s="8" t="s">
        <v>3119</v>
      </c>
      <c r="B3107" s="2">
        <f>HYPERLINK("https://www.suredividend.com/sure-analysis-research-database/","XOMA Corp")</f>
        <v>0</v>
      </c>
      <c r="C3107" s="1" t="s">
        <v>3176</v>
      </c>
      <c r="D3107" s="3">
        <v>24.05</v>
      </c>
      <c r="E3107" s="4">
        <v>0</v>
      </c>
      <c r="F3107" s="4" t="s">
        <v>3178</v>
      </c>
      <c r="G3107" s="4" t="s">
        <v>3178</v>
      </c>
      <c r="H3107" s="3">
        <v>0</v>
      </c>
      <c r="I3107" s="5">
        <v>279.9072</v>
      </c>
      <c r="J3107" s="6" t="s">
        <v>3178</v>
      </c>
      <c r="K3107" s="4">
        <v>-0</v>
      </c>
      <c r="L3107" s="7">
        <v>0.400979857687338</v>
      </c>
      <c r="M3107" s="3">
        <v>27</v>
      </c>
      <c r="N3107" s="3">
        <v>13.48</v>
      </c>
    </row>
    <row r="3108" spans="1:14">
      <c r="A3108" s="8" t="s">
        <v>3120</v>
      </c>
      <c r="B3108" s="2">
        <f>HYPERLINK("https://www.suredividend.com/sure-analysis-research-database/","BondBloxx ETF Trust")</f>
        <v>0</v>
      </c>
      <c r="C3108" s="1" t="s">
        <v>3179</v>
      </c>
      <c r="D3108" s="3">
        <v>49.37</v>
      </c>
      <c r="E3108" s="4">
        <v>0.050905308449507</v>
      </c>
      <c r="F3108" s="4">
        <v>-0.01945110578204101</v>
      </c>
      <c r="G3108" s="4">
        <v>0.1355912890903044</v>
      </c>
      <c r="H3108" s="3">
        <v>2.513195078152175</v>
      </c>
      <c r="I3108" s="5">
        <v>413.7206</v>
      </c>
      <c r="J3108" s="6">
        <v>0</v>
      </c>
      <c r="K3108" s="4" t="s">
        <v>3178</v>
      </c>
      <c r="L3108" s="7">
        <v>0.017350972697668</v>
      </c>
      <c r="M3108" s="3">
        <v>49.81</v>
      </c>
      <c r="N3108" s="3">
        <v>45.93</v>
      </c>
    </row>
    <row r="3109" spans="1:14">
      <c r="A3109" s="8" t="s">
        <v>3121</v>
      </c>
      <c r="B3109" s="2">
        <f>HYPERLINK("https://www.suredividend.com/sure-analysis-research-database/","Xperi Inc")</f>
        <v>0</v>
      </c>
      <c r="C3109" s="1" t="s">
        <v>3181</v>
      </c>
      <c r="D3109" s="3">
        <v>8.23</v>
      </c>
      <c r="E3109" s="4">
        <v>0</v>
      </c>
      <c r="F3109" s="4" t="s">
        <v>3178</v>
      </c>
      <c r="G3109" s="4" t="s">
        <v>3178</v>
      </c>
      <c r="H3109" s="3">
        <v>0</v>
      </c>
      <c r="I3109" s="5">
        <v>371.568929</v>
      </c>
      <c r="J3109" s="6">
        <v>0</v>
      </c>
      <c r="K3109" s="4" t="s">
        <v>3178</v>
      </c>
      <c r="L3109" s="7">
        <v>1.445631228331238</v>
      </c>
      <c r="M3109" s="3">
        <v>13.62</v>
      </c>
      <c r="N3109" s="3">
        <v>7.91</v>
      </c>
    </row>
    <row r="3110" spans="1:14">
      <c r="A3110" s="8" t="s">
        <v>3122</v>
      </c>
      <c r="B3110" s="2">
        <f>HYPERLINK("https://www.suredividend.com/sure-analysis-research-database/","Solitario Resources Corp")</f>
        <v>0</v>
      </c>
      <c r="C3110" s="1" t="s">
        <v>3177</v>
      </c>
      <c r="D3110" s="3">
        <v>0.8502000000000001</v>
      </c>
      <c r="E3110" s="4">
        <v>0</v>
      </c>
      <c r="F3110" s="4" t="s">
        <v>3178</v>
      </c>
      <c r="G3110" s="4" t="s">
        <v>3178</v>
      </c>
      <c r="H3110" s="3">
        <v>0</v>
      </c>
      <c r="I3110" s="5">
        <v>69.11077400000001</v>
      </c>
      <c r="J3110" s="6">
        <v>0</v>
      </c>
      <c r="K3110" s="4" t="s">
        <v>3178</v>
      </c>
      <c r="L3110" s="7">
        <v>-0.162360078764443</v>
      </c>
      <c r="M3110" s="3">
        <v>0.96</v>
      </c>
      <c r="N3110" s="3">
        <v>0.43</v>
      </c>
    </row>
    <row r="3111" spans="1:14">
      <c r="A3111" s="8" t="s">
        <v>3123</v>
      </c>
      <c r="B3111" s="2">
        <f>HYPERLINK("https://www.suredividend.com/sure-analysis-research-database/","XPO Inc")</f>
        <v>0</v>
      </c>
      <c r="C3111" s="1" t="s">
        <v>3179</v>
      </c>
      <c r="D3111" s="3">
        <v>109.5</v>
      </c>
      <c r="E3111" s="4">
        <v>0</v>
      </c>
      <c r="F3111" s="4" t="s">
        <v>3178</v>
      </c>
      <c r="G3111" s="4" t="s">
        <v>3178</v>
      </c>
      <c r="H3111" s="3">
        <v>0</v>
      </c>
      <c r="I3111" s="5">
        <v>12738.192159</v>
      </c>
      <c r="J3111" s="6">
        <v>52.63715768181818</v>
      </c>
      <c r="K3111" s="4">
        <v>0</v>
      </c>
      <c r="L3111" s="7">
        <v>1.771690652408859</v>
      </c>
      <c r="M3111" s="3">
        <v>130.51</v>
      </c>
      <c r="N3111" s="3">
        <v>47.35</v>
      </c>
    </row>
    <row r="3112" spans="1:14">
      <c r="A3112" s="8" t="s">
        <v>3124</v>
      </c>
      <c r="B3112" s="2">
        <f>HYPERLINK("https://www.suredividend.com/sure-analysis-XRAY/","DENTSPLY Sirona Inc")</f>
        <v>0</v>
      </c>
      <c r="C3112" s="1" t="s">
        <v>3176</v>
      </c>
      <c r="D3112" s="3">
        <v>27.69</v>
      </c>
      <c r="E3112" s="4">
        <v>0.02311303719754424</v>
      </c>
      <c r="F3112" s="4">
        <v>0.1428571428571428</v>
      </c>
      <c r="G3112" s="4">
        <v>0.09856054330611763</v>
      </c>
      <c r="H3112" s="3">
        <v>0.5725751777476931</v>
      </c>
      <c r="I3112" s="5">
        <v>5749.290096</v>
      </c>
      <c r="J3112" s="6" t="s">
        <v>3178</v>
      </c>
      <c r="K3112" s="4" t="s">
        <v>3178</v>
      </c>
      <c r="L3112" s="7">
        <v>0.7792369347926761</v>
      </c>
      <c r="M3112" s="3">
        <v>40.58</v>
      </c>
      <c r="N3112" s="3">
        <v>25.81</v>
      </c>
    </row>
    <row r="3113" spans="1:14">
      <c r="A3113" s="8" t="s">
        <v>3125</v>
      </c>
      <c r="B3113" s="2">
        <f>HYPERLINK("https://www.suredividend.com/sure-analysis-XRX/","Xerox Holdings Corp")</f>
        <v>0</v>
      </c>
      <c r="C3113" s="1" t="s">
        <v>3181</v>
      </c>
      <c r="D3113" s="3">
        <v>14.24</v>
      </c>
      <c r="E3113" s="4">
        <v>0.0702247191011236</v>
      </c>
      <c r="F3113" s="4" t="s">
        <v>3178</v>
      </c>
      <c r="G3113" s="4" t="s">
        <v>3178</v>
      </c>
      <c r="H3113" s="3">
        <v>0.9587673324522831</v>
      </c>
      <c r="I3113" s="5">
        <v>1768.585672</v>
      </c>
      <c r="J3113" s="6" t="s">
        <v>3178</v>
      </c>
      <c r="K3113" s="4" t="s">
        <v>3178</v>
      </c>
      <c r="L3113" s="7">
        <v>1.143996971511403</v>
      </c>
      <c r="M3113" s="3">
        <v>19.22</v>
      </c>
      <c r="N3113" s="3">
        <v>11.41</v>
      </c>
    </row>
    <row r="3114" spans="1:14">
      <c r="A3114" s="8" t="s">
        <v>3126</v>
      </c>
      <c r="B3114" s="2">
        <f>HYPERLINK("https://www.suredividend.com/sure-analysis-research-database/","Xtant Medical Holdings Inc")</f>
        <v>0</v>
      </c>
      <c r="C3114" s="1" t="s">
        <v>3176</v>
      </c>
      <c r="D3114" s="3">
        <v>0.7179</v>
      </c>
      <c r="E3114" s="4">
        <v>0</v>
      </c>
      <c r="F3114" s="4" t="s">
        <v>3178</v>
      </c>
      <c r="G3114" s="4" t="s">
        <v>3178</v>
      </c>
      <c r="H3114" s="3">
        <v>0</v>
      </c>
      <c r="I3114" s="5">
        <v>93.482455</v>
      </c>
      <c r="J3114" s="6">
        <v>0</v>
      </c>
      <c r="K3114" s="4" t="s">
        <v>3178</v>
      </c>
      <c r="L3114" s="7">
        <v>0.526091668202478</v>
      </c>
      <c r="M3114" s="3">
        <v>1.45</v>
      </c>
      <c r="N3114" s="3">
        <v>0.62</v>
      </c>
    </row>
    <row r="3115" spans="1:14">
      <c r="A3115" s="8" t="s">
        <v>3127</v>
      </c>
      <c r="B3115" s="2">
        <f>HYPERLINK("https://www.suredividend.com/sure-analysis-research-database/","22nd Century Group Inc")</f>
        <v>0</v>
      </c>
      <c r="C3115" s="1" t="s">
        <v>3176</v>
      </c>
      <c r="D3115" s="3">
        <v>0.7558</v>
      </c>
      <c r="E3115" s="4">
        <v>0</v>
      </c>
      <c r="F3115" s="4" t="s">
        <v>3178</v>
      </c>
      <c r="G3115" s="4" t="s">
        <v>3178</v>
      </c>
      <c r="H3115" s="3">
        <v>0</v>
      </c>
      <c r="I3115" s="5">
        <v>6.267485</v>
      </c>
      <c r="J3115" s="6">
        <v>0</v>
      </c>
      <c r="K3115" s="4" t="s">
        <v>3178</v>
      </c>
      <c r="M3115" s="3">
        <v>143.93</v>
      </c>
      <c r="N3115" s="3">
        <v>0.737</v>
      </c>
    </row>
    <row r="3116" spans="1:14">
      <c r="A3116" s="8" t="s">
        <v>3128</v>
      </c>
      <c r="B3116" s="2">
        <f>HYPERLINK("https://www.suredividend.com/sure-analysis-XYL/","Xylem Inc")</f>
        <v>0</v>
      </c>
      <c r="C3116" s="1" t="s">
        <v>3179</v>
      </c>
      <c r="D3116" s="3">
        <v>137.32</v>
      </c>
      <c r="E3116" s="4">
        <v>0.01048645499563064</v>
      </c>
      <c r="F3116" s="4">
        <v>0.09090909090909083</v>
      </c>
      <c r="G3116" s="4">
        <v>0.08447177119769855</v>
      </c>
      <c r="H3116" s="3">
        <v>1.374353041459269</v>
      </c>
      <c r="I3116" s="5">
        <v>33292.858155</v>
      </c>
      <c r="J3116" s="6">
        <v>50.21547233055807</v>
      </c>
      <c r="K3116" s="4">
        <v>0.4839271272743905</v>
      </c>
      <c r="L3116" s="7">
        <v>0.9855022399827871</v>
      </c>
      <c r="M3116" s="3">
        <v>145.7</v>
      </c>
      <c r="N3116" s="3">
        <v>86.81999999999999</v>
      </c>
    </row>
    <row r="3117" spans="1:14">
      <c r="A3117" s="8" t="s">
        <v>3129</v>
      </c>
      <c r="B3117" s="2">
        <f>HYPERLINK("https://www.suredividend.com/sure-analysis-research-database/","Alleghany Corp.")</f>
        <v>0</v>
      </c>
      <c r="C3117" s="1" t="s">
        <v>3180</v>
      </c>
      <c r="D3117" s="3">
        <v>847.79</v>
      </c>
      <c r="E3117" s="4">
        <v>0</v>
      </c>
      <c r="F3117" s="4" t="s">
        <v>3178</v>
      </c>
      <c r="G3117" s="4" t="s">
        <v>3178</v>
      </c>
      <c r="H3117" s="3">
        <v>0</v>
      </c>
      <c r="I3117" s="5">
        <v>11407.399347</v>
      </c>
      <c r="J3117" s="6">
        <v>32.10936942260328</v>
      </c>
      <c r="K3117" s="4">
        <v>0</v>
      </c>
      <c r="L3117" s="7">
        <v>0.288429568299418</v>
      </c>
      <c r="M3117" s="3">
        <v>862.87</v>
      </c>
      <c r="N3117" s="3">
        <v>585.1</v>
      </c>
    </row>
    <row r="3118" spans="1:14">
      <c r="A3118" s="8" t="s">
        <v>3130</v>
      </c>
      <c r="B3118" s="2">
        <f>HYPERLINK("https://www.suredividend.com/sure-analysis-research-database/","Yelp Inc")</f>
        <v>0</v>
      </c>
      <c r="C3118" s="1" t="s">
        <v>3187</v>
      </c>
      <c r="D3118" s="3">
        <v>36.72</v>
      </c>
      <c r="E3118" s="4">
        <v>0</v>
      </c>
      <c r="F3118" s="4" t="s">
        <v>3178</v>
      </c>
      <c r="G3118" s="4" t="s">
        <v>3178</v>
      </c>
      <c r="H3118" s="3">
        <v>0</v>
      </c>
      <c r="I3118" s="5">
        <v>2477.071053</v>
      </c>
      <c r="J3118" s="6">
        <v>24.97727257055852</v>
      </c>
      <c r="K3118" s="4">
        <v>0</v>
      </c>
      <c r="L3118" s="7">
        <v>1.14470092466776</v>
      </c>
      <c r="M3118" s="3">
        <v>48.99</v>
      </c>
      <c r="N3118" s="3">
        <v>34.92</v>
      </c>
    </row>
    <row r="3119" spans="1:14">
      <c r="A3119" s="8" t="s">
        <v>3131</v>
      </c>
      <c r="B3119" s="2">
        <f>HYPERLINK("https://www.suredividend.com/sure-analysis-research-database/","YETI Holdings Inc")</f>
        <v>0</v>
      </c>
      <c r="C3119" s="1" t="s">
        <v>3182</v>
      </c>
      <c r="D3119" s="3">
        <v>43.03</v>
      </c>
      <c r="E3119" s="4">
        <v>0</v>
      </c>
      <c r="F3119" s="4" t="s">
        <v>3178</v>
      </c>
      <c r="G3119" s="4" t="s">
        <v>3178</v>
      </c>
      <c r="H3119" s="3">
        <v>0</v>
      </c>
      <c r="I3119" s="5">
        <v>3667.812569</v>
      </c>
      <c r="J3119" s="6">
        <v>20.93787144894278</v>
      </c>
      <c r="K3119" s="4">
        <v>0</v>
      </c>
      <c r="L3119" s="7">
        <v>1.360932946171369</v>
      </c>
      <c r="M3119" s="3">
        <v>54.16</v>
      </c>
      <c r="N3119" s="3">
        <v>33.88</v>
      </c>
    </row>
    <row r="3120" spans="1:14">
      <c r="A3120" s="8" t="s">
        <v>3132</v>
      </c>
      <c r="B3120" s="2">
        <f>HYPERLINK("https://www.suredividend.com/sure-analysis-research-database/","Yext Inc")</f>
        <v>0</v>
      </c>
      <c r="C3120" s="1" t="s">
        <v>3181</v>
      </c>
      <c r="D3120" s="3">
        <v>5.15</v>
      </c>
      <c r="E3120" s="4">
        <v>0</v>
      </c>
      <c r="F3120" s="4" t="s">
        <v>3178</v>
      </c>
      <c r="G3120" s="4" t="s">
        <v>3178</v>
      </c>
      <c r="H3120" s="3">
        <v>0</v>
      </c>
      <c r="I3120" s="5">
        <v>643.065529</v>
      </c>
      <c r="J3120" s="6" t="s">
        <v>3178</v>
      </c>
      <c r="K3120" s="4">
        <v>-0</v>
      </c>
      <c r="L3120" s="7">
        <v>1.734561851661484</v>
      </c>
      <c r="M3120" s="3">
        <v>13.96</v>
      </c>
      <c r="N3120" s="3">
        <v>4.66</v>
      </c>
    </row>
    <row r="3121" spans="1:14">
      <c r="A3121" s="8" t="s">
        <v>3133</v>
      </c>
      <c r="B3121" s="2">
        <f>HYPERLINK("https://www.suredividend.com/sure-analysis-research-database/","Y-Mabs Therapeutics Inc")</f>
        <v>0</v>
      </c>
      <c r="C3121" s="1" t="s">
        <v>3176</v>
      </c>
      <c r="D3121" s="3">
        <v>11.98</v>
      </c>
      <c r="E3121" s="4">
        <v>0</v>
      </c>
      <c r="F3121" s="4" t="s">
        <v>3178</v>
      </c>
      <c r="G3121" s="4" t="s">
        <v>3178</v>
      </c>
      <c r="H3121" s="3">
        <v>0</v>
      </c>
      <c r="I3121" s="5">
        <v>525.714003</v>
      </c>
      <c r="J3121" s="6" t="s">
        <v>3178</v>
      </c>
      <c r="K3121" s="4">
        <v>-0</v>
      </c>
      <c r="L3121" s="7">
        <v>1.326973397803196</v>
      </c>
      <c r="M3121" s="3">
        <v>20.9</v>
      </c>
      <c r="N3121" s="3">
        <v>4.6</v>
      </c>
    </row>
    <row r="3122" spans="1:14">
      <c r="A3122" s="8" t="s">
        <v>3134</v>
      </c>
      <c r="B3122" s="2">
        <f>HYPERLINK("https://www.suredividend.com/sure-analysis-YORW/","York Water Co.")</f>
        <v>0</v>
      </c>
      <c r="C3122" s="1" t="s">
        <v>3186</v>
      </c>
      <c r="D3122" s="3">
        <v>36.25</v>
      </c>
      <c r="E3122" s="4">
        <v>0.02317241379310345</v>
      </c>
      <c r="F3122" s="4">
        <v>0.03996053280710399</v>
      </c>
      <c r="G3122" s="4">
        <v>0.03995466825727556</v>
      </c>
      <c r="H3122" s="3">
        <v>0.8154439035623851</v>
      </c>
      <c r="I3122" s="5">
        <v>519.99204</v>
      </c>
      <c r="J3122" s="6">
        <v>21.28410789570628</v>
      </c>
      <c r="K3122" s="4">
        <v>0.4768677798610439</v>
      </c>
      <c r="L3122" s="7">
        <v>0.6254912490693391</v>
      </c>
      <c r="M3122" s="3">
        <v>43.28</v>
      </c>
      <c r="N3122" s="3">
        <v>33.32</v>
      </c>
    </row>
    <row r="3123" spans="1:14">
      <c r="A3123" s="8" t="s">
        <v>3135</v>
      </c>
      <c r="B3123" s="2">
        <f>HYPERLINK("https://www.suredividend.com/sure-analysis-research-database/","Yield10 Bioscience Inc")</f>
        <v>0</v>
      </c>
      <c r="C3123" s="1" t="s">
        <v>3177</v>
      </c>
      <c r="D3123" s="3">
        <v>1.6875</v>
      </c>
      <c r="E3123" s="4">
        <v>0</v>
      </c>
      <c r="F3123" s="4" t="s">
        <v>3178</v>
      </c>
      <c r="G3123" s="4" t="s">
        <v>3178</v>
      </c>
      <c r="H3123" s="3">
        <v>0</v>
      </c>
      <c r="I3123" s="5">
        <v>0</v>
      </c>
      <c r="J3123" s="6">
        <v>0</v>
      </c>
      <c r="K3123" s="4">
        <v>-0</v>
      </c>
    </row>
    <row r="3124" spans="1:14">
      <c r="A3124" s="8" t="s">
        <v>3136</v>
      </c>
      <c r="B3124" s="2">
        <f>HYPERLINK("https://www.suredividend.com/sure-analysis-YUM/","Yum Brands Inc.")</f>
        <v>0</v>
      </c>
      <c r="C3124" s="1" t="s">
        <v>3182</v>
      </c>
      <c r="D3124" s="3">
        <v>139.97</v>
      </c>
      <c r="E3124" s="4">
        <v>0.01914696006287062</v>
      </c>
      <c r="F3124" s="4">
        <v>0.1074380165289257</v>
      </c>
      <c r="G3124" s="4">
        <v>0.0979058583693746</v>
      </c>
      <c r="H3124" s="3">
        <v>2.531990453641236</v>
      </c>
      <c r="I3124" s="5">
        <v>39420.060714</v>
      </c>
      <c r="J3124" s="6">
        <v>24.46931142994413</v>
      </c>
      <c r="K3124" s="4">
        <v>0.4481399032993338</v>
      </c>
      <c r="L3124" s="7">
        <v>0.6414479192597341</v>
      </c>
      <c r="M3124" s="3">
        <v>142.5</v>
      </c>
      <c r="N3124" s="3">
        <v>113.85</v>
      </c>
    </row>
    <row r="3125" spans="1:14">
      <c r="A3125" s="8" t="s">
        <v>3137</v>
      </c>
      <c r="B3125" s="2">
        <f>HYPERLINK("https://www.suredividend.com/sure-analysis-research-database/","Zillow Group Inc")</f>
        <v>0</v>
      </c>
      <c r="C3125" s="1" t="s">
        <v>3187</v>
      </c>
      <c r="D3125" s="3">
        <v>42.63</v>
      </c>
      <c r="E3125" s="4">
        <v>0</v>
      </c>
      <c r="F3125" s="4" t="s">
        <v>3178</v>
      </c>
      <c r="G3125" s="4" t="s">
        <v>3178</v>
      </c>
      <c r="H3125" s="3">
        <v>0</v>
      </c>
      <c r="I3125" s="5">
        <v>9745.046872999999</v>
      </c>
      <c r="J3125" s="6" t="s">
        <v>3178</v>
      </c>
      <c r="K3125" s="4">
        <v>-0</v>
      </c>
      <c r="L3125" s="7">
        <v>1.866419151455438</v>
      </c>
      <c r="M3125" s="3">
        <v>61.13</v>
      </c>
      <c r="N3125" s="3">
        <v>33.8</v>
      </c>
    </row>
    <row r="3126" spans="1:14">
      <c r="A3126" s="8" t="s">
        <v>3138</v>
      </c>
      <c r="B3126" s="2">
        <f>HYPERLINK("https://www.suredividend.com/sure-analysis-research-database/","Zagg Inc")</f>
        <v>0</v>
      </c>
      <c r="C3126" s="1" t="s">
        <v>3182</v>
      </c>
      <c r="D3126" s="3">
        <v>4.29</v>
      </c>
      <c r="E3126" s="4">
        <v>0</v>
      </c>
      <c r="F3126" s="4" t="s">
        <v>3178</v>
      </c>
      <c r="G3126" s="4" t="s">
        <v>3178</v>
      </c>
      <c r="H3126" s="3">
        <v>0</v>
      </c>
      <c r="I3126" s="5">
        <v>0</v>
      </c>
      <c r="J3126" s="6">
        <v>0</v>
      </c>
      <c r="K3126" s="4">
        <v>-0</v>
      </c>
    </row>
    <row r="3127" spans="1:14">
      <c r="A3127" s="8" t="s">
        <v>3139</v>
      </c>
      <c r="B3127" s="2">
        <f>HYPERLINK("https://www.suredividend.com/sure-analysis-research-database/","Zimmer Biomet Holdings Inc")</f>
        <v>0</v>
      </c>
      <c r="C3127" s="1" t="s">
        <v>3176</v>
      </c>
      <c r="D3127" s="3">
        <v>113.34</v>
      </c>
      <c r="E3127" s="4">
        <v>0.008445180981321</v>
      </c>
      <c r="F3127" s="4">
        <v>0</v>
      </c>
      <c r="G3127" s="4">
        <v>0</v>
      </c>
      <c r="H3127" s="3">
        <v>0.9571768124230001</v>
      </c>
      <c r="I3127" s="5">
        <v>23317.256629</v>
      </c>
      <c r="J3127" s="6">
        <v>24.19304485299855</v>
      </c>
      <c r="K3127" s="4">
        <v>0.2071811282300866</v>
      </c>
      <c r="L3127" s="7">
        <v>0.7444993321645781</v>
      </c>
      <c r="M3127" s="3">
        <v>146.61</v>
      </c>
      <c r="N3127" s="3">
        <v>101.61</v>
      </c>
    </row>
    <row r="3128" spans="1:14">
      <c r="A3128" s="8" t="s">
        <v>3140</v>
      </c>
      <c r="B3128" s="2">
        <f>HYPERLINK("https://www.suredividend.com/sure-analysis-research-database/","Zebra Technologies Corp.")</f>
        <v>0</v>
      </c>
      <c r="C3128" s="1" t="s">
        <v>3181</v>
      </c>
      <c r="D3128" s="3">
        <v>300.83</v>
      </c>
      <c r="E3128" s="4">
        <v>0</v>
      </c>
      <c r="F3128" s="4" t="s">
        <v>3178</v>
      </c>
      <c r="G3128" s="4" t="s">
        <v>3178</v>
      </c>
      <c r="H3128" s="3">
        <v>0</v>
      </c>
      <c r="I3128" s="5">
        <v>15468.499004</v>
      </c>
      <c r="J3128" s="6">
        <v>59.26627971068966</v>
      </c>
      <c r="K3128" s="4">
        <v>0</v>
      </c>
      <c r="L3128" s="7">
        <v>1.539737999065281</v>
      </c>
      <c r="M3128" s="3">
        <v>328.7</v>
      </c>
      <c r="N3128" s="3">
        <v>194.59</v>
      </c>
    </row>
    <row r="3129" spans="1:14">
      <c r="A3129" s="8" t="s">
        <v>3141</v>
      </c>
      <c r="B3129" s="2">
        <f>HYPERLINK("https://www.suredividend.com/sure-analysis-research-database/","Zedge Inc")</f>
        <v>0</v>
      </c>
      <c r="C3129" s="1" t="s">
        <v>3181</v>
      </c>
      <c r="D3129" s="3">
        <v>3.03</v>
      </c>
      <c r="E3129" s="4">
        <v>0</v>
      </c>
      <c r="F3129" s="4" t="s">
        <v>3178</v>
      </c>
      <c r="G3129" s="4" t="s">
        <v>3178</v>
      </c>
      <c r="H3129" s="3">
        <v>0</v>
      </c>
      <c r="I3129" s="5">
        <v>42.520157</v>
      </c>
      <c r="J3129" s="6">
        <v>0</v>
      </c>
      <c r="K3129" s="4" t="s">
        <v>3178</v>
      </c>
      <c r="L3129" s="7">
        <v>1.774613207770302</v>
      </c>
      <c r="M3129" s="3">
        <v>5.18</v>
      </c>
      <c r="N3129" s="3">
        <v>1.68</v>
      </c>
    </row>
    <row r="3130" spans="1:14">
      <c r="A3130" s="8" t="s">
        <v>3142</v>
      </c>
      <c r="B3130" s="2">
        <f>HYPERLINK("https://www.suredividend.com/sure-analysis-research-database/","Zendesk Inc")</f>
        <v>0</v>
      </c>
      <c r="C3130" s="1" t="s">
        <v>3181</v>
      </c>
      <c r="D3130" s="3">
        <v>77.48</v>
      </c>
      <c r="E3130" s="4">
        <v>0</v>
      </c>
      <c r="F3130" s="4" t="s">
        <v>3178</v>
      </c>
      <c r="G3130" s="4" t="s">
        <v>3178</v>
      </c>
      <c r="H3130" s="3">
        <v>0</v>
      </c>
      <c r="I3130" s="5">
        <v>9625.961557000001</v>
      </c>
      <c r="J3130" s="6" t="s">
        <v>3178</v>
      </c>
      <c r="K3130" s="4">
        <v>-0</v>
      </c>
      <c r="M3130" s="3">
        <v>130.83</v>
      </c>
      <c r="N3130" s="3">
        <v>54.16</v>
      </c>
    </row>
    <row r="3131" spans="1:14">
      <c r="A3131" s="8" t="s">
        <v>3143</v>
      </c>
      <c r="B3131" s="2">
        <f>HYPERLINK("https://www.suredividend.com/sure-analysis-research-database/","Olympic Steel Inc.")</f>
        <v>0</v>
      </c>
      <c r="C3131" s="1" t="s">
        <v>3177</v>
      </c>
      <c r="D3131" s="3">
        <v>50</v>
      </c>
      <c r="E3131" s="4">
        <v>0.010920743581042</v>
      </c>
      <c r="F3131" s="4">
        <v>0.2</v>
      </c>
      <c r="G3131" s="4">
        <v>0.4962778697388448</v>
      </c>
      <c r="H3131" s="3">
        <v>0.546037179052141</v>
      </c>
      <c r="I3131" s="5">
        <v>556.6271</v>
      </c>
      <c r="J3131" s="6">
        <v>12.83911749780874</v>
      </c>
      <c r="K3131" s="4">
        <v>0.1459992457358666</v>
      </c>
      <c r="L3131" s="7">
        <v>1.123299606393481</v>
      </c>
      <c r="M3131" s="3">
        <v>72.84999999999999</v>
      </c>
      <c r="N3131" s="3">
        <v>43.68</v>
      </c>
    </row>
    <row r="3132" spans="1:14">
      <c r="A3132" s="8" t="s">
        <v>3144</v>
      </c>
      <c r="B3132" s="2">
        <f>HYPERLINK("https://www.suredividend.com/sure-analysis-research-database/","Zillow Group Inc")</f>
        <v>0</v>
      </c>
      <c r="C3132" s="1" t="s">
        <v>3187</v>
      </c>
      <c r="D3132" s="3">
        <v>41.57</v>
      </c>
      <c r="E3132" s="4">
        <v>0</v>
      </c>
      <c r="F3132" s="4" t="s">
        <v>3178</v>
      </c>
      <c r="G3132" s="4" t="s">
        <v>3178</v>
      </c>
      <c r="H3132" s="3">
        <v>0</v>
      </c>
      <c r="I3132" s="5">
        <v>9745.046872999999</v>
      </c>
      <c r="J3132" s="6" t="s">
        <v>3178</v>
      </c>
      <c r="K3132" s="4">
        <v>-0</v>
      </c>
      <c r="L3132" s="7">
        <v>1.926346824930745</v>
      </c>
      <c r="M3132" s="3">
        <v>59.23</v>
      </c>
      <c r="N3132" s="3">
        <v>33.23</v>
      </c>
    </row>
    <row r="3133" spans="1:14">
      <c r="A3133" s="8" t="s">
        <v>3145</v>
      </c>
      <c r="B3133" s="2">
        <f>HYPERLINK("https://www.suredividend.com/sure-analysis-research-database/","Zogenix Inc")</f>
        <v>0</v>
      </c>
      <c r="C3133" s="1" t="s">
        <v>3176</v>
      </c>
      <c r="D3133" s="3">
        <v>26.68</v>
      </c>
      <c r="E3133" s="4">
        <v>0</v>
      </c>
      <c r="F3133" s="4" t="s">
        <v>3178</v>
      </c>
      <c r="G3133" s="4" t="s">
        <v>3178</v>
      </c>
      <c r="H3133" s="3">
        <v>0</v>
      </c>
      <c r="I3133" s="5">
        <v>0</v>
      </c>
      <c r="J3133" s="6">
        <v>0</v>
      </c>
      <c r="K3133" s="4">
        <v>-0</v>
      </c>
    </row>
    <row r="3134" spans="1:14">
      <c r="A3134" s="8" t="s">
        <v>3146</v>
      </c>
      <c r="B3134" s="2">
        <f>HYPERLINK("https://www.suredividend.com/sure-analysis-ZION/","Zions Bancorporation N.A")</f>
        <v>0</v>
      </c>
      <c r="C3134" s="1" t="s">
        <v>3180</v>
      </c>
      <c r="D3134" s="3">
        <v>41.54</v>
      </c>
      <c r="E3134" s="4">
        <v>0.03948001925854598</v>
      </c>
      <c r="F3134" s="4">
        <v>0</v>
      </c>
      <c r="G3134" s="4">
        <v>0.03815210271659408</v>
      </c>
      <c r="H3134" s="3">
        <v>1.604281641799834</v>
      </c>
      <c r="I3134" s="5">
        <v>6133.577567</v>
      </c>
      <c r="J3134" s="6">
        <v>10.4135442568421</v>
      </c>
      <c r="K3134" s="4">
        <v>0.40207559944858</v>
      </c>
      <c r="L3134" s="7">
        <v>1.606260576532906</v>
      </c>
      <c r="M3134" s="3">
        <v>45.54</v>
      </c>
      <c r="N3134" s="3">
        <v>25</v>
      </c>
    </row>
    <row r="3135" spans="1:14">
      <c r="A3135" s="8" t="s">
        <v>3147</v>
      </c>
      <c r="B3135" s="2">
        <f>HYPERLINK("https://www.suredividend.com/sure-analysis-research-database/","Alaunos Therapeutics Inc")</f>
        <v>0</v>
      </c>
      <c r="C3135" s="1" t="s">
        <v>3176</v>
      </c>
      <c r="D3135" s="3">
        <v>0.8657</v>
      </c>
      <c r="E3135" s="4">
        <v>0</v>
      </c>
      <c r="F3135" s="4" t="s">
        <v>3178</v>
      </c>
      <c r="G3135" s="4" t="s">
        <v>3178</v>
      </c>
      <c r="H3135" s="3">
        <v>0</v>
      </c>
      <c r="I3135" s="5">
        <v>187.117442</v>
      </c>
      <c r="J3135" s="6">
        <v>0</v>
      </c>
      <c r="K3135" s="4" t="s">
        <v>3178</v>
      </c>
      <c r="L3135" s="7">
        <v>1.739209741207491</v>
      </c>
      <c r="M3135" s="3">
        <v>5.95</v>
      </c>
      <c r="N3135" s="3">
        <v>0.7703</v>
      </c>
    </row>
    <row r="3136" spans="1:14">
      <c r="A3136" s="8" t="s">
        <v>3148</v>
      </c>
      <c r="B3136" s="2">
        <f>HYPERLINK("https://www.suredividend.com/sure-analysis-research-database/","Zix Corp.")</f>
        <v>0</v>
      </c>
      <c r="C3136" s="1" t="s">
        <v>3181</v>
      </c>
      <c r="D3136" s="3">
        <v>8.484999999999999</v>
      </c>
      <c r="E3136" s="4">
        <v>0</v>
      </c>
      <c r="F3136" s="4" t="s">
        <v>3178</v>
      </c>
      <c r="G3136" s="4" t="s">
        <v>3178</v>
      </c>
      <c r="H3136" s="3">
        <v>0</v>
      </c>
      <c r="I3136" s="5">
        <v>0</v>
      </c>
      <c r="J3136" s="6">
        <v>0</v>
      </c>
      <c r="K3136" s="4">
        <v>-0</v>
      </c>
    </row>
    <row r="3137" spans="1:14">
      <c r="A3137" s="8" t="s">
        <v>3149</v>
      </c>
      <c r="B3137" s="2">
        <f>HYPERLINK("https://www.suredividend.com/sure-analysis-research-database/","Zoom Video Communications Inc")</f>
        <v>0</v>
      </c>
      <c r="C3137" s="1" t="s">
        <v>3187</v>
      </c>
      <c r="D3137" s="3">
        <v>62.84</v>
      </c>
      <c r="E3137" s="4">
        <v>0</v>
      </c>
      <c r="F3137" s="4" t="s">
        <v>3178</v>
      </c>
      <c r="G3137" s="4" t="s">
        <v>3178</v>
      </c>
      <c r="H3137" s="3">
        <v>0</v>
      </c>
      <c r="I3137" s="5">
        <v>18697.703732</v>
      </c>
      <c r="J3137" s="6">
        <v>19.76041236726524</v>
      </c>
      <c r="K3137" s="4">
        <v>0</v>
      </c>
      <c r="L3137" s="7">
        <v>1.318205681632625</v>
      </c>
      <c r="M3137" s="3">
        <v>75.91</v>
      </c>
      <c r="N3137" s="3">
        <v>58.87</v>
      </c>
    </row>
    <row r="3138" spans="1:14">
      <c r="A3138" s="8" t="s">
        <v>3150</v>
      </c>
      <c r="B3138" s="2">
        <f>HYPERLINK("https://www.suredividend.com/sure-analysis-research-database/","Zynga Inc")</f>
        <v>0</v>
      </c>
      <c r="C3138" s="1" t="s">
        <v>3187</v>
      </c>
      <c r="D3138" s="3">
        <v>8.18</v>
      </c>
      <c r="E3138" s="4">
        <v>0</v>
      </c>
      <c r="F3138" s="4" t="s">
        <v>3178</v>
      </c>
      <c r="G3138" s="4" t="s">
        <v>3178</v>
      </c>
      <c r="H3138" s="3">
        <v>0</v>
      </c>
      <c r="I3138" s="5">
        <v>0</v>
      </c>
      <c r="J3138" s="6">
        <v>0</v>
      </c>
      <c r="K3138" s="4">
        <v>-0</v>
      </c>
    </row>
    <row r="3139" spans="1:14">
      <c r="A3139" s="8" t="s">
        <v>3151</v>
      </c>
      <c r="B3139" s="2">
        <f>HYPERLINK("https://www.suredividend.com/sure-analysis-research-database/","Zscaler Inc")</f>
        <v>0</v>
      </c>
      <c r="C3139" s="1" t="s">
        <v>3181</v>
      </c>
      <c r="D3139" s="3">
        <v>180.99</v>
      </c>
      <c r="E3139" s="4">
        <v>0</v>
      </c>
      <c r="F3139" s="4" t="s">
        <v>3178</v>
      </c>
      <c r="G3139" s="4" t="s">
        <v>3178</v>
      </c>
      <c r="H3139" s="3">
        <v>0</v>
      </c>
      <c r="I3139" s="5">
        <v>27130.401</v>
      </c>
      <c r="J3139" s="6" t="s">
        <v>3178</v>
      </c>
      <c r="K3139" s="4">
        <v>-0</v>
      </c>
      <c r="L3139" s="7">
        <v>1.972042077394995</v>
      </c>
      <c r="M3139" s="3">
        <v>259.61</v>
      </c>
      <c r="N3139" s="3">
        <v>131.59</v>
      </c>
    </row>
    <row r="3140" spans="1:14">
      <c r="A3140" s="8" t="s">
        <v>3152</v>
      </c>
      <c r="B3140" s="2">
        <f>HYPERLINK("https://www.suredividend.com/sure-analysis-research-database/","Zosano Pharma Corp")</f>
        <v>0</v>
      </c>
      <c r="C3140" s="1" t="s">
        <v>3176</v>
      </c>
      <c r="D3140" s="3">
        <v>0.5576</v>
      </c>
      <c r="E3140" s="4">
        <v>0</v>
      </c>
      <c r="F3140" s="4" t="s">
        <v>3178</v>
      </c>
      <c r="G3140" s="4" t="s">
        <v>3178</v>
      </c>
      <c r="H3140" s="3">
        <v>0</v>
      </c>
      <c r="I3140" s="5">
        <v>0</v>
      </c>
      <c r="J3140" s="6">
        <v>0</v>
      </c>
      <c r="K3140" s="4" t="s">
        <v>3178</v>
      </c>
    </row>
    <row r="3141" spans="1:14">
      <c r="A3141" s="8" t="s">
        <v>3153</v>
      </c>
      <c r="B3141" s="2">
        <f>HYPERLINK("https://www.suredividend.com/sure-analysis-ZTS/","Zoetis Inc")</f>
        <v>0</v>
      </c>
      <c r="C3141" s="1" t="s">
        <v>3176</v>
      </c>
      <c r="D3141" s="3">
        <v>176.92</v>
      </c>
      <c r="E3141" s="4">
        <v>0.009778430929233552</v>
      </c>
      <c r="F3141" s="4">
        <v>0.1519999999999999</v>
      </c>
      <c r="G3141" s="4">
        <v>0.2137464697654186</v>
      </c>
      <c r="H3141" s="3">
        <v>1.608055731742322</v>
      </c>
      <c r="I3141" s="5">
        <v>80727.735638</v>
      </c>
      <c r="J3141" s="6">
        <v>33.76316839734002</v>
      </c>
      <c r="K3141" s="4">
        <v>0.309837327888694</v>
      </c>
      <c r="L3141" s="7">
        <v>1.124638577468084</v>
      </c>
      <c r="M3141" s="3">
        <v>200.89</v>
      </c>
      <c r="N3141" s="3">
        <v>144.8</v>
      </c>
    </row>
    <row r="3142" spans="1:14">
      <c r="A3142" s="8" t="s">
        <v>3154</v>
      </c>
      <c r="B3142" s="2">
        <f>HYPERLINK("https://www.suredividend.com/sure-analysis-research-database/","Zumiez Inc")</f>
        <v>0</v>
      </c>
      <c r="C3142" s="1" t="s">
        <v>3182</v>
      </c>
      <c r="D3142" s="3">
        <v>18.75</v>
      </c>
      <c r="E3142" s="4">
        <v>0</v>
      </c>
      <c r="F3142" s="4" t="s">
        <v>3178</v>
      </c>
      <c r="G3142" s="4" t="s">
        <v>3178</v>
      </c>
      <c r="H3142" s="3">
        <v>0</v>
      </c>
      <c r="I3142" s="5">
        <v>380.391469</v>
      </c>
      <c r="J3142" s="6" t="s">
        <v>3178</v>
      </c>
      <c r="K3142" s="4">
        <v>-0</v>
      </c>
      <c r="L3142" s="7">
        <v>1.47804458680541</v>
      </c>
      <c r="M3142" s="3">
        <v>21.49</v>
      </c>
      <c r="N3142" s="3">
        <v>12.9</v>
      </c>
    </row>
    <row r="3143" spans="1:14">
      <c r="A3143" s="8" t="s">
        <v>3155</v>
      </c>
      <c r="B3143" s="2">
        <f>HYPERLINK("https://www.suredividend.com/sure-analysis-research-database/","Zuora Inc")</f>
        <v>0</v>
      </c>
      <c r="C3143" s="1" t="s">
        <v>3181</v>
      </c>
      <c r="D3143" s="3">
        <v>9.84</v>
      </c>
      <c r="E3143" s="4">
        <v>0</v>
      </c>
      <c r="F3143" s="4" t="s">
        <v>3178</v>
      </c>
      <c r="G3143" s="4" t="s">
        <v>3178</v>
      </c>
      <c r="H3143" s="3">
        <v>0</v>
      </c>
      <c r="I3143" s="5">
        <v>1375.127001</v>
      </c>
      <c r="J3143" s="6" t="s">
        <v>3178</v>
      </c>
      <c r="K3143" s="4">
        <v>-0</v>
      </c>
      <c r="L3143" s="7">
        <v>1.779819193296868</v>
      </c>
      <c r="M3143" s="3">
        <v>12.08</v>
      </c>
      <c r="N3143" s="3">
        <v>7.05</v>
      </c>
    </row>
    <row r="3144" spans="1:14">
      <c r="A3144" s="8" t="s">
        <v>3156</v>
      </c>
      <c r="B3144" s="2">
        <f>HYPERLINK("https://www.suredividend.com/sure-analysis-research-database/","Zovio Inc")</f>
        <v>0</v>
      </c>
      <c r="C3144" s="1" t="s">
        <v>3184</v>
      </c>
      <c r="D3144" s="3">
        <v>0.09280000000000001</v>
      </c>
      <c r="E3144" s="4">
        <v>0</v>
      </c>
      <c r="F3144" s="4" t="s">
        <v>3178</v>
      </c>
      <c r="G3144" s="4" t="s">
        <v>3178</v>
      </c>
      <c r="H3144" s="3">
        <v>0</v>
      </c>
      <c r="I3144" s="5">
        <v>0</v>
      </c>
      <c r="J3144" s="6">
        <v>0</v>
      </c>
      <c r="K3144" s="4" t="s">
        <v>3178</v>
      </c>
    </row>
    <row r="3145" spans="1:14">
      <c r="A3145" s="8" t="s">
        <v>3157</v>
      </c>
      <c r="B3145" s="2">
        <f>HYPERLINK("https://www.suredividend.com/sure-analysis-research-database/","Zynerba Pharmaceuticals Inc")</f>
        <v>0</v>
      </c>
      <c r="C3145" s="1" t="s">
        <v>3176</v>
      </c>
      <c r="D3145" s="3">
        <v>1.3</v>
      </c>
      <c r="E3145" s="4">
        <v>0</v>
      </c>
      <c r="F3145" s="4" t="s">
        <v>3178</v>
      </c>
      <c r="G3145" s="4" t="s">
        <v>3178</v>
      </c>
      <c r="H3145" s="3">
        <v>0</v>
      </c>
      <c r="I3145" s="5">
        <v>0</v>
      </c>
      <c r="J3145" s="6">
        <v>0</v>
      </c>
      <c r="K3145" s="4" t="s">
        <v>3178</v>
      </c>
    </row>
    <row r="3146" spans="1:14">
      <c r="A3146" s="8" t="s">
        <v>3158</v>
      </c>
      <c r="B3146" s="2">
        <f>HYPERLINK("https://www.suredividend.com/sure-analysis-research-database/","Zynex Inc")</f>
        <v>0</v>
      </c>
      <c r="C3146" s="1" t="s">
        <v>3176</v>
      </c>
      <c r="D3146" s="3">
        <v>9.59</v>
      </c>
      <c r="E3146" s="4">
        <v>0</v>
      </c>
      <c r="F3146" s="4" t="s">
        <v>3178</v>
      </c>
      <c r="G3146" s="4" t="s">
        <v>3178</v>
      </c>
      <c r="H3146" s="3">
        <v>0</v>
      </c>
      <c r="I3146" s="5">
        <v>304.724005</v>
      </c>
      <c r="J3146" s="6">
        <v>37.28422916554509</v>
      </c>
      <c r="K3146" s="4">
        <v>0</v>
      </c>
      <c r="L3146" s="7">
        <v>0.9166826723371171</v>
      </c>
      <c r="M3146" s="3">
        <v>13.77</v>
      </c>
      <c r="N3146" s="3">
        <v>6.88</v>
      </c>
    </row>
    <row r="3147" spans="1:14">
      <c r="A3147" s="8" t="s">
        <v>3159</v>
      </c>
      <c r="B3147" s="2">
        <f>HYPERLINK("https://www.suredividend.com/sure-analysis-research-database/","Truecar Inc")</f>
        <v>0</v>
      </c>
      <c r="C3147" s="1" t="s">
        <v>3187</v>
      </c>
      <c r="D3147" s="3">
        <v>2.9</v>
      </c>
      <c r="E3147" s="4">
        <v>0</v>
      </c>
      <c r="F3147" s="4" t="s">
        <v>3178</v>
      </c>
      <c r="G3147" s="4" t="s">
        <v>3178</v>
      </c>
      <c r="H3147" s="3">
        <v>0</v>
      </c>
      <c r="I3147" s="5">
        <v>265.56384</v>
      </c>
      <c r="J3147" s="6" t="s">
        <v>3178</v>
      </c>
      <c r="K3147" s="4">
        <v>-0</v>
      </c>
      <c r="L3147" s="7">
        <v>2.251174269090262</v>
      </c>
      <c r="M3147" s="3">
        <v>4.05</v>
      </c>
      <c r="N3147" s="3">
        <v>1.76</v>
      </c>
    </row>
    <row r="3148" spans="1:14">
      <c r="A3148" s="8" t="s">
        <v>3160</v>
      </c>
      <c r="B3148" s="2">
        <f>HYPERLINK("https://www.suredividend.com/sure-analysis-research-database/","Broadmark Realty Capital Inc")</f>
        <v>0</v>
      </c>
      <c r="C3148" s="1" t="s">
        <v>3183</v>
      </c>
      <c r="D3148" s="3">
        <v>4.82</v>
      </c>
      <c r="E3148" s="4">
        <v>0.123695747098898</v>
      </c>
      <c r="F3148" s="4">
        <v>0</v>
      </c>
      <c r="G3148" s="4">
        <v>-0.1294494367038759</v>
      </c>
      <c r="H3148" s="3">
        <v>0.596213501016689</v>
      </c>
      <c r="I3148" s="5">
        <v>635.036485</v>
      </c>
      <c r="J3148" s="6">
        <v>0</v>
      </c>
      <c r="K3148" s="4" t="s">
        <v>3178</v>
      </c>
      <c r="L3148" s="7">
        <v>1.198799884620383</v>
      </c>
      <c r="M3148" s="3">
        <v>7.02</v>
      </c>
      <c r="N3148" s="3">
        <v>3.38</v>
      </c>
    </row>
    <row r="3149" spans="1:14">
      <c r="A3149" s="8" t="s">
        <v>3161</v>
      </c>
      <c r="B3149" s="2">
        <f>HYPERLINK("https://www.suredividend.com/sure-analysis-CRT/","Cross Timbers Royalty Trust")</f>
        <v>0</v>
      </c>
      <c r="C3149" s="1" t="s">
        <v>3185</v>
      </c>
      <c r="D3149" s="3">
        <v>13.52</v>
      </c>
      <c r="E3149" s="4">
        <v>0.07840236686390534</v>
      </c>
      <c r="F3149" s="4">
        <v>-0.4948795990392203</v>
      </c>
      <c r="G3149" s="4">
        <v>-0.1714130309523326</v>
      </c>
      <c r="H3149" s="3">
        <v>1.285261825241576</v>
      </c>
      <c r="I3149" s="5">
        <v>81.12</v>
      </c>
      <c r="J3149" s="6">
        <v>0</v>
      </c>
      <c r="K3149" s="4" t="s">
        <v>3178</v>
      </c>
      <c r="L3149" s="7">
        <v>0.115099358126823</v>
      </c>
      <c r="M3149" s="3">
        <v>24.27</v>
      </c>
      <c r="N3149" s="3">
        <v>12.31</v>
      </c>
    </row>
    <row r="3150" spans="1:14">
      <c r="A3150" s="8" t="s">
        <v>3162</v>
      </c>
      <c r="B3150" s="2">
        <f>HYPERLINK("https://www.suredividend.com/sure-analysis-research-database/","Dream Industrial Real Estate Investment Trust")</f>
        <v>0</v>
      </c>
      <c r="C3150" s="1" t="s">
        <v>3180</v>
      </c>
      <c r="D3150" s="3">
        <v>9.0655</v>
      </c>
      <c r="E3150" s="4">
        <v>0</v>
      </c>
      <c r="F3150" s="4">
        <v>0</v>
      </c>
      <c r="G3150" s="4">
        <v>0</v>
      </c>
      <c r="H3150" s="3">
        <v>0.6999599933624261</v>
      </c>
      <c r="I3150" s="5">
        <v>2491.622061</v>
      </c>
      <c r="J3150" s="6">
        <v>0</v>
      </c>
      <c r="K3150" s="4" t="s">
        <v>3178</v>
      </c>
      <c r="M3150" s="3">
        <v>10.53</v>
      </c>
      <c r="N3150" s="3">
        <v>8.050000000000001</v>
      </c>
    </row>
    <row r="3151" spans="1:14">
      <c r="A3151" s="8" t="s">
        <v>3163</v>
      </c>
      <c r="B3151" s="2">
        <f>HYPERLINK("https://www.suredividend.com/sure-analysis-GAIN/","Gladstone Investment Corporation")</f>
        <v>0</v>
      </c>
      <c r="C3151" s="1" t="s">
        <v>3180</v>
      </c>
      <c r="D3151" s="3">
        <v>14.27</v>
      </c>
      <c r="E3151" s="4">
        <v>0.06727400140154169</v>
      </c>
      <c r="F3151" s="4">
        <v>0</v>
      </c>
      <c r="G3151" s="4">
        <v>-0.1972584382397693</v>
      </c>
      <c r="H3151" s="3">
        <v>0.851500383206757</v>
      </c>
      <c r="I3151" s="5">
        <v>523.547278</v>
      </c>
      <c r="J3151" s="6">
        <v>0</v>
      </c>
      <c r="K3151" s="4" t="s">
        <v>3178</v>
      </c>
      <c r="L3151" s="7">
        <v>0.496456134382229</v>
      </c>
      <c r="M3151" s="3">
        <v>14.39</v>
      </c>
      <c r="N3151" s="3">
        <v>9.699999999999999</v>
      </c>
    </row>
    <row r="3152" spans="1:14">
      <c r="A3152" s="8" t="s">
        <v>3164</v>
      </c>
      <c r="B3152" s="2">
        <f>HYPERLINK("https://www.suredividend.com/sure-analysis-GLAD/","Gladstone Capital Corp.")</f>
        <v>0</v>
      </c>
      <c r="C3152" s="1" t="s">
        <v>3180</v>
      </c>
      <c r="D3152" s="3">
        <v>22.73</v>
      </c>
      <c r="E3152" s="4">
        <v>0.08710954685437747</v>
      </c>
      <c r="F3152" s="4">
        <v>1</v>
      </c>
      <c r="G3152" s="4">
        <v>0.1870723269950472</v>
      </c>
      <c r="H3152" s="3">
        <v>1.823785925608512</v>
      </c>
      <c r="I3152" s="5">
        <v>494.479126</v>
      </c>
      <c r="J3152" s="6">
        <v>0</v>
      </c>
      <c r="K3152" s="4" t="s">
        <v>3178</v>
      </c>
      <c r="M3152" s="3">
        <v>22.84</v>
      </c>
      <c r="N3152" s="3">
        <v>16.15</v>
      </c>
    </row>
    <row r="3153" spans="1:14">
      <c r="A3153" s="8" t="s">
        <v>3165</v>
      </c>
      <c r="B3153" s="2">
        <f>HYPERLINK("https://www.suredividend.com/sure-analysis-research-database/","Harvest Capital Credit Corp")</f>
        <v>0</v>
      </c>
      <c r="C3153" s="1" t="s">
        <v>3180</v>
      </c>
      <c r="D3153" s="3">
        <v>9.66</v>
      </c>
      <c r="E3153" s="4">
        <v>0</v>
      </c>
      <c r="F3153" s="4" t="s">
        <v>3178</v>
      </c>
      <c r="G3153" s="4" t="s">
        <v>3178</v>
      </c>
      <c r="H3153" s="3">
        <v>0</v>
      </c>
      <c r="I3153" s="5">
        <v>0</v>
      </c>
      <c r="J3153" s="6">
        <v>0</v>
      </c>
      <c r="K3153" s="4" t="s">
        <v>3178</v>
      </c>
    </row>
    <row r="3154" spans="1:14">
      <c r="A3154" s="8" t="s">
        <v>3166</v>
      </c>
      <c r="B3154" s="2">
        <f>HYPERLINK("https://www.suredividend.com/sure-analysis-HRZN/","Horizon Technology Finance Corp")</f>
        <v>0</v>
      </c>
      <c r="C3154" s="1" t="s">
        <v>3180</v>
      </c>
      <c r="D3154" s="3">
        <v>12.11</v>
      </c>
      <c r="E3154" s="4">
        <v>0.1090008257638315</v>
      </c>
      <c r="F3154" s="4">
        <v>0</v>
      </c>
      <c r="G3154" s="4">
        <v>0</v>
      </c>
      <c r="H3154" s="3">
        <v>1.207840985334886</v>
      </c>
      <c r="I3154" s="5">
        <v>424.101573</v>
      </c>
      <c r="J3154" s="6">
        <v>0</v>
      </c>
      <c r="K3154" s="4" t="s">
        <v>3178</v>
      </c>
      <c r="L3154" s="7">
        <v>0.556247361858209</v>
      </c>
      <c r="M3154" s="3">
        <v>12.7</v>
      </c>
      <c r="N3154" s="3">
        <v>9.619999999999999</v>
      </c>
    </row>
    <row r="3155" spans="1:14">
      <c r="A3155" s="8" t="s">
        <v>3167</v>
      </c>
      <c r="B3155" s="2">
        <f>HYPERLINK("https://www.suredividend.com/sure-analysis-MAIN/","Main Street Capital Corporation")</f>
        <v>0</v>
      </c>
      <c r="C3155" s="1" t="s">
        <v>3180</v>
      </c>
      <c r="D3155" s="3">
        <v>48.75</v>
      </c>
      <c r="E3155" s="4">
        <v>0.05907692307692308</v>
      </c>
      <c r="F3155" s="4">
        <v>-0.2000000000000002</v>
      </c>
      <c r="G3155" s="4">
        <v>0.01299136822423641</v>
      </c>
      <c r="H3155" s="3">
        <v>3.490792073649882</v>
      </c>
      <c r="I3155" s="5">
        <v>4178.636524</v>
      </c>
      <c r="J3155" s="6">
        <v>9.752983504960939</v>
      </c>
      <c r="K3155" s="4">
        <v>0.6674554634129793</v>
      </c>
      <c r="L3155" s="7">
        <v>0.50324093537936</v>
      </c>
      <c r="M3155" s="3">
        <v>50.85</v>
      </c>
      <c r="N3155" s="3">
        <v>34.84</v>
      </c>
    </row>
    <row r="3156" spans="1:14">
      <c r="A3156" s="8" t="s">
        <v>3168</v>
      </c>
      <c r="B3156" s="2">
        <f>HYPERLINK("https://www.suredividend.com/sure-analysis-OXSQ/","Oxford Square Capital Corp")</f>
        <v>0</v>
      </c>
      <c r="C3156" s="1" t="s">
        <v>3180</v>
      </c>
      <c r="D3156" s="3">
        <v>3.09</v>
      </c>
      <c r="E3156" s="4">
        <v>0.1359223300970874</v>
      </c>
      <c r="F3156" s="4">
        <v>0</v>
      </c>
      <c r="G3156" s="4">
        <v>0</v>
      </c>
      <c r="H3156" s="3">
        <v>0.373402415471615</v>
      </c>
      <c r="I3156" s="5">
        <v>184.539277</v>
      </c>
      <c r="J3156" s="6">
        <v>20.05609919732903</v>
      </c>
      <c r="K3156" s="4">
        <v>2.288004996762347</v>
      </c>
      <c r="L3156" s="7">
        <v>0.444228874148142</v>
      </c>
      <c r="M3156" s="3">
        <v>3.25</v>
      </c>
      <c r="N3156" s="3">
        <v>2.01</v>
      </c>
    </row>
    <row r="3157" spans="1:14">
      <c r="A3157" s="8" t="s">
        <v>3169</v>
      </c>
      <c r="B3157" s="2">
        <f>HYPERLINK("https://www.suredividend.com/sure-analysis-PBA/","Pembina Pipeline Corporation")</f>
        <v>0</v>
      </c>
      <c r="C3157" s="1" t="s">
        <v>3185</v>
      </c>
      <c r="D3157" s="3">
        <v>37.04</v>
      </c>
      <c r="E3157" s="4">
        <v>0.05399568034557235</v>
      </c>
      <c r="F3157" s="4">
        <v>0.02298850574712619</v>
      </c>
      <c r="G3157" s="4">
        <v>0.2602200794124603</v>
      </c>
      <c r="H3157" s="3">
        <v>2.612957027252087</v>
      </c>
      <c r="I3157" s="5">
        <v>21465.440357</v>
      </c>
      <c r="J3157" s="6">
        <v>0</v>
      </c>
      <c r="K3157" s="4" t="s">
        <v>3178</v>
      </c>
      <c r="L3157" s="7">
        <v>0.6772654785789131</v>
      </c>
      <c r="M3157" s="3">
        <v>37.48</v>
      </c>
      <c r="N3157" s="3">
        <v>27.36</v>
      </c>
    </row>
    <row r="3158" spans="1:14">
      <c r="A3158" s="8" t="s">
        <v>3170</v>
      </c>
      <c r="B3158" s="2">
        <f>HYPERLINK("https://www.suredividend.com/sure-analysis-PBT/","Permian Basin Royalty Trust")</f>
        <v>0</v>
      </c>
      <c r="C3158" s="1" t="s">
        <v>3185</v>
      </c>
      <c r="D3158" s="3">
        <v>11.98</v>
      </c>
      <c r="E3158" s="4">
        <v>0.04590984974958264</v>
      </c>
      <c r="F3158" s="4">
        <v>-0.3538074828397408</v>
      </c>
      <c r="G3158" s="4">
        <v>-0.3740003482541111</v>
      </c>
      <c r="H3158" s="3">
        <v>0.6400271551456821</v>
      </c>
      <c r="I3158" s="5">
        <v>558.373376</v>
      </c>
      <c r="J3158" s="6">
        <v>0</v>
      </c>
      <c r="K3158" s="4" t="s">
        <v>3178</v>
      </c>
      <c r="L3158" s="7">
        <v>0.7277025095338761</v>
      </c>
      <c r="M3158" s="3">
        <v>24.6</v>
      </c>
      <c r="N3158" s="3">
        <v>10.82</v>
      </c>
    </row>
    <row r="3159" spans="1:14">
      <c r="A3159" s="8" t="s">
        <v>3171</v>
      </c>
      <c r="B3159" s="2">
        <f>HYPERLINK("https://www.suredividend.com/sure-analysis-PFLT/","PennantPark Floating Rate Capital Ltd")</f>
        <v>0</v>
      </c>
      <c r="C3159" s="1" t="s">
        <v>3180</v>
      </c>
      <c r="D3159" s="3">
        <v>11.39</v>
      </c>
      <c r="E3159" s="4">
        <v>0.1079894644424934</v>
      </c>
      <c r="F3159" s="4">
        <v>0</v>
      </c>
      <c r="G3159" s="4">
        <v>0.01531324576182613</v>
      </c>
      <c r="H3159" s="3">
        <v>1.170658683662372</v>
      </c>
      <c r="I3159" s="5">
        <v>760.033492</v>
      </c>
      <c r="J3159" s="6">
        <v>0</v>
      </c>
      <c r="K3159" s="4" t="s">
        <v>3178</v>
      </c>
      <c r="L3159" s="7">
        <v>0.6098161323163941</v>
      </c>
      <c r="M3159" s="3">
        <v>12.08</v>
      </c>
      <c r="N3159" s="3">
        <v>9.1</v>
      </c>
    </row>
    <row r="3160" spans="1:14">
      <c r="A3160" s="8" t="s">
        <v>3172</v>
      </c>
      <c r="B3160" s="2">
        <f>HYPERLINK("https://www.suredividend.com/sure-analysis-PRT/","PermRock Royalty Trust")</f>
        <v>0</v>
      </c>
      <c r="C3160" s="1" t="s">
        <v>3185</v>
      </c>
      <c r="D3160" s="3">
        <v>3.67</v>
      </c>
      <c r="E3160" s="4">
        <v>0.1008174386920981</v>
      </c>
      <c r="F3160" s="4">
        <v>0.1661119953697006</v>
      </c>
      <c r="G3160" s="4">
        <v>-0.1546878076655697</v>
      </c>
      <c r="H3160" s="3">
        <v>0.41746835214777</v>
      </c>
      <c r="I3160" s="5">
        <v>44.648236</v>
      </c>
      <c r="J3160" s="6">
        <v>0</v>
      </c>
      <c r="K3160" s="4" t="s">
        <v>3178</v>
      </c>
      <c r="L3160" s="7">
        <v>0.163752349810166</v>
      </c>
      <c r="M3160" s="3">
        <v>6.58</v>
      </c>
      <c r="N3160" s="3">
        <v>3.58</v>
      </c>
    </row>
    <row r="3161" spans="1:14">
      <c r="A3161" s="8" t="s">
        <v>3173</v>
      </c>
      <c r="B3161" s="2">
        <f>HYPERLINK("https://www.suredividend.com/sure-analysis-PSEC/","Prospect Capital Corp")</f>
        <v>0</v>
      </c>
      <c r="C3161" s="1" t="s">
        <v>3180</v>
      </c>
      <c r="D3161" s="3">
        <v>5.59</v>
      </c>
      <c r="E3161" s="4">
        <v>0.1288014311270125</v>
      </c>
      <c r="F3161" s="4">
        <v>0</v>
      </c>
      <c r="G3161" s="4">
        <v>0</v>
      </c>
      <c r="H3161" s="3">
        <v>0.648458650393412</v>
      </c>
      <c r="I3161" s="5">
        <v>2335.265482</v>
      </c>
      <c r="J3161" s="6">
        <v>0</v>
      </c>
      <c r="K3161" s="4" t="s">
        <v>3178</v>
      </c>
      <c r="L3161" s="7">
        <v>0.555910330565199</v>
      </c>
      <c r="M3161" s="3">
        <v>5.71</v>
      </c>
      <c r="N3161" s="3">
        <v>4.39</v>
      </c>
    </row>
    <row r="3162" spans="1:14">
      <c r="A3162" s="8" t="s">
        <v>3174</v>
      </c>
      <c r="B3162" s="2">
        <f>HYPERLINK("https://www.suredividend.com/sure-analysis-SBR/","Sabine Royalty Trust")</f>
        <v>0</v>
      </c>
      <c r="C3162" s="1" t="s">
        <v>3185</v>
      </c>
      <c r="D3162" s="3">
        <v>66.83</v>
      </c>
      <c r="E3162" s="4">
        <v>0.08618883734849618</v>
      </c>
      <c r="F3162" s="4">
        <v>0.367302589440937</v>
      </c>
      <c r="G3162" s="4">
        <v>0.005158083003139691</v>
      </c>
      <c r="H3162" s="3">
        <v>5.620709831544838</v>
      </c>
      <c r="I3162" s="5">
        <v>974.337626</v>
      </c>
      <c r="J3162" s="6">
        <v>0</v>
      </c>
      <c r="K3162" s="4" t="s">
        <v>3178</v>
      </c>
      <c r="L3162" s="7">
        <v>0.338041274775703</v>
      </c>
      <c r="M3162" s="3">
        <v>68.65000000000001</v>
      </c>
      <c r="N3162" s="3">
        <v>52.04</v>
      </c>
    </row>
    <row r="3163" spans="1:14">
      <c r="A3163" s="8" t="s">
        <v>3175</v>
      </c>
      <c r="B3163" s="2">
        <f>HYPERLINK("https://www.suredividend.com/sure-analysis-research-database/","SLR Senior Investment Corp")</f>
        <v>0</v>
      </c>
      <c r="C3163" s="1" t="s">
        <v>3180</v>
      </c>
      <c r="D3163" s="3">
        <v>14.16</v>
      </c>
      <c r="E3163" s="4">
        <v>0</v>
      </c>
      <c r="F3163" s="4">
        <v>0</v>
      </c>
      <c r="G3163" s="4">
        <v>0</v>
      </c>
      <c r="H3163" s="3">
        <v>1.200000017881393</v>
      </c>
      <c r="I3163" s="5">
        <v>0</v>
      </c>
      <c r="J3163" s="6">
        <v>0</v>
      </c>
      <c r="K3163" s="4" t="s">
        <v>3178</v>
      </c>
    </row>
    <row r="3164" spans="1:14">
      <c r="A3164" s="9"/>
      <c r="B3164" s="9"/>
      <c r="C3164" s="9"/>
      <c r="D3164" s="9"/>
      <c r="E3164" s="9"/>
      <c r="F3164" s="9"/>
      <c r="G3164" s="9"/>
      <c r="H3164" s="9"/>
      <c r="I3164" s="9"/>
      <c r="J3164" s="9"/>
      <c r="K3164" s="9"/>
      <c r="L3164" s="9"/>
      <c r="M3164" s="9"/>
      <c r="N3164" s="9"/>
    </row>
    <row r="3165" spans="1:14">
      <c r="A3165" s="9"/>
      <c r="B3165" s="9"/>
      <c r="C3165" s="9"/>
      <c r="D3165" s="9"/>
      <c r="E3165" s="9"/>
      <c r="F3165" s="9"/>
      <c r="G3165" s="9"/>
      <c r="H3165" s="9"/>
      <c r="I3165" s="9"/>
      <c r="J3165" s="9"/>
      <c r="K3165" s="9"/>
      <c r="L3165" s="9"/>
      <c r="M3165" s="9"/>
      <c r="N3165" s="9"/>
    </row>
    <row r="3166" spans="1:14">
      <c r="A3166" s="9"/>
      <c r="B3166" s="9"/>
      <c r="C3166" s="9"/>
      <c r="D3166" s="9"/>
      <c r="E3166" s="9"/>
      <c r="F3166" s="9"/>
      <c r="G3166" s="9"/>
      <c r="H3166" s="9"/>
      <c r="I3166" s="9"/>
      <c r="J3166" s="9"/>
      <c r="K3166" s="9"/>
      <c r="L3166" s="9"/>
      <c r="M3166" s="9"/>
      <c r="N3166" s="9"/>
    </row>
    <row r="3167" spans="1:14">
      <c r="A3167" s="9"/>
      <c r="B3167" s="9"/>
      <c r="C3167" s="9"/>
      <c r="D3167" s="9"/>
      <c r="E3167" s="9"/>
      <c r="F3167" s="9"/>
      <c r="G3167" s="9"/>
      <c r="H3167" s="9"/>
      <c r="I3167" s="9"/>
      <c r="J3167" s="9"/>
      <c r="K3167" s="9"/>
      <c r="L3167" s="9"/>
      <c r="M3167" s="9"/>
      <c r="N3167" s="9"/>
    </row>
    <row r="3168" spans="1:14">
      <c r="A3168" s="9"/>
      <c r="B3168" s="9"/>
      <c r="C3168" s="9"/>
      <c r="D3168" s="9"/>
      <c r="E3168" s="9"/>
      <c r="F3168" s="9"/>
      <c r="G3168" s="9"/>
      <c r="H3168" s="9"/>
      <c r="I3168" s="9"/>
      <c r="J3168" s="9"/>
      <c r="K3168" s="9"/>
      <c r="L3168" s="9"/>
      <c r="M3168" s="9"/>
      <c r="N3168" s="9"/>
    </row>
    <row r="3169" spans="1:14">
      <c r="A3169" s="9"/>
      <c r="B3169" s="9"/>
      <c r="C3169" s="9"/>
      <c r="D3169" s="9"/>
      <c r="E3169" s="9"/>
      <c r="F3169" s="9"/>
      <c r="G3169" s="9"/>
      <c r="H3169" s="9"/>
      <c r="I3169" s="9"/>
      <c r="J3169" s="9"/>
      <c r="K3169" s="9"/>
      <c r="L3169" s="9"/>
      <c r="M3169" s="9"/>
      <c r="N3169" s="9"/>
    </row>
    <row r="3170" spans="1:14">
      <c r="A3170" s="9"/>
      <c r="B3170" s="9"/>
      <c r="C3170" s="9"/>
      <c r="D3170" s="9"/>
      <c r="E3170" s="9"/>
      <c r="F3170" s="9"/>
      <c r="G3170" s="9"/>
      <c r="H3170" s="9"/>
      <c r="I3170" s="9"/>
      <c r="J3170" s="9"/>
      <c r="K3170" s="9"/>
      <c r="L3170" s="9"/>
      <c r="M3170" s="9"/>
      <c r="N3170" s="9"/>
    </row>
    <row r="3171" spans="1:14">
      <c r="A3171" s="9"/>
      <c r="B3171" s="9"/>
      <c r="C3171" s="9"/>
      <c r="D3171" s="9"/>
      <c r="E3171" s="9"/>
      <c r="F3171" s="9"/>
      <c r="G3171" s="9"/>
      <c r="H3171" s="9"/>
      <c r="I3171" s="9"/>
      <c r="J3171" s="9"/>
      <c r="K3171" s="9"/>
      <c r="L3171" s="9"/>
      <c r="M3171" s="9"/>
      <c r="N3171" s="9"/>
    </row>
    <row r="3172" spans="1:14">
      <c r="A3172" s="9"/>
      <c r="B3172" s="9"/>
      <c r="C3172" s="9"/>
      <c r="D3172" s="9"/>
      <c r="E3172" s="9"/>
      <c r="F3172" s="9"/>
      <c r="G3172" s="9"/>
      <c r="H3172" s="9"/>
      <c r="I3172" s="9"/>
      <c r="J3172" s="9"/>
      <c r="K3172" s="9"/>
      <c r="L3172" s="9"/>
      <c r="M3172" s="9"/>
      <c r="N3172" s="9"/>
    </row>
    <row r="3173" spans="1:14">
      <c r="A3173" s="9"/>
      <c r="B3173" s="9"/>
      <c r="C3173" s="9"/>
      <c r="D3173" s="9"/>
      <c r="E3173" s="9"/>
      <c r="F3173" s="9"/>
      <c r="G3173" s="9"/>
      <c r="H3173" s="9"/>
      <c r="I3173" s="9"/>
      <c r="J3173" s="9"/>
      <c r="K3173" s="9"/>
      <c r="L3173" s="9"/>
      <c r="M3173" s="9"/>
      <c r="N3173" s="9"/>
    </row>
    <row r="3174" spans="1:14">
      <c r="A3174" s="9"/>
      <c r="B3174" s="9"/>
      <c r="C3174" s="9"/>
      <c r="D3174" s="9"/>
      <c r="E3174" s="9"/>
      <c r="F3174" s="9"/>
      <c r="G3174" s="9"/>
      <c r="H3174" s="9"/>
      <c r="I3174" s="9"/>
      <c r="J3174" s="9"/>
      <c r="K3174" s="9"/>
      <c r="L3174" s="9"/>
      <c r="M3174" s="9"/>
      <c r="N3174" s="9"/>
    </row>
    <row r="3175" spans="1:14">
      <c r="A3175" s="9"/>
      <c r="B3175" s="9"/>
      <c r="C3175" s="9"/>
      <c r="D3175" s="9"/>
      <c r="E3175" s="9"/>
      <c r="F3175" s="9"/>
      <c r="G3175" s="9"/>
      <c r="H3175" s="9"/>
      <c r="I3175" s="9"/>
      <c r="J3175" s="9"/>
      <c r="K3175" s="9"/>
      <c r="L3175" s="9"/>
      <c r="M3175" s="9"/>
      <c r="N3175" s="9"/>
    </row>
    <row r="3176" spans="1:14">
      <c r="A3176" s="9"/>
      <c r="B3176" s="9"/>
      <c r="C3176" s="9"/>
      <c r="D3176" s="9"/>
      <c r="E3176" s="9"/>
      <c r="F3176" s="9"/>
      <c r="G3176" s="9"/>
      <c r="H3176" s="9"/>
      <c r="I3176" s="9"/>
      <c r="J3176" s="9"/>
      <c r="K3176" s="9"/>
      <c r="L3176" s="9"/>
      <c r="M3176" s="9"/>
      <c r="N3176" s="9"/>
    </row>
    <row r="3177" spans="1:14">
      <c r="A3177" s="9"/>
      <c r="B3177" s="9"/>
      <c r="C3177" s="9"/>
      <c r="D3177" s="9"/>
      <c r="E3177" s="9"/>
      <c r="F3177" s="9"/>
      <c r="G3177" s="9"/>
      <c r="H3177" s="9"/>
      <c r="I3177" s="9"/>
      <c r="J3177" s="9"/>
      <c r="K3177" s="9"/>
      <c r="L3177" s="9"/>
      <c r="M3177" s="9"/>
      <c r="N3177" s="9"/>
    </row>
    <row r="3178" spans="1:14">
      <c r="A3178" s="9"/>
      <c r="B3178" s="9"/>
      <c r="C3178" s="9"/>
      <c r="D3178" s="9"/>
      <c r="E3178" s="9"/>
      <c r="F3178" s="9"/>
      <c r="G3178" s="9"/>
      <c r="H3178" s="9"/>
      <c r="I3178" s="9"/>
      <c r="J3178" s="9"/>
      <c r="K3178" s="9"/>
      <c r="L3178" s="9"/>
      <c r="M3178" s="9"/>
      <c r="N3178" s="9"/>
    </row>
    <row r="3179" spans="1:14">
      <c r="A3179" s="9"/>
      <c r="B3179" s="9"/>
      <c r="C3179" s="9"/>
      <c r="D3179" s="9"/>
      <c r="E3179" s="9"/>
      <c r="F3179" s="9"/>
      <c r="G3179" s="9"/>
      <c r="H3179" s="9"/>
      <c r="I3179" s="9"/>
      <c r="J3179" s="9"/>
      <c r="K3179" s="9"/>
      <c r="L3179" s="9"/>
      <c r="M3179" s="9"/>
      <c r="N3179" s="9"/>
    </row>
    <row r="3180" spans="1:14">
      <c r="A3180" s="9"/>
      <c r="B3180" s="9"/>
      <c r="C3180" s="9"/>
      <c r="D3180" s="9"/>
      <c r="E3180" s="9"/>
      <c r="F3180" s="9"/>
      <c r="G3180" s="9"/>
      <c r="H3180" s="9"/>
      <c r="I3180" s="9"/>
      <c r="J3180" s="9"/>
      <c r="K3180" s="9"/>
      <c r="L3180" s="9"/>
      <c r="M3180" s="9"/>
      <c r="N3180" s="9"/>
    </row>
    <row r="3181" spans="1:14">
      <c r="A3181" s="9"/>
      <c r="B3181" s="9"/>
      <c r="C3181" s="9"/>
      <c r="D3181" s="9"/>
      <c r="E3181" s="9"/>
      <c r="F3181" s="9"/>
      <c r="G3181" s="9"/>
      <c r="H3181" s="9"/>
      <c r="I3181" s="9"/>
      <c r="J3181" s="9"/>
      <c r="K3181" s="9"/>
      <c r="L3181" s="9"/>
      <c r="M3181" s="9"/>
      <c r="N3181" s="9"/>
    </row>
    <row r="3182" spans="1:14">
      <c r="A3182" s="9"/>
      <c r="B3182" s="9"/>
      <c r="C3182" s="9"/>
      <c r="D3182" s="9"/>
      <c r="E3182" s="9"/>
      <c r="F3182" s="9"/>
      <c r="G3182" s="9"/>
      <c r="H3182" s="9"/>
      <c r="I3182" s="9"/>
      <c r="J3182" s="9"/>
      <c r="K3182" s="9"/>
      <c r="L3182" s="9"/>
      <c r="M3182" s="9"/>
      <c r="N3182" s="9"/>
    </row>
    <row r="3183" spans="1:14">
      <c r="A3183" s="9"/>
      <c r="B3183" s="9"/>
      <c r="C3183" s="9"/>
      <c r="D3183" s="9"/>
      <c r="E3183" s="9"/>
      <c r="F3183" s="9"/>
      <c r="G3183" s="9"/>
      <c r="H3183" s="9"/>
      <c r="I3183" s="9"/>
      <c r="J3183" s="9"/>
      <c r="K3183" s="9"/>
      <c r="L3183" s="9"/>
      <c r="M3183" s="9"/>
      <c r="N3183" s="9"/>
    </row>
    <row r="3184" spans="1:14">
      <c r="A3184" s="9"/>
      <c r="B3184" s="9"/>
      <c r="C3184" s="9"/>
      <c r="D3184" s="9"/>
      <c r="E3184" s="9"/>
      <c r="F3184" s="9"/>
      <c r="G3184" s="9"/>
      <c r="H3184" s="9"/>
      <c r="I3184" s="9"/>
      <c r="J3184" s="9"/>
      <c r="K3184" s="9"/>
      <c r="L3184" s="9"/>
      <c r="M3184" s="9"/>
      <c r="N3184" s="9"/>
    </row>
    <row r="3185" spans="1:14">
      <c r="A3185" s="9"/>
      <c r="B3185" s="9"/>
      <c r="C3185" s="9"/>
      <c r="D3185" s="9"/>
      <c r="E3185" s="9"/>
      <c r="F3185" s="9"/>
      <c r="G3185" s="9"/>
      <c r="H3185" s="9"/>
      <c r="I3185" s="9"/>
      <c r="J3185" s="9"/>
      <c r="K3185" s="9"/>
      <c r="L3185" s="9"/>
      <c r="M3185" s="9"/>
      <c r="N3185" s="9"/>
    </row>
    <row r="3186" spans="1:14">
      <c r="A3186" s="9"/>
      <c r="B3186" s="9"/>
      <c r="C3186" s="9"/>
      <c r="D3186" s="9"/>
      <c r="E3186" s="9"/>
      <c r="F3186" s="9"/>
      <c r="G3186" s="9"/>
      <c r="H3186" s="9"/>
      <c r="I3186" s="9"/>
      <c r="J3186" s="9"/>
      <c r="K3186" s="9"/>
      <c r="L3186" s="9"/>
      <c r="M3186" s="9"/>
      <c r="N3186" s="9"/>
    </row>
    <row r="3187" spans="1:14">
      <c r="A3187" s="9"/>
      <c r="B3187" s="9"/>
      <c r="C3187" s="9"/>
      <c r="D3187" s="9"/>
      <c r="E3187" s="9"/>
      <c r="F3187" s="9"/>
      <c r="G3187" s="9"/>
      <c r="H3187" s="9"/>
      <c r="I3187" s="9"/>
      <c r="J3187" s="9"/>
      <c r="K3187" s="9"/>
      <c r="L3187" s="9"/>
      <c r="M3187" s="9"/>
      <c r="N3187" s="9"/>
    </row>
    <row r="3188" spans="1:14">
      <c r="A3188" s="9"/>
      <c r="B3188" s="9"/>
      <c r="C3188" s="9"/>
      <c r="D3188" s="9"/>
      <c r="E3188" s="9"/>
      <c r="F3188" s="9"/>
      <c r="G3188" s="9"/>
      <c r="H3188" s="9"/>
      <c r="I3188" s="9"/>
      <c r="J3188" s="9"/>
      <c r="K3188" s="9"/>
      <c r="L3188" s="9"/>
      <c r="M3188" s="9"/>
      <c r="N3188" s="9"/>
    </row>
    <row r="3189" spans="1:14">
      <c r="A3189" s="9"/>
      <c r="B3189" s="9"/>
      <c r="C3189" s="9"/>
      <c r="D3189" s="9"/>
      <c r="E3189" s="9"/>
      <c r="F3189" s="9"/>
      <c r="G3189" s="9"/>
      <c r="H3189" s="9"/>
      <c r="I3189" s="9"/>
      <c r="J3189" s="9"/>
      <c r="K3189" s="9"/>
      <c r="L3189" s="9"/>
      <c r="M3189" s="9"/>
      <c r="N3189" s="9"/>
    </row>
    <row r="3190" spans="1:14">
      <c r="A3190" s="9"/>
      <c r="B3190" s="9"/>
      <c r="C3190" s="9"/>
      <c r="D3190" s="9"/>
      <c r="E3190" s="9"/>
      <c r="F3190" s="9"/>
      <c r="G3190" s="9"/>
      <c r="H3190" s="9"/>
      <c r="I3190" s="9"/>
      <c r="J3190" s="9"/>
      <c r="K3190" s="9"/>
      <c r="L3190" s="9"/>
      <c r="M3190" s="9"/>
      <c r="N3190" s="9"/>
    </row>
    <row r="3191" spans="1:14">
      <c r="A3191" s="9"/>
      <c r="B3191" s="9"/>
      <c r="C3191" s="9"/>
      <c r="D3191" s="9"/>
      <c r="E3191" s="9"/>
      <c r="F3191" s="9"/>
      <c r="G3191" s="9"/>
      <c r="H3191" s="9"/>
      <c r="I3191" s="9"/>
      <c r="J3191" s="9"/>
      <c r="K3191" s="9"/>
      <c r="L3191" s="9"/>
      <c r="M3191" s="9"/>
      <c r="N3191" s="9"/>
    </row>
    <row r="3192" spans="1:14">
      <c r="A3192" s="9"/>
      <c r="B3192" s="9"/>
      <c r="C3192" s="9"/>
      <c r="D3192" s="9"/>
      <c r="E3192" s="9"/>
      <c r="F3192" s="9"/>
      <c r="G3192" s="9"/>
      <c r="H3192" s="9"/>
      <c r="I3192" s="9"/>
      <c r="J3192" s="9"/>
      <c r="K3192" s="9"/>
      <c r="L3192" s="9"/>
      <c r="M3192" s="9"/>
      <c r="N3192" s="9"/>
    </row>
    <row r="3193" spans="1:14">
      <c r="A3193" s="9"/>
      <c r="B3193" s="9"/>
      <c r="C3193" s="9"/>
      <c r="D3193" s="9"/>
      <c r="E3193" s="9"/>
      <c r="F3193" s="9"/>
      <c r="G3193" s="9"/>
      <c r="H3193" s="9"/>
      <c r="I3193" s="9"/>
      <c r="J3193" s="9"/>
      <c r="K3193" s="9"/>
      <c r="L3193" s="9"/>
      <c r="M3193" s="9"/>
      <c r="N3193" s="9"/>
    </row>
    <row r="3194" spans="1:14">
      <c r="A3194" s="9"/>
      <c r="B3194" s="9"/>
      <c r="C3194" s="9"/>
      <c r="D3194" s="9"/>
      <c r="E3194" s="9"/>
      <c r="F3194" s="9"/>
      <c r="G3194" s="9"/>
      <c r="H3194" s="9"/>
      <c r="I3194" s="9"/>
      <c r="J3194" s="9"/>
      <c r="K3194" s="9"/>
      <c r="L3194" s="9"/>
      <c r="M3194" s="9"/>
      <c r="N3194" s="9"/>
    </row>
    <row r="3195" spans="1:14">
      <c r="A3195" s="9"/>
      <c r="B3195" s="9"/>
      <c r="C3195" s="9"/>
      <c r="D3195" s="9"/>
      <c r="E3195" s="9"/>
      <c r="F3195" s="9"/>
      <c r="G3195" s="9"/>
      <c r="H3195" s="9"/>
      <c r="I3195" s="9"/>
      <c r="J3195" s="9"/>
      <c r="K3195" s="9"/>
      <c r="L3195" s="9"/>
      <c r="M3195" s="9"/>
      <c r="N3195" s="9"/>
    </row>
    <row r="3196" spans="1:14">
      <c r="A3196" s="9"/>
      <c r="B3196" s="9"/>
      <c r="C3196" s="9"/>
      <c r="D3196" s="9"/>
      <c r="E3196" s="9"/>
      <c r="F3196" s="9"/>
      <c r="G3196" s="9"/>
      <c r="H3196" s="9"/>
      <c r="I3196" s="9"/>
      <c r="J3196" s="9"/>
      <c r="K3196" s="9"/>
      <c r="L3196" s="9"/>
      <c r="M3196" s="9"/>
      <c r="N3196" s="9"/>
    </row>
    <row r="3197" spans="1:14">
      <c r="A3197" s="9"/>
      <c r="B3197" s="9"/>
      <c r="C3197" s="9"/>
      <c r="D3197" s="9"/>
      <c r="E3197" s="9"/>
      <c r="F3197" s="9"/>
      <c r="G3197" s="9"/>
      <c r="H3197" s="9"/>
      <c r="I3197" s="9"/>
      <c r="J3197" s="9"/>
      <c r="K3197" s="9"/>
      <c r="L3197" s="9"/>
      <c r="M3197" s="9"/>
      <c r="N3197" s="9"/>
    </row>
    <row r="3198" spans="1:14">
      <c r="A3198" s="9"/>
      <c r="B3198" s="9"/>
      <c r="C3198" s="9"/>
      <c r="D3198" s="9"/>
      <c r="E3198" s="9"/>
      <c r="F3198" s="9"/>
      <c r="G3198" s="9"/>
      <c r="H3198" s="9"/>
      <c r="I3198" s="9"/>
      <c r="J3198" s="9"/>
      <c r="K3198" s="9"/>
      <c r="L3198" s="9"/>
      <c r="M3198" s="9"/>
      <c r="N3198" s="9"/>
    </row>
    <row r="3199" spans="1:14">
      <c r="A3199" s="9"/>
      <c r="B3199" s="9"/>
      <c r="C3199" s="9"/>
      <c r="D3199" s="9"/>
      <c r="E3199" s="9"/>
      <c r="F3199" s="9"/>
      <c r="G3199" s="9"/>
      <c r="H3199" s="9"/>
      <c r="I3199" s="9"/>
      <c r="J3199" s="9"/>
      <c r="K3199" s="9"/>
      <c r="L3199" s="9"/>
      <c r="M3199" s="9"/>
      <c r="N3199" s="9"/>
    </row>
    <row r="3200" spans="1:14">
      <c r="A3200" s="9"/>
      <c r="B3200" s="9"/>
      <c r="C3200" s="9"/>
      <c r="D3200" s="9"/>
      <c r="E3200" s="9"/>
      <c r="F3200" s="9"/>
      <c r="G3200" s="9"/>
      <c r="H3200" s="9"/>
      <c r="I3200" s="9"/>
      <c r="J3200" s="9"/>
      <c r="K3200" s="9"/>
      <c r="L3200" s="9"/>
      <c r="M3200" s="9"/>
      <c r="N3200" s="9"/>
    </row>
    <row r="3201" spans="1:14">
      <c r="A3201" s="9"/>
      <c r="B3201" s="9"/>
      <c r="C3201" s="9"/>
      <c r="D3201" s="9"/>
      <c r="E3201" s="9"/>
      <c r="F3201" s="9"/>
      <c r="G3201" s="9"/>
      <c r="H3201" s="9"/>
      <c r="I3201" s="9"/>
      <c r="J3201" s="9"/>
      <c r="K3201" s="9"/>
      <c r="L3201" s="9"/>
      <c r="M3201" s="9"/>
      <c r="N3201" s="9"/>
    </row>
    <row r="3202" spans="1:14">
      <c r="A3202" s="9"/>
      <c r="B3202" s="9"/>
      <c r="C3202" s="9"/>
      <c r="D3202" s="9"/>
      <c r="E3202" s="9"/>
      <c r="F3202" s="9"/>
      <c r="G3202" s="9"/>
      <c r="H3202" s="9"/>
      <c r="I3202" s="9"/>
      <c r="J3202" s="9"/>
      <c r="K3202" s="9"/>
      <c r="L3202" s="9"/>
      <c r="M3202" s="9"/>
      <c r="N3202" s="9"/>
    </row>
    <row r="3203" spans="1:14">
      <c r="A3203" s="9"/>
      <c r="B3203" s="9"/>
      <c r="C3203" s="9"/>
      <c r="D3203" s="9"/>
      <c r="E3203" s="9"/>
      <c r="F3203" s="9"/>
      <c r="G3203" s="9"/>
      <c r="H3203" s="9"/>
      <c r="I3203" s="9"/>
      <c r="J3203" s="9"/>
      <c r="K3203" s="9"/>
      <c r="L3203" s="9"/>
      <c r="M3203" s="9"/>
      <c r="N3203" s="9"/>
    </row>
    <row r="3204" spans="1:14">
      <c r="A3204" s="9"/>
      <c r="B3204" s="9"/>
      <c r="C3204" s="9"/>
      <c r="D3204" s="9"/>
      <c r="E3204" s="9"/>
      <c r="F3204" s="9"/>
      <c r="G3204" s="9"/>
      <c r="H3204" s="9"/>
      <c r="I3204" s="9"/>
      <c r="J3204" s="9"/>
      <c r="K3204" s="9"/>
      <c r="L3204" s="9"/>
      <c r="M3204" s="9"/>
      <c r="N3204" s="9"/>
    </row>
    <row r="3205" spans="1:14">
      <c r="A3205" s="9"/>
      <c r="B3205" s="9"/>
      <c r="C3205" s="9"/>
      <c r="D3205" s="9"/>
      <c r="E3205" s="9"/>
      <c r="F3205" s="9"/>
      <c r="G3205" s="9"/>
      <c r="H3205" s="9"/>
      <c r="I3205" s="9"/>
      <c r="J3205" s="9"/>
      <c r="K3205" s="9"/>
      <c r="L3205" s="9"/>
      <c r="M3205" s="9"/>
      <c r="N3205" s="9"/>
    </row>
    <row r="3206" spans="1:14">
      <c r="A3206" s="9"/>
      <c r="B3206" s="9"/>
      <c r="C3206" s="9"/>
      <c r="D3206" s="9"/>
      <c r="E3206" s="9"/>
      <c r="F3206" s="9"/>
      <c r="G3206" s="9"/>
      <c r="H3206" s="9"/>
      <c r="I3206" s="9"/>
      <c r="J3206" s="9"/>
      <c r="K3206" s="9"/>
      <c r="L3206" s="9"/>
      <c r="M3206" s="9"/>
      <c r="N3206" s="9"/>
    </row>
    <row r="3207" spans="1:14">
      <c r="A3207" s="9"/>
      <c r="B3207" s="9"/>
      <c r="C3207" s="9"/>
      <c r="D3207" s="9"/>
      <c r="E3207" s="9"/>
      <c r="F3207" s="9"/>
      <c r="G3207" s="9"/>
      <c r="H3207" s="9"/>
      <c r="I3207" s="9"/>
      <c r="J3207" s="9"/>
      <c r="K3207" s="9"/>
      <c r="L3207" s="9"/>
      <c r="M3207" s="9"/>
      <c r="N3207" s="9"/>
    </row>
    <row r="3208" spans="1:14">
      <c r="A3208" s="9"/>
      <c r="B3208" s="9"/>
      <c r="C3208" s="9"/>
      <c r="D3208" s="9"/>
      <c r="E3208" s="9"/>
      <c r="F3208" s="9"/>
      <c r="G3208" s="9"/>
      <c r="H3208" s="9"/>
      <c r="I3208" s="9"/>
      <c r="J3208" s="9"/>
      <c r="K3208" s="9"/>
      <c r="L3208" s="9"/>
      <c r="M3208" s="9"/>
      <c r="N3208" s="9"/>
    </row>
    <row r="3209" spans="1:14">
      <c r="A3209" s="9"/>
      <c r="B3209" s="9"/>
      <c r="C3209" s="9"/>
      <c r="D3209" s="9"/>
      <c r="E3209" s="9"/>
      <c r="F3209" s="9"/>
      <c r="G3209" s="9"/>
      <c r="H3209" s="9"/>
      <c r="I3209" s="9"/>
      <c r="J3209" s="9"/>
      <c r="K3209" s="9"/>
      <c r="L3209" s="9"/>
      <c r="M3209" s="9"/>
      <c r="N3209" s="9"/>
    </row>
    <row r="3210" spans="1:14">
      <c r="A3210" s="9"/>
      <c r="B3210" s="9"/>
      <c r="C3210" s="9"/>
      <c r="D3210" s="9"/>
      <c r="E3210" s="9"/>
      <c r="F3210" s="9"/>
      <c r="G3210" s="9"/>
      <c r="H3210" s="9"/>
      <c r="I3210" s="9"/>
      <c r="J3210" s="9"/>
      <c r="K3210" s="9"/>
      <c r="L3210" s="9"/>
      <c r="M3210" s="9"/>
      <c r="N3210" s="9"/>
    </row>
    <row r="3211" spans="1:14">
      <c r="A3211" s="9"/>
      <c r="B3211" s="9"/>
      <c r="C3211" s="9"/>
      <c r="D3211" s="9"/>
      <c r="E3211" s="9"/>
      <c r="F3211" s="9"/>
      <c r="G3211" s="9"/>
      <c r="H3211" s="9"/>
      <c r="I3211" s="9"/>
      <c r="J3211" s="9"/>
      <c r="K3211" s="9"/>
      <c r="L3211" s="9"/>
      <c r="M3211" s="9"/>
      <c r="N3211" s="9"/>
    </row>
    <row r="3212" spans="1:14">
      <c r="A3212" s="9"/>
      <c r="B3212" s="9"/>
      <c r="C3212" s="9"/>
      <c r="D3212" s="9"/>
      <c r="E3212" s="9"/>
      <c r="F3212" s="9"/>
      <c r="G3212" s="9"/>
      <c r="H3212" s="9"/>
      <c r="I3212" s="9"/>
      <c r="J3212" s="9"/>
      <c r="K3212" s="9"/>
      <c r="L3212" s="9"/>
      <c r="M3212" s="9"/>
      <c r="N3212" s="9"/>
    </row>
    <row r="3213" spans="1:14">
      <c r="A3213" s="9"/>
      <c r="B3213" s="9"/>
      <c r="C3213" s="9"/>
      <c r="D3213" s="9"/>
      <c r="E3213" s="9"/>
      <c r="F3213" s="9"/>
      <c r="G3213" s="9"/>
      <c r="H3213" s="9"/>
      <c r="I3213" s="9"/>
      <c r="J3213" s="9"/>
      <c r="K3213" s="9"/>
      <c r="L3213" s="9"/>
      <c r="M3213" s="9"/>
      <c r="N3213" s="9"/>
    </row>
    <row r="3214" spans="1:14">
      <c r="A3214" s="9"/>
      <c r="B3214" s="9"/>
      <c r="C3214" s="9"/>
      <c r="D3214" s="9"/>
      <c r="E3214" s="9"/>
      <c r="F3214" s="9"/>
      <c r="G3214" s="9"/>
      <c r="H3214" s="9"/>
      <c r="I3214" s="9"/>
      <c r="J3214" s="9"/>
      <c r="K3214" s="9"/>
      <c r="L3214" s="9"/>
      <c r="M3214" s="9"/>
      <c r="N3214" s="9"/>
    </row>
    <row r="3215" spans="1:14">
      <c r="A3215" s="9"/>
      <c r="B3215" s="9"/>
      <c r="C3215" s="9"/>
      <c r="D3215" s="9"/>
      <c r="E3215" s="9"/>
      <c r="F3215" s="9"/>
      <c r="G3215" s="9"/>
      <c r="H3215" s="9"/>
      <c r="I3215" s="9"/>
      <c r="J3215" s="9"/>
      <c r="K3215" s="9"/>
      <c r="L3215" s="9"/>
      <c r="M3215" s="9"/>
      <c r="N3215" s="9"/>
    </row>
    <row r="3216" spans="1:14">
      <c r="A3216" s="9"/>
      <c r="B3216" s="9"/>
      <c r="C3216" s="9"/>
      <c r="D3216" s="9"/>
      <c r="E3216" s="9"/>
      <c r="F3216" s="9"/>
      <c r="G3216" s="9"/>
      <c r="H3216" s="9"/>
      <c r="I3216" s="9"/>
      <c r="J3216" s="9"/>
      <c r="K3216" s="9"/>
      <c r="L3216" s="9"/>
      <c r="M3216" s="9"/>
      <c r="N3216" s="9"/>
    </row>
    <row r="3217" spans="1:14">
      <c r="A3217" s="9"/>
      <c r="B3217" s="9"/>
      <c r="C3217" s="9"/>
      <c r="D3217" s="9"/>
      <c r="E3217" s="9"/>
      <c r="F3217" s="9"/>
      <c r="G3217" s="9"/>
      <c r="H3217" s="9"/>
      <c r="I3217" s="9"/>
      <c r="J3217" s="9"/>
      <c r="K3217" s="9"/>
      <c r="L3217" s="9"/>
      <c r="M3217" s="9"/>
      <c r="N3217" s="9"/>
    </row>
    <row r="3218" spans="1:14">
      <c r="A3218" s="9"/>
      <c r="B3218" s="9"/>
      <c r="C3218" s="9"/>
      <c r="D3218" s="9"/>
      <c r="E3218" s="9"/>
      <c r="F3218" s="9"/>
      <c r="G3218" s="9"/>
      <c r="H3218" s="9"/>
      <c r="I3218" s="9"/>
      <c r="J3218" s="9"/>
      <c r="K3218" s="9"/>
      <c r="L3218" s="9"/>
      <c r="M3218" s="9"/>
      <c r="N3218" s="9"/>
    </row>
    <row r="3219" spans="1:14">
      <c r="A3219" s="9"/>
      <c r="B3219" s="9"/>
      <c r="C3219" s="9"/>
      <c r="D3219" s="9"/>
      <c r="E3219" s="9"/>
      <c r="F3219" s="9"/>
      <c r="G3219" s="9"/>
      <c r="H3219" s="9"/>
      <c r="I3219" s="9"/>
      <c r="J3219" s="9"/>
      <c r="K3219" s="9"/>
      <c r="L3219" s="9"/>
      <c r="M3219" s="9"/>
      <c r="N3219" s="9"/>
    </row>
    <row r="3220" spans="1:14">
      <c r="A3220" s="9"/>
      <c r="B3220" s="9"/>
      <c r="C3220" s="9"/>
      <c r="D3220" s="9"/>
      <c r="E3220" s="9"/>
      <c r="F3220" s="9"/>
      <c r="G3220" s="9"/>
      <c r="H3220" s="9"/>
      <c r="I3220" s="9"/>
      <c r="J3220" s="9"/>
      <c r="K3220" s="9"/>
      <c r="L3220" s="9"/>
      <c r="M3220" s="9"/>
      <c r="N3220" s="9"/>
    </row>
    <row r="3221" spans="1:14">
      <c r="A3221" s="9"/>
      <c r="B3221" s="9"/>
      <c r="C3221" s="9"/>
      <c r="D3221" s="9"/>
      <c r="E3221" s="9"/>
      <c r="F3221" s="9"/>
      <c r="G3221" s="9"/>
      <c r="H3221" s="9"/>
      <c r="I3221" s="9"/>
      <c r="J3221" s="9"/>
      <c r="K3221" s="9"/>
      <c r="L3221" s="9"/>
      <c r="M3221" s="9"/>
      <c r="N3221" s="9"/>
    </row>
    <row r="3222" spans="1:14">
      <c r="A3222" s="9"/>
      <c r="B3222" s="9"/>
      <c r="C3222" s="9"/>
      <c r="D3222" s="9"/>
      <c r="E3222" s="9"/>
      <c r="F3222" s="9"/>
      <c r="G3222" s="9"/>
      <c r="H3222" s="9"/>
      <c r="I3222" s="9"/>
      <c r="J3222" s="9"/>
      <c r="K3222" s="9"/>
      <c r="L3222" s="9"/>
      <c r="M3222" s="9"/>
      <c r="N3222" s="9"/>
    </row>
    <row r="3223" spans="1:14">
      <c r="A3223" s="9"/>
      <c r="B3223" s="9"/>
      <c r="C3223" s="9"/>
      <c r="D3223" s="9"/>
      <c r="E3223" s="9"/>
      <c r="F3223" s="9"/>
      <c r="G3223" s="9"/>
      <c r="H3223" s="9"/>
      <c r="I3223" s="9"/>
      <c r="J3223" s="9"/>
      <c r="K3223" s="9"/>
      <c r="L3223" s="9"/>
      <c r="M3223" s="9"/>
      <c r="N3223" s="9"/>
    </row>
    <row r="3224" spans="1:14">
      <c r="A3224" s="9"/>
      <c r="B3224" s="9"/>
      <c r="C3224" s="9"/>
      <c r="D3224" s="9"/>
      <c r="E3224" s="9"/>
      <c r="F3224" s="9"/>
      <c r="G3224" s="9"/>
      <c r="H3224" s="9"/>
      <c r="I3224" s="9"/>
      <c r="J3224" s="9"/>
      <c r="K3224" s="9"/>
      <c r="L3224" s="9"/>
      <c r="M3224" s="9"/>
      <c r="N3224" s="9"/>
    </row>
    <row r="3225" spans="1:14">
      <c r="A3225" s="9"/>
      <c r="B3225" s="9"/>
      <c r="C3225" s="9"/>
      <c r="D3225" s="9"/>
      <c r="E3225" s="9"/>
      <c r="F3225" s="9"/>
      <c r="G3225" s="9"/>
      <c r="H3225" s="9"/>
      <c r="I3225" s="9"/>
      <c r="J3225" s="9"/>
      <c r="K3225" s="9"/>
      <c r="L3225" s="9"/>
      <c r="M3225" s="9"/>
      <c r="N3225" s="9"/>
    </row>
    <row r="3226" spans="1:14">
      <c r="A3226" s="9"/>
      <c r="B3226" s="9"/>
      <c r="C3226" s="9"/>
      <c r="D3226" s="9"/>
      <c r="E3226" s="9"/>
      <c r="F3226" s="9"/>
      <c r="G3226" s="9"/>
      <c r="H3226" s="9"/>
      <c r="I3226" s="9"/>
      <c r="J3226" s="9"/>
      <c r="K3226" s="9"/>
      <c r="L3226" s="9"/>
      <c r="M3226" s="9"/>
      <c r="N3226" s="9"/>
    </row>
    <row r="3227" spans="1:14">
      <c r="A3227" s="9"/>
      <c r="B3227" s="9"/>
      <c r="C3227" s="9"/>
      <c r="D3227" s="9"/>
      <c r="E3227" s="9"/>
      <c r="F3227" s="9"/>
      <c r="G3227" s="9"/>
      <c r="H3227" s="9"/>
      <c r="I3227" s="9"/>
      <c r="J3227" s="9"/>
      <c r="K3227" s="9"/>
      <c r="L3227" s="9"/>
      <c r="M3227" s="9"/>
      <c r="N3227" s="9"/>
    </row>
    <row r="3228" spans="1:14">
      <c r="A3228" s="9"/>
      <c r="B3228" s="9"/>
      <c r="C3228" s="9"/>
      <c r="D3228" s="9"/>
      <c r="E3228" s="9"/>
      <c r="F3228" s="9"/>
      <c r="G3228" s="9"/>
      <c r="H3228" s="9"/>
      <c r="I3228" s="9"/>
      <c r="J3228" s="9"/>
      <c r="K3228" s="9"/>
      <c r="L3228" s="9"/>
      <c r="M3228" s="9"/>
      <c r="N3228" s="9"/>
    </row>
    <row r="3229" spans="1:14">
      <c r="A3229" s="9"/>
      <c r="B3229" s="9"/>
      <c r="C3229" s="9"/>
      <c r="D3229" s="9"/>
      <c r="E3229" s="9"/>
      <c r="F3229" s="9"/>
      <c r="G3229" s="9"/>
      <c r="H3229" s="9"/>
      <c r="I3229" s="9"/>
      <c r="J3229" s="9"/>
      <c r="K3229" s="9"/>
      <c r="L3229" s="9"/>
      <c r="M3229" s="9"/>
      <c r="N3229" s="9"/>
    </row>
    <row r="3230" spans="1:14">
      <c r="A3230" s="9"/>
      <c r="B3230" s="9"/>
      <c r="C3230" s="9"/>
      <c r="D3230" s="9"/>
      <c r="E3230" s="9"/>
      <c r="F3230" s="9"/>
      <c r="G3230" s="9"/>
      <c r="H3230" s="9"/>
      <c r="I3230" s="9"/>
      <c r="J3230" s="9"/>
      <c r="K3230" s="9"/>
      <c r="L3230" s="9"/>
      <c r="M3230" s="9"/>
      <c r="N3230" s="9"/>
    </row>
    <row r="3231" spans="1:14">
      <c r="A3231" s="9"/>
      <c r="B3231" s="9"/>
      <c r="C3231" s="9"/>
      <c r="D3231" s="9"/>
      <c r="E3231" s="9"/>
      <c r="F3231" s="9"/>
      <c r="G3231" s="9"/>
      <c r="H3231" s="9"/>
      <c r="I3231" s="9"/>
      <c r="J3231" s="9"/>
      <c r="K3231" s="9"/>
      <c r="L3231" s="9"/>
      <c r="M3231" s="9"/>
      <c r="N3231" s="9"/>
    </row>
    <row r="3232" spans="1:14">
      <c r="A3232" s="9"/>
      <c r="B3232" s="9"/>
      <c r="C3232" s="9"/>
      <c r="D3232" s="9"/>
      <c r="E3232" s="9"/>
      <c r="F3232" s="9"/>
      <c r="G3232" s="9"/>
      <c r="H3232" s="9"/>
      <c r="I3232" s="9"/>
      <c r="J3232" s="9"/>
      <c r="K3232" s="9"/>
      <c r="L3232" s="9"/>
      <c r="M3232" s="9"/>
      <c r="N3232" s="9"/>
    </row>
    <row r="3233" spans="1:14">
      <c r="A3233" s="9"/>
      <c r="B3233" s="9"/>
      <c r="C3233" s="9"/>
      <c r="D3233" s="9"/>
      <c r="E3233" s="9"/>
      <c r="F3233" s="9"/>
      <c r="G3233" s="9"/>
      <c r="H3233" s="9"/>
      <c r="I3233" s="9"/>
      <c r="J3233" s="9"/>
      <c r="K3233" s="9"/>
      <c r="L3233" s="9"/>
      <c r="M3233" s="9"/>
      <c r="N3233" s="9"/>
    </row>
    <row r="3234" spans="1:14">
      <c r="A3234" s="9"/>
      <c r="B3234" s="9"/>
      <c r="C3234" s="9"/>
      <c r="D3234" s="9"/>
      <c r="E3234" s="9"/>
      <c r="F3234" s="9"/>
      <c r="G3234" s="9"/>
      <c r="H3234" s="9"/>
      <c r="I3234" s="9"/>
      <c r="J3234" s="9"/>
      <c r="K3234" s="9"/>
      <c r="L3234" s="9"/>
      <c r="M3234" s="9"/>
      <c r="N3234" s="9"/>
    </row>
    <row r="3235" spans="1:14">
      <c r="A3235" s="9"/>
      <c r="B3235" s="9"/>
      <c r="C3235" s="9"/>
      <c r="D3235" s="9"/>
      <c r="E3235" s="9"/>
      <c r="F3235" s="9"/>
      <c r="G3235" s="9"/>
      <c r="H3235" s="9"/>
      <c r="I3235" s="9"/>
      <c r="J3235" s="9"/>
      <c r="K3235" s="9"/>
      <c r="L3235" s="9"/>
      <c r="M3235" s="9"/>
      <c r="N3235" s="9"/>
    </row>
    <row r="3236" spans="1:14">
      <c r="A3236" s="9"/>
      <c r="B3236" s="9"/>
      <c r="C3236" s="9"/>
      <c r="D3236" s="9"/>
      <c r="E3236" s="9"/>
      <c r="F3236" s="9"/>
      <c r="G3236" s="9"/>
      <c r="H3236" s="9"/>
      <c r="I3236" s="9"/>
      <c r="J3236" s="9"/>
      <c r="K3236" s="9"/>
      <c r="L3236" s="9"/>
      <c r="M3236" s="9"/>
      <c r="N3236" s="9"/>
    </row>
    <row r="3237" spans="1:14">
      <c r="A3237" s="9"/>
      <c r="B3237" s="9"/>
      <c r="C3237" s="9"/>
      <c r="D3237" s="9"/>
      <c r="E3237" s="9"/>
      <c r="F3237" s="9"/>
      <c r="G3237" s="9"/>
      <c r="H3237" s="9"/>
      <c r="I3237" s="9"/>
      <c r="J3237" s="9"/>
      <c r="K3237" s="9"/>
      <c r="L3237" s="9"/>
      <c r="M3237" s="9"/>
      <c r="N3237" s="9"/>
    </row>
    <row r="3238" spans="1:14">
      <c r="A3238" s="9"/>
      <c r="B3238" s="9"/>
      <c r="C3238" s="9"/>
      <c r="D3238" s="9"/>
      <c r="E3238" s="9"/>
      <c r="F3238" s="9"/>
      <c r="G3238" s="9"/>
      <c r="H3238" s="9"/>
      <c r="I3238" s="9"/>
      <c r="J3238" s="9"/>
      <c r="K3238" s="9"/>
      <c r="L3238" s="9"/>
      <c r="M3238" s="9"/>
      <c r="N3238" s="9"/>
    </row>
    <row r="3239" spans="1:14">
      <c r="A3239" s="9"/>
      <c r="B3239" s="9"/>
      <c r="C3239" s="9"/>
      <c r="D3239" s="9"/>
      <c r="E3239" s="9"/>
      <c r="F3239" s="9"/>
      <c r="G3239" s="9"/>
      <c r="H3239" s="9"/>
      <c r="I3239" s="9"/>
      <c r="J3239" s="9"/>
      <c r="K3239" s="9"/>
      <c r="L3239" s="9"/>
      <c r="M3239" s="9"/>
      <c r="N3239" s="9"/>
    </row>
    <row r="3240" spans="1:14">
      <c r="A3240" s="9"/>
      <c r="B3240" s="9"/>
      <c r="C3240" s="9"/>
      <c r="D3240" s="9"/>
      <c r="E3240" s="9"/>
      <c r="F3240" s="9"/>
      <c r="G3240" s="9"/>
      <c r="H3240" s="9"/>
      <c r="I3240" s="9"/>
      <c r="J3240" s="9"/>
      <c r="K3240" s="9"/>
      <c r="L3240" s="9"/>
      <c r="M3240" s="9"/>
      <c r="N3240" s="9"/>
    </row>
    <row r="3241" spans="1:14">
      <c r="A3241" s="9"/>
      <c r="B3241" s="9"/>
      <c r="C3241" s="9"/>
      <c r="D3241" s="9"/>
      <c r="E3241" s="9"/>
      <c r="F3241" s="9"/>
      <c r="G3241" s="9"/>
      <c r="H3241" s="9"/>
      <c r="I3241" s="9"/>
      <c r="J3241" s="9"/>
      <c r="K3241" s="9"/>
      <c r="L3241" s="9"/>
      <c r="M3241" s="9"/>
      <c r="N3241" s="9"/>
    </row>
    <row r="3242" spans="1:14">
      <c r="A3242" s="9"/>
      <c r="B3242" s="9"/>
      <c r="C3242" s="9"/>
      <c r="D3242" s="9"/>
      <c r="E3242" s="9"/>
      <c r="F3242" s="9"/>
      <c r="G3242" s="9"/>
      <c r="H3242" s="9"/>
      <c r="I3242" s="9"/>
      <c r="J3242" s="9"/>
      <c r="K3242" s="9"/>
      <c r="L3242" s="9"/>
      <c r="M3242" s="9"/>
      <c r="N3242" s="9"/>
    </row>
    <row r="3243" spans="1:14">
      <c r="A3243" s="9"/>
      <c r="B3243" s="9"/>
      <c r="C3243" s="9"/>
      <c r="D3243" s="9"/>
      <c r="E3243" s="9"/>
      <c r="F3243" s="9"/>
      <c r="G3243" s="9"/>
      <c r="H3243" s="9"/>
      <c r="I3243" s="9"/>
      <c r="J3243" s="9"/>
      <c r="K3243" s="9"/>
      <c r="L3243" s="9"/>
      <c r="M3243" s="9"/>
      <c r="N3243" s="9"/>
    </row>
    <row r="3244" spans="1:14">
      <c r="A3244" s="9"/>
      <c r="B3244" s="9"/>
      <c r="C3244" s="9"/>
      <c r="D3244" s="9"/>
      <c r="E3244" s="9"/>
      <c r="F3244" s="9"/>
      <c r="G3244" s="9"/>
      <c r="H3244" s="9"/>
      <c r="I3244" s="9"/>
      <c r="J3244" s="9"/>
      <c r="K3244" s="9"/>
      <c r="L3244" s="9"/>
      <c r="M3244" s="9"/>
      <c r="N3244" s="9"/>
    </row>
    <row r="3245" spans="1:14">
      <c r="A3245" s="9"/>
      <c r="B3245" s="9"/>
      <c r="C3245" s="9"/>
      <c r="D3245" s="9"/>
      <c r="E3245" s="9"/>
      <c r="F3245" s="9"/>
      <c r="G3245" s="9"/>
      <c r="H3245" s="9"/>
      <c r="I3245" s="9"/>
      <c r="J3245" s="9"/>
      <c r="K3245" s="9"/>
      <c r="L3245" s="9"/>
      <c r="M3245" s="9"/>
      <c r="N3245" s="9"/>
    </row>
    <row r="3246" spans="1:14">
      <c r="A3246" s="9"/>
      <c r="B3246" s="9"/>
      <c r="C3246" s="9"/>
      <c r="D3246" s="9"/>
      <c r="E3246" s="9"/>
      <c r="F3246" s="9"/>
      <c r="G3246" s="9"/>
      <c r="H3246" s="9"/>
      <c r="I3246" s="9"/>
      <c r="J3246" s="9"/>
      <c r="K3246" s="9"/>
      <c r="L3246" s="9"/>
      <c r="M3246" s="9"/>
      <c r="N3246" s="9"/>
    </row>
    <row r="3247" spans="1:14">
      <c r="A3247" s="9"/>
      <c r="B3247" s="9"/>
      <c r="C3247" s="9"/>
      <c r="D3247" s="9"/>
      <c r="E3247" s="9"/>
      <c r="F3247" s="9"/>
      <c r="G3247" s="9"/>
      <c r="H3247" s="9"/>
      <c r="I3247" s="9"/>
      <c r="J3247" s="9"/>
      <c r="K3247" s="9"/>
      <c r="L3247" s="9"/>
      <c r="M3247" s="9"/>
      <c r="N3247" s="9"/>
    </row>
    <row r="3248" spans="1:14">
      <c r="A3248" s="9"/>
      <c r="B3248" s="9"/>
      <c r="C3248" s="9"/>
      <c r="D3248" s="9"/>
      <c r="E3248" s="9"/>
      <c r="F3248" s="9"/>
      <c r="G3248" s="9"/>
      <c r="H3248" s="9"/>
      <c r="I3248" s="9"/>
      <c r="J3248" s="9"/>
      <c r="K3248" s="9"/>
      <c r="L3248" s="9"/>
      <c r="M3248" s="9"/>
      <c r="N3248" s="9"/>
    </row>
    <row r="3249" spans="1:14">
      <c r="A3249" s="9"/>
      <c r="B3249" s="9"/>
      <c r="C3249" s="9"/>
      <c r="D3249" s="9"/>
      <c r="E3249" s="9"/>
      <c r="F3249" s="9"/>
      <c r="G3249" s="9"/>
      <c r="H3249" s="9"/>
      <c r="I3249" s="9"/>
      <c r="J3249" s="9"/>
      <c r="K3249" s="9"/>
      <c r="L3249" s="9"/>
      <c r="M3249" s="9"/>
      <c r="N3249" s="9"/>
    </row>
    <row r="3250" spans="1:14">
      <c r="A3250" s="9"/>
      <c r="B3250" s="9"/>
      <c r="C3250" s="9"/>
      <c r="D3250" s="9"/>
      <c r="E3250" s="9"/>
      <c r="F3250" s="9"/>
      <c r="G3250" s="9"/>
      <c r="H3250" s="9"/>
      <c r="I3250" s="9"/>
      <c r="J3250" s="9"/>
      <c r="K3250" s="9"/>
      <c r="L3250" s="9"/>
      <c r="M3250" s="9"/>
      <c r="N3250" s="9"/>
    </row>
    <row r="3251" spans="1:14">
      <c r="A3251" s="9"/>
      <c r="B3251" s="9"/>
      <c r="C3251" s="9"/>
      <c r="D3251" s="9"/>
      <c r="E3251" s="9"/>
      <c r="F3251" s="9"/>
      <c r="G3251" s="9"/>
      <c r="H3251" s="9"/>
      <c r="I3251" s="9"/>
      <c r="J3251" s="9"/>
      <c r="K3251" s="9"/>
      <c r="L3251" s="9"/>
      <c r="M3251" s="9"/>
      <c r="N3251" s="9"/>
    </row>
    <row r="3252" spans="1:14">
      <c r="A3252" s="9"/>
      <c r="B3252" s="9"/>
      <c r="C3252" s="9"/>
      <c r="D3252" s="9"/>
      <c r="E3252" s="9"/>
      <c r="F3252" s="9"/>
      <c r="G3252" s="9"/>
      <c r="H3252" s="9"/>
      <c r="I3252" s="9"/>
      <c r="J3252" s="9"/>
      <c r="K3252" s="9"/>
      <c r="L3252" s="9"/>
      <c r="M3252" s="9"/>
      <c r="N3252" s="9"/>
    </row>
    <row r="3253" spans="1:14">
      <c r="A3253" s="9"/>
      <c r="B3253" s="9"/>
      <c r="C3253" s="9"/>
      <c r="D3253" s="9"/>
      <c r="E3253" s="9"/>
      <c r="F3253" s="9"/>
      <c r="G3253" s="9"/>
      <c r="H3253" s="9"/>
      <c r="I3253" s="9"/>
      <c r="J3253" s="9"/>
      <c r="K3253" s="9"/>
      <c r="L3253" s="9"/>
      <c r="M3253" s="9"/>
      <c r="N3253" s="9"/>
    </row>
    <row r="3254" spans="1:14">
      <c r="A3254" s="9"/>
      <c r="B3254" s="9"/>
      <c r="C3254" s="9"/>
      <c r="D3254" s="9"/>
      <c r="E3254" s="9"/>
      <c r="F3254" s="9"/>
      <c r="G3254" s="9"/>
      <c r="H3254" s="9"/>
      <c r="I3254" s="9"/>
      <c r="J3254" s="9"/>
      <c r="K3254" s="9"/>
      <c r="L3254" s="9"/>
      <c r="M3254" s="9"/>
      <c r="N3254" s="9"/>
    </row>
    <row r="3255" spans="1:14">
      <c r="A3255" s="9"/>
      <c r="B3255" s="9"/>
      <c r="C3255" s="9"/>
      <c r="D3255" s="9"/>
      <c r="E3255" s="9"/>
      <c r="F3255" s="9"/>
      <c r="G3255" s="9"/>
      <c r="H3255" s="9"/>
      <c r="I3255" s="9"/>
      <c r="J3255" s="9"/>
      <c r="K3255" s="9"/>
      <c r="L3255" s="9"/>
      <c r="M3255" s="9"/>
      <c r="N3255" s="9"/>
    </row>
    <row r="3256" spans="1:14">
      <c r="A3256" s="9"/>
      <c r="B3256" s="9"/>
      <c r="C3256" s="9"/>
      <c r="D3256" s="9"/>
      <c r="E3256" s="9"/>
      <c r="F3256" s="9"/>
      <c r="G3256" s="9"/>
      <c r="H3256" s="9"/>
      <c r="I3256" s="9"/>
      <c r="J3256" s="9"/>
      <c r="K3256" s="9"/>
      <c r="L3256" s="9"/>
      <c r="M3256" s="9"/>
      <c r="N3256" s="9"/>
    </row>
    <row r="3257" spans="1:14">
      <c r="A3257" s="9"/>
      <c r="B3257" s="9"/>
      <c r="C3257" s="9"/>
      <c r="D3257" s="9"/>
      <c r="E3257" s="9"/>
      <c r="F3257" s="9"/>
      <c r="G3257" s="9"/>
      <c r="H3257" s="9"/>
      <c r="I3257" s="9"/>
      <c r="J3257" s="9"/>
      <c r="K3257" s="9"/>
      <c r="L3257" s="9"/>
      <c r="M3257" s="9"/>
      <c r="N3257" s="9"/>
    </row>
    <row r="3258" spans="1:14">
      <c r="A3258" s="9"/>
      <c r="B3258" s="9"/>
      <c r="C3258" s="9"/>
      <c r="D3258" s="9"/>
      <c r="E3258" s="9"/>
      <c r="F3258" s="9"/>
      <c r="G3258" s="9"/>
      <c r="H3258" s="9"/>
      <c r="I3258" s="9"/>
      <c r="J3258" s="9"/>
      <c r="K3258" s="9"/>
      <c r="L3258" s="9"/>
      <c r="M3258" s="9"/>
      <c r="N3258" s="9"/>
    </row>
    <row r="3259" spans="1:14">
      <c r="A3259" s="9"/>
      <c r="B3259" s="9"/>
      <c r="C3259" s="9"/>
      <c r="D3259" s="9"/>
      <c r="E3259" s="9"/>
      <c r="F3259" s="9"/>
      <c r="G3259" s="9"/>
      <c r="H3259" s="9"/>
      <c r="I3259" s="9"/>
      <c r="J3259" s="9"/>
      <c r="K3259" s="9"/>
      <c r="L3259" s="9"/>
      <c r="M3259" s="9"/>
      <c r="N3259" s="9"/>
    </row>
    <row r="3260" spans="1:14">
      <c r="A3260" s="9"/>
      <c r="B3260" s="9"/>
      <c r="C3260" s="9"/>
      <c r="D3260" s="9"/>
      <c r="E3260" s="9"/>
      <c r="F3260" s="9"/>
      <c r="G3260" s="9"/>
      <c r="H3260" s="9"/>
      <c r="I3260" s="9"/>
      <c r="J3260" s="9"/>
      <c r="K3260" s="9"/>
      <c r="L3260" s="9"/>
      <c r="M3260" s="9"/>
      <c r="N3260" s="9"/>
    </row>
    <row r="3261" spans="1:14">
      <c r="A3261" s="9"/>
      <c r="B3261" s="9"/>
      <c r="C3261" s="9"/>
      <c r="D3261" s="9"/>
      <c r="E3261" s="9"/>
      <c r="F3261" s="9"/>
      <c r="G3261" s="9"/>
      <c r="H3261" s="9"/>
      <c r="I3261" s="9"/>
      <c r="J3261" s="9"/>
      <c r="K3261" s="9"/>
      <c r="L3261" s="9"/>
      <c r="M3261" s="9"/>
      <c r="N3261" s="9"/>
    </row>
    <row r="3262" spans="1:14">
      <c r="A3262" s="9"/>
      <c r="B3262" s="9"/>
      <c r="C3262" s="9"/>
      <c r="D3262" s="9"/>
      <c r="E3262" s="9"/>
      <c r="F3262" s="9"/>
      <c r="G3262" s="9"/>
      <c r="H3262" s="9"/>
      <c r="I3262" s="9"/>
      <c r="J3262" s="9"/>
      <c r="K3262" s="9"/>
      <c r="L3262" s="9"/>
      <c r="M3262" s="9"/>
      <c r="N3262" s="9"/>
    </row>
    <row r="3263" spans="1:14">
      <c r="A3263" s="9"/>
      <c r="B3263" s="9"/>
      <c r="C3263" s="9"/>
      <c r="D3263" s="9"/>
      <c r="E3263" s="9"/>
      <c r="F3263" s="9"/>
      <c r="G3263" s="9"/>
      <c r="H3263" s="9"/>
      <c r="I3263" s="9"/>
      <c r="J3263" s="9"/>
      <c r="K3263" s="9"/>
      <c r="L3263" s="9"/>
      <c r="M3263" s="9"/>
      <c r="N3263" s="9"/>
    </row>
    <row r="3264" spans="1:14">
      <c r="A3264" s="9"/>
      <c r="B3264" s="9"/>
      <c r="C3264" s="9"/>
      <c r="D3264" s="9"/>
      <c r="E3264" s="9"/>
      <c r="F3264" s="9"/>
      <c r="G3264" s="9"/>
      <c r="H3264" s="9"/>
      <c r="I3264" s="9"/>
      <c r="J3264" s="9"/>
      <c r="K3264" s="9"/>
      <c r="L3264" s="9"/>
      <c r="M3264" s="9"/>
      <c r="N3264" s="9"/>
    </row>
    <row r="3265" spans="1:14">
      <c r="A3265" s="9"/>
      <c r="B3265" s="9"/>
      <c r="C3265" s="9"/>
      <c r="D3265" s="9"/>
      <c r="E3265" s="9"/>
      <c r="F3265" s="9"/>
      <c r="G3265" s="9"/>
      <c r="H3265" s="9"/>
      <c r="I3265" s="9"/>
      <c r="J3265" s="9"/>
      <c r="K3265" s="9"/>
      <c r="L3265" s="9"/>
      <c r="M3265" s="9"/>
      <c r="N3265" s="9"/>
    </row>
    <row r="3266" spans="1:14">
      <c r="A3266" s="9"/>
      <c r="B3266" s="9"/>
      <c r="C3266" s="9"/>
      <c r="D3266" s="9"/>
      <c r="E3266" s="9"/>
      <c r="F3266" s="9"/>
      <c r="G3266" s="9"/>
      <c r="H3266" s="9"/>
      <c r="I3266" s="9"/>
      <c r="J3266" s="9"/>
      <c r="K3266" s="9"/>
      <c r="L3266" s="9"/>
      <c r="M3266" s="9"/>
      <c r="N3266" s="9"/>
    </row>
    <row r="3267" spans="1:14">
      <c r="A3267" s="9"/>
      <c r="B3267" s="9"/>
      <c r="C3267" s="9"/>
      <c r="D3267" s="9"/>
      <c r="E3267" s="9"/>
      <c r="F3267" s="9"/>
      <c r="G3267" s="9"/>
      <c r="H3267" s="9"/>
      <c r="I3267" s="9"/>
      <c r="J3267" s="9"/>
      <c r="K3267" s="9"/>
      <c r="L3267" s="9"/>
      <c r="M3267" s="9"/>
      <c r="N3267" s="9"/>
    </row>
    <row r="3268" spans="1:14">
      <c r="A3268" s="9"/>
      <c r="B3268" s="9"/>
      <c r="C3268" s="9"/>
      <c r="D3268" s="9"/>
      <c r="E3268" s="9"/>
      <c r="F3268" s="9"/>
      <c r="G3268" s="9"/>
      <c r="H3268" s="9"/>
      <c r="I3268" s="9"/>
      <c r="J3268" s="9"/>
      <c r="K3268" s="9"/>
      <c r="L3268" s="9"/>
      <c r="M3268" s="9"/>
      <c r="N3268" s="9"/>
    </row>
    <row r="3269" spans="1:14">
      <c r="A3269" s="9"/>
      <c r="B3269" s="9"/>
      <c r="C3269" s="9"/>
      <c r="D3269" s="9"/>
      <c r="E3269" s="9"/>
      <c r="F3269" s="9"/>
      <c r="G3269" s="9"/>
      <c r="H3269" s="9"/>
      <c r="I3269" s="9"/>
      <c r="J3269" s="9"/>
      <c r="K3269" s="9"/>
      <c r="L3269" s="9"/>
      <c r="M3269" s="9"/>
      <c r="N3269" s="9"/>
    </row>
    <row r="3270" spans="1:14">
      <c r="A3270" s="9"/>
      <c r="B3270" s="9"/>
      <c r="C3270" s="9"/>
      <c r="D3270" s="9"/>
      <c r="E3270" s="9"/>
      <c r="F3270" s="9"/>
      <c r="G3270" s="9"/>
      <c r="H3270" s="9"/>
      <c r="I3270" s="9"/>
      <c r="J3270" s="9"/>
      <c r="K3270" s="9"/>
      <c r="L3270" s="9"/>
      <c r="M3270" s="9"/>
      <c r="N3270" s="9"/>
    </row>
    <row r="3271" spans="1:14">
      <c r="A3271" s="9"/>
      <c r="B3271" s="9"/>
      <c r="C3271" s="9"/>
      <c r="D3271" s="9"/>
      <c r="E3271" s="9"/>
      <c r="F3271" s="9"/>
      <c r="G3271" s="9"/>
      <c r="H3271" s="9"/>
      <c r="I3271" s="9"/>
      <c r="J3271" s="9"/>
      <c r="K3271" s="9"/>
      <c r="L3271" s="9"/>
      <c r="M3271" s="9"/>
      <c r="N3271" s="9"/>
    </row>
    <row r="3272" spans="1:14">
      <c r="A3272" s="9"/>
      <c r="B3272" s="9"/>
      <c r="C3272" s="9"/>
      <c r="D3272" s="9"/>
      <c r="E3272" s="9"/>
      <c r="F3272" s="9"/>
      <c r="G3272" s="9"/>
      <c r="H3272" s="9"/>
      <c r="I3272" s="9"/>
      <c r="J3272" s="9"/>
      <c r="K3272" s="9"/>
      <c r="L3272" s="9"/>
      <c r="M3272" s="9"/>
      <c r="N3272" s="9"/>
    </row>
    <row r="3273" spans="1:14">
      <c r="A3273" s="9"/>
      <c r="B3273" s="9"/>
      <c r="C3273" s="9"/>
      <c r="D3273" s="9"/>
      <c r="E3273" s="9"/>
      <c r="F3273" s="9"/>
      <c r="G3273" s="9"/>
      <c r="H3273" s="9"/>
      <c r="I3273" s="9"/>
      <c r="J3273" s="9"/>
      <c r="K3273" s="9"/>
      <c r="L3273" s="9"/>
      <c r="M3273" s="9"/>
      <c r="N3273" s="9"/>
    </row>
    <row r="3274" spans="1:14">
      <c r="A3274" s="9"/>
      <c r="B3274" s="9"/>
      <c r="C3274" s="9"/>
      <c r="D3274" s="9"/>
      <c r="E3274" s="9"/>
      <c r="F3274" s="9"/>
      <c r="G3274" s="9"/>
      <c r="H3274" s="9"/>
      <c r="I3274" s="9"/>
      <c r="J3274" s="9"/>
      <c r="K3274" s="9"/>
      <c r="L3274" s="9"/>
      <c r="M3274" s="9"/>
      <c r="N3274" s="9"/>
    </row>
    <row r="3275" spans="1:14">
      <c r="A3275" s="9"/>
      <c r="B3275" s="9"/>
      <c r="C3275" s="9"/>
      <c r="D3275" s="9"/>
      <c r="E3275" s="9"/>
      <c r="F3275" s="9"/>
      <c r="G3275" s="9"/>
      <c r="H3275" s="9"/>
      <c r="I3275" s="9"/>
      <c r="J3275" s="9"/>
      <c r="K3275" s="9"/>
      <c r="L3275" s="9"/>
      <c r="M3275" s="9"/>
      <c r="N3275" s="9"/>
    </row>
    <row r="3276" spans="1:14">
      <c r="A3276" s="9"/>
      <c r="B3276" s="9"/>
      <c r="C3276" s="9"/>
      <c r="D3276" s="9"/>
      <c r="E3276" s="9"/>
      <c r="F3276" s="9"/>
      <c r="G3276" s="9"/>
      <c r="H3276" s="9"/>
      <c r="I3276" s="9"/>
      <c r="J3276" s="9"/>
      <c r="K3276" s="9"/>
      <c r="L3276" s="9"/>
      <c r="M3276" s="9"/>
      <c r="N3276" s="9"/>
    </row>
    <row r="3277" spans="1:14">
      <c r="A3277" s="9"/>
      <c r="B3277" s="9"/>
      <c r="C3277" s="9"/>
      <c r="D3277" s="9"/>
      <c r="E3277" s="9"/>
      <c r="F3277" s="9"/>
      <c r="G3277" s="9"/>
      <c r="H3277" s="9"/>
      <c r="I3277" s="9"/>
      <c r="J3277" s="9"/>
      <c r="K3277" s="9"/>
      <c r="L3277" s="9"/>
      <c r="M3277" s="9"/>
      <c r="N3277" s="9"/>
    </row>
    <row r="3278" spans="1:14">
      <c r="A3278" s="9"/>
      <c r="B3278" s="9"/>
      <c r="C3278" s="9"/>
      <c r="D3278" s="9"/>
      <c r="E3278" s="9"/>
      <c r="F3278" s="9"/>
      <c r="G3278" s="9"/>
      <c r="H3278" s="9"/>
      <c r="I3278" s="9"/>
      <c r="J3278" s="9"/>
      <c r="K3278" s="9"/>
      <c r="L3278" s="9"/>
      <c r="M3278" s="9"/>
      <c r="N3278" s="9"/>
    </row>
    <row r="3279" spans="1:14">
      <c r="A3279" s="9"/>
      <c r="B3279" s="9"/>
      <c r="C3279" s="9"/>
      <c r="D3279" s="9"/>
      <c r="E3279" s="9"/>
      <c r="F3279" s="9"/>
      <c r="G3279" s="9"/>
      <c r="H3279" s="9"/>
      <c r="I3279" s="9"/>
      <c r="J3279" s="9"/>
      <c r="K3279" s="9"/>
      <c r="L3279" s="9"/>
      <c r="M3279" s="9"/>
      <c r="N3279" s="9"/>
    </row>
    <row r="3280" spans="1:14">
      <c r="A3280" s="9"/>
      <c r="B3280" s="9"/>
      <c r="C3280" s="9"/>
      <c r="D3280" s="9"/>
      <c r="E3280" s="9"/>
      <c r="F3280" s="9"/>
      <c r="G3280" s="9"/>
      <c r="H3280" s="9"/>
      <c r="I3280" s="9"/>
      <c r="J3280" s="9"/>
      <c r="K3280" s="9"/>
      <c r="L3280" s="9"/>
      <c r="M3280" s="9"/>
      <c r="N3280" s="9"/>
    </row>
    <row r="3281" spans="1:14">
      <c r="A3281" s="9"/>
      <c r="B3281" s="9"/>
      <c r="C3281" s="9"/>
      <c r="D3281" s="9"/>
      <c r="E3281" s="9"/>
      <c r="F3281" s="9"/>
      <c r="G3281" s="9"/>
      <c r="H3281" s="9"/>
      <c r="I3281" s="9"/>
      <c r="J3281" s="9"/>
      <c r="K3281" s="9"/>
      <c r="L3281" s="9"/>
      <c r="M3281" s="9"/>
      <c r="N3281" s="9"/>
    </row>
    <row r="3282" spans="1:14">
      <c r="A3282" s="9"/>
      <c r="B3282" s="9"/>
      <c r="C3282" s="9"/>
      <c r="D3282" s="9"/>
      <c r="E3282" s="9"/>
      <c r="F3282" s="9"/>
      <c r="G3282" s="9"/>
      <c r="H3282" s="9"/>
      <c r="I3282" s="9"/>
      <c r="J3282" s="9"/>
      <c r="K3282" s="9"/>
      <c r="L3282" s="9"/>
      <c r="M3282" s="9"/>
      <c r="N3282" s="9"/>
    </row>
    <row r="3283" spans="1:14">
      <c r="A3283" s="9"/>
      <c r="B3283" s="9"/>
      <c r="C3283" s="9"/>
      <c r="D3283" s="9"/>
      <c r="E3283" s="9"/>
      <c r="F3283" s="9"/>
      <c r="G3283" s="9"/>
      <c r="H3283" s="9"/>
      <c r="I3283" s="9"/>
      <c r="J3283" s="9"/>
      <c r="K3283" s="9"/>
      <c r="L3283" s="9"/>
      <c r="M3283" s="9"/>
      <c r="N3283" s="9"/>
    </row>
    <row r="3284" spans="1:14">
      <c r="A3284" s="9"/>
      <c r="B3284" s="9"/>
      <c r="C3284" s="9"/>
      <c r="D3284" s="9"/>
      <c r="E3284" s="9"/>
      <c r="F3284" s="9"/>
      <c r="G3284" s="9"/>
      <c r="H3284" s="9"/>
      <c r="I3284" s="9"/>
      <c r="J3284" s="9"/>
      <c r="K3284" s="9"/>
      <c r="L3284" s="9"/>
      <c r="M3284" s="9"/>
      <c r="N3284" s="9"/>
    </row>
    <row r="3285" spans="1:14">
      <c r="A3285" s="9"/>
      <c r="B3285" s="9"/>
      <c r="C3285" s="9"/>
      <c r="D3285" s="9"/>
      <c r="E3285" s="9"/>
      <c r="F3285" s="9"/>
      <c r="G3285" s="9"/>
      <c r="H3285" s="9"/>
      <c r="I3285" s="9"/>
      <c r="J3285" s="9"/>
      <c r="K3285" s="9"/>
      <c r="L3285" s="9"/>
      <c r="M3285" s="9"/>
      <c r="N3285" s="9"/>
    </row>
    <row r="3286" spans="1:14">
      <c r="A3286" s="9"/>
      <c r="B3286" s="9"/>
      <c r="C3286" s="9"/>
      <c r="D3286" s="9"/>
      <c r="E3286" s="9"/>
      <c r="F3286" s="9"/>
      <c r="G3286" s="9"/>
      <c r="H3286" s="9"/>
      <c r="I3286" s="9"/>
      <c r="J3286" s="9"/>
      <c r="K3286" s="9"/>
      <c r="L3286" s="9"/>
      <c r="M3286" s="9"/>
      <c r="N3286" s="9"/>
    </row>
    <row r="3287" spans="1:14">
      <c r="A3287" s="9"/>
      <c r="B3287" s="9"/>
      <c r="C3287" s="9"/>
      <c r="D3287" s="9"/>
      <c r="E3287" s="9"/>
      <c r="F3287" s="9"/>
      <c r="G3287" s="9"/>
      <c r="H3287" s="9"/>
      <c r="I3287" s="9"/>
      <c r="J3287" s="9"/>
      <c r="K3287" s="9"/>
      <c r="L3287" s="9"/>
      <c r="M3287" s="9"/>
      <c r="N3287" s="9"/>
    </row>
    <row r="3288" spans="1:14">
      <c r="A3288" s="9"/>
      <c r="B3288" s="9"/>
      <c r="C3288" s="9"/>
      <c r="D3288" s="9"/>
      <c r="E3288" s="9"/>
      <c r="F3288" s="9"/>
      <c r="G3288" s="9"/>
      <c r="H3288" s="9"/>
      <c r="I3288" s="9"/>
      <c r="J3288" s="9"/>
      <c r="K3288" s="9"/>
      <c r="L3288" s="9"/>
      <c r="M3288" s="9"/>
      <c r="N3288" s="9"/>
    </row>
    <row r="3289" spans="1:14">
      <c r="A3289" s="9"/>
      <c r="B3289" s="9"/>
      <c r="C3289" s="9"/>
      <c r="D3289" s="9"/>
      <c r="E3289" s="9"/>
      <c r="F3289" s="9"/>
      <c r="G3289" s="9"/>
      <c r="H3289" s="9"/>
      <c r="I3289" s="9"/>
      <c r="J3289" s="9"/>
      <c r="K3289" s="9"/>
      <c r="L3289" s="9"/>
      <c r="M3289" s="9"/>
      <c r="N3289" s="9"/>
    </row>
    <row r="3290" spans="1:14">
      <c r="A3290" s="9"/>
      <c r="B3290" s="9"/>
      <c r="C3290" s="9"/>
      <c r="D3290" s="9"/>
      <c r="E3290" s="9"/>
      <c r="F3290" s="9"/>
      <c r="G3290" s="9"/>
      <c r="H3290" s="9"/>
      <c r="I3290" s="9"/>
      <c r="J3290" s="9"/>
      <c r="K3290" s="9"/>
      <c r="L3290" s="9"/>
      <c r="M3290" s="9"/>
      <c r="N3290" s="9"/>
    </row>
    <row r="3291" spans="1:14">
      <c r="A3291" s="9"/>
      <c r="B3291" s="9"/>
      <c r="C3291" s="9"/>
      <c r="D3291" s="9"/>
      <c r="E3291" s="9"/>
      <c r="F3291" s="9"/>
      <c r="G3291" s="9"/>
      <c r="H3291" s="9"/>
      <c r="I3291" s="9"/>
      <c r="J3291" s="9"/>
      <c r="K3291" s="9"/>
      <c r="L3291" s="9"/>
      <c r="M3291" s="9"/>
      <c r="N3291" s="9"/>
    </row>
    <row r="3292" spans="1:14">
      <c r="A3292" s="9"/>
      <c r="B3292" s="9"/>
      <c r="C3292" s="9"/>
      <c r="D3292" s="9"/>
      <c r="E3292" s="9"/>
      <c r="F3292" s="9"/>
      <c r="G3292" s="9"/>
      <c r="H3292" s="9"/>
      <c r="I3292" s="9"/>
      <c r="J3292" s="9"/>
      <c r="K3292" s="9"/>
      <c r="L3292" s="9"/>
      <c r="M3292" s="9"/>
      <c r="N3292" s="9"/>
    </row>
    <row r="3293" spans="1:14">
      <c r="A3293" s="9"/>
      <c r="B3293" s="9"/>
      <c r="C3293" s="9"/>
      <c r="D3293" s="9"/>
      <c r="E3293" s="9"/>
      <c r="F3293" s="9"/>
      <c r="G3293" s="9"/>
      <c r="H3293" s="9"/>
      <c r="I3293" s="9"/>
      <c r="J3293" s="9"/>
      <c r="K3293" s="9"/>
      <c r="L3293" s="9"/>
      <c r="M3293" s="9"/>
      <c r="N3293" s="9"/>
    </row>
    <row r="3294" spans="1:14">
      <c r="A3294" s="9"/>
      <c r="B3294" s="9"/>
      <c r="C3294" s="9"/>
      <c r="D3294" s="9"/>
      <c r="E3294" s="9"/>
      <c r="F3294" s="9"/>
      <c r="G3294" s="9"/>
      <c r="H3294" s="9"/>
      <c r="I3294" s="9"/>
      <c r="J3294" s="9"/>
      <c r="K3294" s="9"/>
      <c r="L3294" s="9"/>
      <c r="M3294" s="9"/>
      <c r="N3294" s="9"/>
    </row>
    <row r="3295" spans="1:14">
      <c r="A3295" s="9"/>
      <c r="B3295" s="9"/>
      <c r="C3295" s="9"/>
      <c r="D3295" s="9"/>
      <c r="E3295" s="9"/>
      <c r="F3295" s="9"/>
      <c r="G3295" s="9"/>
      <c r="H3295" s="9"/>
      <c r="I3295" s="9"/>
      <c r="J3295" s="9"/>
      <c r="K3295" s="9"/>
      <c r="L3295" s="9"/>
      <c r="M3295" s="9"/>
      <c r="N3295" s="9"/>
    </row>
    <row r="3296" spans="1:14">
      <c r="A3296" s="9"/>
      <c r="B3296" s="9"/>
      <c r="C3296" s="9"/>
      <c r="D3296" s="9"/>
      <c r="E3296" s="9"/>
      <c r="F3296" s="9"/>
      <c r="G3296" s="9"/>
      <c r="H3296" s="9"/>
      <c r="I3296" s="9"/>
      <c r="J3296" s="9"/>
      <c r="K3296" s="9"/>
      <c r="L3296" s="9"/>
      <c r="M3296" s="9"/>
      <c r="N3296" s="9"/>
    </row>
    <row r="3297" spans="1:14">
      <c r="A3297" s="9"/>
      <c r="B3297" s="9"/>
      <c r="C3297" s="9"/>
      <c r="D3297" s="9"/>
      <c r="E3297" s="9"/>
      <c r="F3297" s="9"/>
      <c r="G3297" s="9"/>
      <c r="H3297" s="9"/>
      <c r="I3297" s="9"/>
      <c r="J3297" s="9"/>
      <c r="K3297" s="9"/>
      <c r="L3297" s="9"/>
      <c r="M3297" s="9"/>
      <c r="N3297" s="9"/>
    </row>
    <row r="3298" spans="1:14">
      <c r="A3298" s="9"/>
      <c r="B3298" s="9"/>
      <c r="C3298" s="9"/>
      <c r="D3298" s="9"/>
      <c r="E3298" s="9"/>
      <c r="F3298" s="9"/>
      <c r="G3298" s="9"/>
      <c r="H3298" s="9"/>
      <c r="I3298" s="9"/>
      <c r="J3298" s="9"/>
      <c r="K3298" s="9"/>
      <c r="L3298" s="9"/>
      <c r="M3298" s="9"/>
      <c r="N3298" s="9"/>
    </row>
    <row r="3299" spans="1:14">
      <c r="A3299" s="9"/>
      <c r="B3299" s="9"/>
      <c r="C3299" s="9"/>
      <c r="D3299" s="9"/>
      <c r="E3299" s="9"/>
      <c r="F3299" s="9"/>
      <c r="G3299" s="9"/>
      <c r="H3299" s="9"/>
      <c r="I3299" s="9"/>
      <c r="J3299" s="9"/>
      <c r="K3299" s="9"/>
      <c r="L3299" s="9"/>
      <c r="M3299" s="9"/>
      <c r="N3299" s="9"/>
    </row>
    <row r="3300" spans="1:14">
      <c r="A3300" s="9"/>
      <c r="B3300" s="9"/>
      <c r="C3300" s="9"/>
      <c r="D3300" s="9"/>
      <c r="E3300" s="9"/>
      <c r="F3300" s="9"/>
      <c r="G3300" s="9"/>
      <c r="H3300" s="9"/>
      <c r="I3300" s="9"/>
      <c r="J3300" s="9"/>
      <c r="K3300" s="9"/>
      <c r="L3300" s="9"/>
      <c r="M3300" s="9"/>
      <c r="N3300" s="9"/>
    </row>
    <row r="3301" spans="1:14">
      <c r="A3301" s="9"/>
      <c r="B3301" s="9"/>
      <c r="C3301" s="9"/>
      <c r="D3301" s="9"/>
      <c r="E3301" s="9"/>
      <c r="F3301" s="9"/>
      <c r="G3301" s="9"/>
      <c r="H3301" s="9"/>
      <c r="I3301" s="9"/>
      <c r="J3301" s="9"/>
      <c r="K3301" s="9"/>
      <c r="L3301" s="9"/>
      <c r="M3301" s="9"/>
      <c r="N3301" s="9"/>
    </row>
    <row r="3302" spans="1:14">
      <c r="A3302" s="9"/>
      <c r="B3302" s="9"/>
      <c r="C3302" s="9"/>
      <c r="D3302" s="9"/>
      <c r="E3302" s="9"/>
      <c r="F3302" s="9"/>
      <c r="G3302" s="9"/>
      <c r="H3302" s="9"/>
      <c r="I3302" s="9"/>
      <c r="J3302" s="9"/>
      <c r="K3302" s="9"/>
      <c r="L3302" s="9"/>
      <c r="M3302" s="9"/>
      <c r="N3302" s="9"/>
    </row>
    <row r="3303" spans="1:14">
      <c r="A3303" s="9"/>
      <c r="B3303" s="9"/>
      <c r="C3303" s="9"/>
      <c r="D3303" s="9"/>
      <c r="E3303" s="9"/>
      <c r="F3303" s="9"/>
      <c r="G3303" s="9"/>
      <c r="H3303" s="9"/>
      <c r="I3303" s="9"/>
      <c r="J3303" s="9"/>
      <c r="K3303" s="9"/>
      <c r="L3303" s="9"/>
      <c r="M3303" s="9"/>
      <c r="N3303" s="9"/>
    </row>
    <row r="3304" spans="1:14">
      <c r="A3304" s="9"/>
      <c r="B3304" s="9"/>
      <c r="C3304" s="9"/>
      <c r="D3304" s="9"/>
      <c r="E3304" s="9"/>
      <c r="F3304" s="9"/>
      <c r="G3304" s="9"/>
      <c r="H3304" s="9"/>
      <c r="I3304" s="9"/>
      <c r="J3304" s="9"/>
      <c r="K3304" s="9"/>
      <c r="L3304" s="9"/>
      <c r="M3304" s="9"/>
      <c r="N3304" s="9"/>
    </row>
    <row r="3305" spans="1:14">
      <c r="A3305" s="9"/>
      <c r="B3305" s="9"/>
      <c r="C3305" s="9"/>
      <c r="D3305" s="9"/>
      <c r="E3305" s="9"/>
      <c r="F3305" s="9"/>
      <c r="G3305" s="9"/>
      <c r="H3305" s="9"/>
      <c r="I3305" s="9"/>
      <c r="J3305" s="9"/>
      <c r="K3305" s="9"/>
      <c r="L3305" s="9"/>
      <c r="M3305" s="9"/>
      <c r="N3305" s="9"/>
    </row>
    <row r="3306" spans="1:14">
      <c r="A3306" s="9"/>
      <c r="B3306" s="9"/>
      <c r="C3306" s="9"/>
      <c r="D3306" s="9"/>
      <c r="E3306" s="9"/>
      <c r="F3306" s="9"/>
      <c r="G3306" s="9"/>
      <c r="H3306" s="9"/>
      <c r="I3306" s="9"/>
      <c r="J3306" s="9"/>
      <c r="K3306" s="9"/>
      <c r="L3306" s="9"/>
      <c r="M3306" s="9"/>
      <c r="N3306" s="9"/>
    </row>
    <row r="3307" spans="1:14">
      <c r="A3307" s="9"/>
      <c r="B3307" s="9"/>
      <c r="C3307" s="9"/>
      <c r="D3307" s="9"/>
      <c r="E3307" s="9"/>
      <c r="F3307" s="9"/>
      <c r="G3307" s="9"/>
      <c r="H3307" s="9"/>
      <c r="I3307" s="9"/>
      <c r="J3307" s="9"/>
      <c r="K3307" s="9"/>
      <c r="L3307" s="9"/>
      <c r="M3307" s="9"/>
      <c r="N3307" s="9"/>
    </row>
    <row r="3308" spans="1:14">
      <c r="A3308" s="9"/>
      <c r="B3308" s="9"/>
      <c r="C3308" s="9"/>
      <c r="D3308" s="9"/>
      <c r="E3308" s="9"/>
      <c r="F3308" s="9"/>
      <c r="G3308" s="9"/>
      <c r="H3308" s="9"/>
      <c r="I3308" s="9"/>
      <c r="J3308" s="9"/>
      <c r="K3308" s="9"/>
      <c r="L3308" s="9"/>
      <c r="M3308" s="9"/>
      <c r="N3308" s="9"/>
    </row>
    <row r="3309" spans="1:14">
      <c r="A3309" s="9"/>
      <c r="B3309" s="9"/>
      <c r="C3309" s="9"/>
      <c r="D3309" s="9"/>
      <c r="E3309" s="9"/>
      <c r="F3309" s="9"/>
      <c r="G3309" s="9"/>
      <c r="H3309" s="9"/>
      <c r="I3309" s="9"/>
      <c r="J3309" s="9"/>
      <c r="K3309" s="9"/>
      <c r="L3309" s="9"/>
      <c r="M3309" s="9"/>
      <c r="N3309" s="9"/>
    </row>
    <row r="3310" spans="1:14">
      <c r="A3310" s="9"/>
      <c r="B3310" s="9"/>
      <c r="C3310" s="9"/>
      <c r="D3310" s="9"/>
      <c r="E3310" s="9"/>
      <c r="F3310" s="9"/>
      <c r="G3310" s="9"/>
      <c r="H3310" s="9"/>
      <c r="I3310" s="9"/>
      <c r="J3310" s="9"/>
      <c r="K3310" s="9"/>
      <c r="L3310" s="9"/>
      <c r="M3310" s="9"/>
      <c r="N3310" s="9"/>
    </row>
    <row r="3311" spans="1:14">
      <c r="A3311" s="9"/>
      <c r="B3311" s="9"/>
      <c r="C3311" s="9"/>
      <c r="D3311" s="9"/>
      <c r="E3311" s="9"/>
      <c r="F3311" s="9"/>
      <c r="G3311" s="9"/>
      <c r="H3311" s="9"/>
      <c r="I3311" s="9"/>
      <c r="J3311" s="9"/>
      <c r="K3311" s="9"/>
      <c r="L3311" s="9"/>
      <c r="M3311" s="9"/>
      <c r="N3311" s="9"/>
    </row>
    <row r="3312" spans="1:14">
      <c r="A3312" s="9"/>
      <c r="B3312" s="9"/>
      <c r="C3312" s="9"/>
      <c r="D3312" s="9"/>
      <c r="E3312" s="9"/>
      <c r="F3312" s="9"/>
      <c r="G3312" s="9"/>
      <c r="H3312" s="9"/>
      <c r="I3312" s="9"/>
      <c r="J3312" s="9"/>
      <c r="K3312" s="9"/>
      <c r="L3312" s="9"/>
      <c r="M3312" s="9"/>
      <c r="N3312" s="9"/>
    </row>
    <row r="3313" spans="1:14">
      <c r="A3313" s="9"/>
      <c r="B3313" s="9"/>
      <c r="C3313" s="9"/>
      <c r="D3313" s="9"/>
      <c r="E3313" s="9"/>
      <c r="F3313" s="9"/>
      <c r="G3313" s="9"/>
      <c r="H3313" s="9"/>
      <c r="I3313" s="9"/>
      <c r="J3313" s="9"/>
      <c r="K3313" s="9"/>
      <c r="L3313" s="9"/>
      <c r="M3313" s="9"/>
      <c r="N3313" s="9"/>
    </row>
    <row r="3314" spans="1:14">
      <c r="A3314" s="9"/>
      <c r="B3314" s="9"/>
      <c r="C3314" s="9"/>
      <c r="D3314" s="9"/>
      <c r="E3314" s="9"/>
      <c r="F3314" s="9"/>
      <c r="G3314" s="9"/>
      <c r="H3314" s="9"/>
      <c r="I3314" s="9"/>
      <c r="J3314" s="9"/>
      <c r="K3314" s="9"/>
      <c r="L3314" s="9"/>
      <c r="M3314" s="9"/>
      <c r="N3314" s="9"/>
    </row>
    <row r="3315" spans="1:14">
      <c r="A3315" s="9"/>
      <c r="B3315" s="9"/>
      <c r="C3315" s="9"/>
      <c r="D3315" s="9"/>
      <c r="E3315" s="9"/>
      <c r="F3315" s="9"/>
      <c r="G3315" s="9"/>
      <c r="H3315" s="9"/>
      <c r="I3315" s="9"/>
      <c r="J3315" s="9"/>
      <c r="K3315" s="9"/>
      <c r="L3315" s="9"/>
      <c r="M3315" s="9"/>
      <c r="N3315" s="9"/>
    </row>
    <row r="3316" spans="1:14">
      <c r="A3316" s="9"/>
      <c r="B3316" s="9"/>
      <c r="C3316" s="9"/>
      <c r="D3316" s="9"/>
      <c r="E3316" s="9"/>
      <c r="F3316" s="9"/>
      <c r="G3316" s="9"/>
      <c r="H3316" s="9"/>
      <c r="I3316" s="9"/>
      <c r="J3316" s="9"/>
      <c r="K3316" s="9"/>
      <c r="L3316" s="9"/>
      <c r="M3316" s="9"/>
      <c r="N3316" s="9"/>
    </row>
    <row r="3317" spans="1:14">
      <c r="A3317" s="9"/>
      <c r="B3317" s="9"/>
      <c r="C3317" s="9"/>
      <c r="D3317" s="9"/>
      <c r="E3317" s="9"/>
      <c r="F3317" s="9"/>
      <c r="G3317" s="9"/>
      <c r="H3317" s="9"/>
      <c r="I3317" s="9"/>
      <c r="J3317" s="9"/>
      <c r="K3317" s="9"/>
      <c r="L3317" s="9"/>
      <c r="M3317" s="9"/>
      <c r="N3317" s="9"/>
    </row>
    <row r="3318" spans="1:14">
      <c r="A3318" s="9"/>
      <c r="B3318" s="9"/>
      <c r="C3318" s="9"/>
      <c r="D3318" s="9"/>
      <c r="E3318" s="9"/>
      <c r="F3318" s="9"/>
      <c r="G3318" s="9"/>
      <c r="H3318" s="9"/>
      <c r="I3318" s="9"/>
      <c r="J3318" s="9"/>
      <c r="K3318" s="9"/>
      <c r="L3318" s="9"/>
      <c r="M3318" s="9"/>
      <c r="N3318" s="9"/>
    </row>
    <row r="3319" spans="1:14">
      <c r="A3319" s="9"/>
      <c r="B3319" s="9"/>
      <c r="C3319" s="9"/>
      <c r="D3319" s="9"/>
      <c r="E3319" s="9"/>
      <c r="F3319" s="9"/>
      <c r="G3319" s="9"/>
      <c r="H3319" s="9"/>
      <c r="I3319" s="9"/>
      <c r="J3319" s="9"/>
      <c r="K3319" s="9"/>
      <c r="L3319" s="9"/>
      <c r="M3319" s="9"/>
      <c r="N3319" s="9"/>
    </row>
    <row r="3320" spans="1:14">
      <c r="A3320" s="9"/>
      <c r="B3320" s="9"/>
      <c r="C3320" s="9"/>
      <c r="D3320" s="9"/>
      <c r="E3320" s="9"/>
      <c r="F3320" s="9"/>
      <c r="G3320" s="9"/>
      <c r="H3320" s="9"/>
      <c r="I3320" s="9"/>
      <c r="J3320" s="9"/>
      <c r="K3320" s="9"/>
      <c r="L3320" s="9"/>
      <c r="M3320" s="9"/>
      <c r="N3320" s="9"/>
    </row>
    <row r="3321" spans="1:14">
      <c r="A3321" s="9"/>
      <c r="B3321" s="9"/>
      <c r="C3321" s="9"/>
      <c r="D3321" s="9"/>
      <c r="E3321" s="9"/>
      <c r="F3321" s="9"/>
      <c r="G3321" s="9"/>
      <c r="H3321" s="9"/>
      <c r="I3321" s="9"/>
      <c r="J3321" s="9"/>
      <c r="K3321" s="9"/>
      <c r="L3321" s="9"/>
      <c r="M3321" s="9"/>
      <c r="N3321" s="9"/>
    </row>
    <row r="3322" spans="1:14">
      <c r="A3322" s="9"/>
      <c r="B3322" s="9"/>
      <c r="C3322" s="9"/>
      <c r="D3322" s="9"/>
      <c r="E3322" s="9"/>
      <c r="F3322" s="9"/>
      <c r="G3322" s="9"/>
      <c r="H3322" s="9"/>
      <c r="I3322" s="9"/>
      <c r="J3322" s="9"/>
      <c r="K3322" s="9"/>
      <c r="L3322" s="9"/>
      <c r="M3322" s="9"/>
      <c r="N3322" s="9"/>
    </row>
    <row r="3323" spans="1:14">
      <c r="A3323" s="9"/>
      <c r="B3323" s="9"/>
      <c r="C3323" s="9"/>
      <c r="D3323" s="9"/>
      <c r="E3323" s="9"/>
      <c r="F3323" s="9"/>
      <c r="G3323" s="9"/>
      <c r="H3323" s="9"/>
      <c r="I3323" s="9"/>
      <c r="J3323" s="9"/>
      <c r="K3323" s="9"/>
      <c r="L3323" s="9"/>
      <c r="M3323" s="9"/>
      <c r="N3323" s="9"/>
    </row>
    <row r="3324" spans="1:14">
      <c r="A3324" s="9"/>
      <c r="B3324" s="9"/>
      <c r="C3324" s="9"/>
      <c r="D3324" s="9"/>
      <c r="E3324" s="9"/>
      <c r="F3324" s="9"/>
      <c r="G3324" s="9"/>
      <c r="H3324" s="9"/>
      <c r="I3324" s="9"/>
      <c r="J3324" s="9"/>
      <c r="K3324" s="9"/>
      <c r="L3324" s="9"/>
      <c r="M3324" s="9"/>
      <c r="N3324" s="9"/>
    </row>
    <row r="3325" spans="1:14">
      <c r="A3325" s="9"/>
      <c r="B3325" s="9"/>
      <c r="C3325" s="9"/>
      <c r="D3325" s="9"/>
      <c r="E3325" s="9"/>
      <c r="F3325" s="9"/>
      <c r="G3325" s="9"/>
      <c r="H3325" s="9"/>
      <c r="I3325" s="9"/>
      <c r="J3325" s="9"/>
      <c r="K3325" s="9"/>
      <c r="L3325" s="9"/>
      <c r="M3325" s="9"/>
      <c r="N3325" s="9"/>
    </row>
    <row r="3326" spans="1:14">
      <c r="A3326" s="9"/>
      <c r="B3326" s="9"/>
      <c r="C3326" s="9"/>
      <c r="D3326" s="9"/>
      <c r="E3326" s="9"/>
      <c r="F3326" s="9"/>
      <c r="G3326" s="9"/>
      <c r="H3326" s="9"/>
      <c r="I3326" s="9"/>
      <c r="J3326" s="9"/>
      <c r="K3326" s="9"/>
      <c r="L3326" s="9"/>
      <c r="M3326" s="9"/>
      <c r="N3326" s="9"/>
    </row>
    <row r="3327" spans="1:14">
      <c r="A3327" s="9"/>
      <c r="B3327" s="9"/>
      <c r="C3327" s="9"/>
      <c r="D3327" s="9"/>
      <c r="E3327" s="9"/>
      <c r="F3327" s="9"/>
      <c r="G3327" s="9"/>
      <c r="H3327" s="9"/>
      <c r="I3327" s="9"/>
      <c r="J3327" s="9"/>
      <c r="K3327" s="9"/>
      <c r="L3327" s="9"/>
      <c r="M3327" s="9"/>
      <c r="N3327" s="9"/>
    </row>
    <row r="3328" spans="1:14">
      <c r="A3328" s="9"/>
      <c r="B3328" s="9"/>
      <c r="C3328" s="9"/>
      <c r="D3328" s="9"/>
      <c r="E3328" s="9"/>
      <c r="F3328" s="9"/>
      <c r="G3328" s="9"/>
      <c r="H3328" s="9"/>
      <c r="I3328" s="9"/>
      <c r="J3328" s="9"/>
      <c r="K3328" s="9"/>
      <c r="L3328" s="9"/>
      <c r="M3328" s="9"/>
      <c r="N3328" s="9"/>
    </row>
    <row r="3329" spans="1:14">
      <c r="A3329" s="9"/>
      <c r="B3329" s="9"/>
      <c r="C3329" s="9"/>
      <c r="D3329" s="9"/>
      <c r="E3329" s="9"/>
      <c r="F3329" s="9"/>
      <c r="G3329" s="9"/>
      <c r="H3329" s="9"/>
      <c r="I3329" s="9"/>
      <c r="J3329" s="9"/>
      <c r="K3329" s="9"/>
      <c r="L3329" s="9"/>
      <c r="M3329" s="9"/>
      <c r="N3329" s="9"/>
    </row>
    <row r="3330" spans="1:14">
      <c r="A3330" s="9"/>
      <c r="B3330" s="9"/>
      <c r="C3330" s="9"/>
      <c r="D3330" s="9"/>
      <c r="E3330" s="9"/>
      <c r="F3330" s="9"/>
      <c r="G3330" s="9"/>
      <c r="H3330" s="9"/>
      <c r="I3330" s="9"/>
      <c r="J3330" s="9"/>
      <c r="K3330" s="9"/>
      <c r="L3330" s="9"/>
      <c r="M3330" s="9"/>
      <c r="N3330" s="9"/>
    </row>
    <row r="3331" spans="1:14">
      <c r="A3331" s="9"/>
      <c r="B3331" s="9"/>
      <c r="C3331" s="9"/>
      <c r="D3331" s="9"/>
      <c r="E3331" s="9"/>
      <c r="F3331" s="9"/>
      <c r="G3331" s="9"/>
      <c r="H3331" s="9"/>
      <c r="I3331" s="9"/>
      <c r="J3331" s="9"/>
      <c r="K3331" s="9"/>
      <c r="L3331" s="9"/>
      <c r="M3331" s="9"/>
      <c r="N3331" s="9"/>
    </row>
    <row r="3332" spans="1:14">
      <c r="A3332" s="9"/>
      <c r="B3332" s="9"/>
      <c r="C3332" s="9"/>
      <c r="D3332" s="9"/>
      <c r="E3332" s="9"/>
      <c r="F3332" s="9"/>
      <c r="G3332" s="9"/>
      <c r="H3332" s="9"/>
      <c r="I3332" s="9"/>
      <c r="J3332" s="9"/>
      <c r="K3332" s="9"/>
      <c r="L3332" s="9"/>
      <c r="M3332" s="9"/>
      <c r="N3332" s="9"/>
    </row>
    <row r="3333" spans="1:14">
      <c r="A3333" s="9"/>
      <c r="B3333" s="9"/>
      <c r="C3333" s="9"/>
      <c r="D3333" s="9"/>
      <c r="E3333" s="9"/>
      <c r="F3333" s="9"/>
      <c r="G3333" s="9"/>
      <c r="H3333" s="9"/>
      <c r="I3333" s="9"/>
      <c r="J3333" s="9"/>
      <c r="K3333" s="9"/>
      <c r="L3333" s="9"/>
      <c r="M3333" s="9"/>
      <c r="N3333" s="9"/>
    </row>
    <row r="3334" spans="1:14">
      <c r="A3334" s="9"/>
      <c r="B3334" s="9"/>
      <c r="C3334" s="9"/>
      <c r="D3334" s="9"/>
      <c r="E3334" s="9"/>
      <c r="F3334" s="9"/>
      <c r="G3334" s="9"/>
      <c r="H3334" s="9"/>
      <c r="I3334" s="9"/>
      <c r="J3334" s="9"/>
      <c r="K3334" s="9"/>
      <c r="L3334" s="9"/>
      <c r="M3334" s="9"/>
      <c r="N3334" s="9"/>
    </row>
    <row r="3335" spans="1:14">
      <c r="A3335" s="9"/>
      <c r="B3335" s="9"/>
      <c r="C3335" s="9"/>
      <c r="D3335" s="9"/>
      <c r="E3335" s="9"/>
      <c r="F3335" s="9"/>
      <c r="G3335" s="9"/>
      <c r="H3335" s="9"/>
      <c r="I3335" s="9"/>
      <c r="J3335" s="9"/>
      <c r="K3335" s="9"/>
      <c r="L3335" s="9"/>
      <c r="M3335" s="9"/>
      <c r="N3335" s="9"/>
    </row>
    <row r="3336" spans="1:14">
      <c r="A3336" s="9"/>
      <c r="B3336" s="9"/>
      <c r="C3336" s="9"/>
      <c r="D3336" s="9"/>
      <c r="E3336" s="9"/>
      <c r="F3336" s="9"/>
      <c r="G3336" s="9"/>
      <c r="H3336" s="9"/>
      <c r="I3336" s="9"/>
      <c r="J3336" s="9"/>
      <c r="K3336" s="9"/>
      <c r="L3336" s="9"/>
      <c r="M3336" s="9"/>
      <c r="N3336" s="9"/>
    </row>
    <row r="3337" spans="1:14">
      <c r="A3337" s="9"/>
      <c r="B3337" s="9"/>
      <c r="C3337" s="9"/>
      <c r="D3337" s="9"/>
      <c r="E3337" s="9"/>
      <c r="F3337" s="9"/>
      <c r="G3337" s="9"/>
      <c r="H3337" s="9"/>
      <c r="I3337" s="9"/>
      <c r="J3337" s="9"/>
      <c r="K3337" s="9"/>
      <c r="L3337" s="9"/>
      <c r="M3337" s="9"/>
      <c r="N3337" s="9"/>
    </row>
    <row r="3338" spans="1:14">
      <c r="A3338" s="9"/>
      <c r="B3338" s="9"/>
      <c r="C3338" s="9"/>
      <c r="D3338" s="9"/>
      <c r="E3338" s="9"/>
      <c r="F3338" s="9"/>
      <c r="G3338" s="9"/>
      <c r="H3338" s="9"/>
      <c r="I3338" s="9"/>
      <c r="J3338" s="9"/>
      <c r="K3338" s="9"/>
      <c r="L3338" s="9"/>
      <c r="M3338" s="9"/>
      <c r="N3338" s="9"/>
    </row>
    <row r="3339" spans="1:14">
      <c r="A3339" s="9"/>
      <c r="B3339" s="9"/>
      <c r="C3339" s="9"/>
      <c r="D3339" s="9"/>
      <c r="E3339" s="9"/>
      <c r="F3339" s="9"/>
      <c r="G3339" s="9"/>
      <c r="H3339" s="9"/>
      <c r="I3339" s="9"/>
      <c r="J3339" s="9"/>
      <c r="K3339" s="9"/>
      <c r="L3339" s="9"/>
      <c r="M3339" s="9"/>
      <c r="N3339" s="9"/>
    </row>
    <row r="3340" spans="1:14">
      <c r="A3340" s="9"/>
      <c r="B3340" s="9"/>
      <c r="C3340" s="9"/>
      <c r="D3340" s="9"/>
      <c r="E3340" s="9"/>
      <c r="F3340" s="9"/>
      <c r="G3340" s="9"/>
      <c r="H3340" s="9"/>
      <c r="I3340" s="9"/>
      <c r="J3340" s="9"/>
      <c r="K3340" s="9"/>
      <c r="L3340" s="9"/>
      <c r="M3340" s="9"/>
      <c r="N3340" s="9"/>
    </row>
    <row r="3341" spans="1:14">
      <c r="A3341" s="9"/>
      <c r="B3341" s="9"/>
      <c r="C3341" s="9"/>
      <c r="D3341" s="9"/>
      <c r="E3341" s="9"/>
      <c r="F3341" s="9"/>
      <c r="G3341" s="9"/>
      <c r="H3341" s="9"/>
      <c r="I3341" s="9"/>
      <c r="J3341" s="9"/>
      <c r="K3341" s="9"/>
      <c r="L3341" s="9"/>
      <c r="M3341" s="9"/>
      <c r="N3341" s="9"/>
    </row>
    <row r="3342" spans="1:14">
      <c r="A3342" s="9"/>
      <c r="B3342" s="9"/>
      <c r="C3342" s="9"/>
      <c r="D3342" s="9"/>
      <c r="E3342" s="9"/>
      <c r="F3342" s="9"/>
      <c r="G3342" s="9"/>
      <c r="H3342" s="9"/>
      <c r="I3342" s="9"/>
      <c r="J3342" s="9"/>
      <c r="K3342" s="9"/>
      <c r="L3342" s="9"/>
      <c r="M3342" s="9"/>
      <c r="N3342" s="9"/>
    </row>
    <row r="3343" spans="1:14">
      <c r="A3343" s="9"/>
      <c r="B3343" s="9"/>
      <c r="C3343" s="9"/>
      <c r="D3343" s="9"/>
      <c r="E3343" s="9"/>
      <c r="F3343" s="9"/>
      <c r="G3343" s="9"/>
      <c r="H3343" s="9"/>
      <c r="I3343" s="9"/>
      <c r="J3343" s="9"/>
      <c r="K3343" s="9"/>
      <c r="L3343" s="9"/>
      <c r="M3343" s="9"/>
      <c r="N3343" s="9"/>
    </row>
    <row r="3344" spans="1:14">
      <c r="A3344" s="9"/>
      <c r="B3344" s="9"/>
      <c r="C3344" s="9"/>
      <c r="D3344" s="9"/>
      <c r="E3344" s="9"/>
      <c r="F3344" s="9"/>
      <c r="G3344" s="9"/>
      <c r="H3344" s="9"/>
      <c r="I3344" s="9"/>
      <c r="J3344" s="9"/>
      <c r="K3344" s="9"/>
      <c r="L3344" s="9"/>
      <c r="M3344" s="9"/>
      <c r="N3344" s="9"/>
    </row>
    <row r="3345" spans="1:14">
      <c r="A3345" s="9"/>
      <c r="B3345" s="9"/>
      <c r="C3345" s="9"/>
      <c r="D3345" s="9"/>
      <c r="E3345" s="9"/>
      <c r="F3345" s="9"/>
      <c r="G3345" s="9"/>
      <c r="H3345" s="9"/>
      <c r="I3345" s="9"/>
      <c r="J3345" s="9"/>
      <c r="K3345" s="9"/>
      <c r="L3345" s="9"/>
      <c r="M3345" s="9"/>
      <c r="N3345" s="9"/>
    </row>
    <row r="3346" spans="1:14">
      <c r="A3346" s="9"/>
      <c r="B3346" s="9"/>
      <c r="C3346" s="9"/>
      <c r="D3346" s="9"/>
      <c r="E3346" s="9"/>
      <c r="F3346" s="9"/>
      <c r="G3346" s="9"/>
      <c r="H3346" s="9"/>
      <c r="I3346" s="9"/>
      <c r="J3346" s="9"/>
      <c r="K3346" s="9"/>
      <c r="L3346" s="9"/>
      <c r="M3346" s="9"/>
      <c r="N3346" s="9"/>
    </row>
    <row r="3347" spans="1:14">
      <c r="A3347" s="9"/>
      <c r="B3347" s="9"/>
      <c r="C3347" s="9"/>
      <c r="D3347" s="9"/>
      <c r="E3347" s="9"/>
      <c r="F3347" s="9"/>
      <c r="G3347" s="9"/>
      <c r="H3347" s="9"/>
      <c r="I3347" s="9"/>
      <c r="J3347" s="9"/>
      <c r="K3347" s="9"/>
      <c r="L3347" s="9"/>
      <c r="M3347" s="9"/>
      <c r="N3347" s="9"/>
    </row>
    <row r="3348" spans="1:14">
      <c r="A3348" s="9"/>
      <c r="B3348" s="9"/>
      <c r="C3348" s="9"/>
      <c r="D3348" s="9"/>
      <c r="E3348" s="9"/>
      <c r="F3348" s="9"/>
      <c r="G3348" s="9"/>
      <c r="H3348" s="9"/>
      <c r="I3348" s="9"/>
      <c r="J3348" s="9"/>
      <c r="K3348" s="9"/>
      <c r="L3348" s="9"/>
      <c r="M3348" s="9"/>
      <c r="N3348" s="9"/>
    </row>
    <row r="3349" spans="1:14">
      <c r="A3349" s="9"/>
      <c r="B3349" s="9"/>
      <c r="C3349" s="9"/>
      <c r="D3349" s="9"/>
      <c r="E3349" s="9"/>
      <c r="F3349" s="9"/>
      <c r="G3349" s="9"/>
      <c r="H3349" s="9"/>
      <c r="I3349" s="9"/>
      <c r="J3349" s="9"/>
      <c r="K3349" s="9"/>
      <c r="L3349" s="9"/>
      <c r="M3349" s="9"/>
      <c r="N3349" s="9"/>
    </row>
    <row r="3350" spans="1:14">
      <c r="A3350" s="9"/>
      <c r="B3350" s="9"/>
      <c r="C3350" s="9"/>
      <c r="D3350" s="9"/>
      <c r="E3350" s="9"/>
      <c r="F3350" s="9"/>
      <c r="G3350" s="9"/>
      <c r="H3350" s="9"/>
      <c r="I3350" s="9"/>
      <c r="J3350" s="9"/>
      <c r="K3350" s="9"/>
      <c r="L3350" s="9"/>
      <c r="M3350" s="9"/>
      <c r="N3350" s="9"/>
    </row>
    <row r="3351" spans="1:14">
      <c r="A3351" s="9"/>
      <c r="B3351" s="9"/>
      <c r="C3351" s="9"/>
      <c r="D3351" s="9"/>
      <c r="E3351" s="9"/>
      <c r="F3351" s="9"/>
      <c r="G3351" s="9"/>
      <c r="H3351" s="9"/>
      <c r="I3351" s="9"/>
      <c r="J3351" s="9"/>
      <c r="K3351" s="9"/>
      <c r="L3351" s="9"/>
      <c r="M3351" s="9"/>
      <c r="N3351" s="9"/>
    </row>
    <row r="3352" spans="1:14">
      <c r="A3352" s="9"/>
      <c r="B3352" s="9"/>
      <c r="C3352" s="9"/>
      <c r="D3352" s="9"/>
      <c r="E3352" s="9"/>
      <c r="F3352" s="9"/>
      <c r="G3352" s="9"/>
      <c r="H3352" s="9"/>
      <c r="I3352" s="9"/>
      <c r="J3352" s="9"/>
      <c r="K3352" s="9"/>
      <c r="L3352" s="9"/>
      <c r="M3352" s="9"/>
      <c r="N3352" s="9"/>
    </row>
    <row r="3353" spans="1:14">
      <c r="A3353" s="9"/>
      <c r="B3353" s="9"/>
      <c r="C3353" s="9"/>
      <c r="D3353" s="9"/>
      <c r="E3353" s="9"/>
      <c r="F3353" s="9"/>
      <c r="G3353" s="9"/>
      <c r="H3353" s="9"/>
      <c r="I3353" s="9"/>
      <c r="J3353" s="9"/>
      <c r="K3353" s="9"/>
      <c r="L3353" s="9"/>
      <c r="M3353" s="9"/>
      <c r="N3353" s="9"/>
    </row>
    <row r="3354" spans="1:14">
      <c r="A3354" s="9"/>
      <c r="B3354" s="9"/>
      <c r="C3354" s="9"/>
      <c r="D3354" s="9"/>
      <c r="E3354" s="9"/>
      <c r="F3354" s="9"/>
      <c r="G3354" s="9"/>
      <c r="H3354" s="9"/>
      <c r="I3354" s="9"/>
      <c r="J3354" s="9"/>
      <c r="K3354" s="9"/>
      <c r="L3354" s="9"/>
      <c r="M3354" s="9"/>
      <c r="N3354" s="9"/>
    </row>
    <row r="3355" spans="1:14">
      <c r="A3355" s="9"/>
      <c r="B3355" s="9"/>
      <c r="C3355" s="9"/>
      <c r="D3355" s="9"/>
      <c r="E3355" s="9"/>
      <c r="F3355" s="9"/>
      <c r="G3355" s="9"/>
      <c r="H3355" s="9"/>
      <c r="I3355" s="9"/>
      <c r="J3355" s="9"/>
      <c r="K3355" s="9"/>
      <c r="L3355" s="9"/>
      <c r="M3355" s="9"/>
      <c r="N3355" s="9"/>
    </row>
    <row r="3356" spans="1:14">
      <c r="A3356" s="9"/>
      <c r="B3356" s="9"/>
      <c r="C3356" s="9"/>
      <c r="D3356" s="9"/>
      <c r="E3356" s="9"/>
      <c r="F3356" s="9"/>
      <c r="G3356" s="9"/>
      <c r="H3356" s="9"/>
      <c r="I3356" s="9"/>
      <c r="J3356" s="9"/>
      <c r="K3356" s="9"/>
      <c r="L3356" s="9"/>
      <c r="M3356" s="9"/>
      <c r="N3356" s="9"/>
    </row>
    <row r="3357" spans="1:14">
      <c r="A3357" s="9"/>
      <c r="B3357" s="9"/>
      <c r="C3357" s="9"/>
      <c r="D3357" s="9"/>
      <c r="E3357" s="9"/>
      <c r="F3357" s="9"/>
      <c r="G3357" s="9"/>
      <c r="H3357" s="9"/>
      <c r="I3357" s="9"/>
      <c r="J3357" s="9"/>
      <c r="K3357" s="9"/>
      <c r="L3357" s="9"/>
      <c r="M3357" s="9"/>
      <c r="N3357" s="9"/>
    </row>
    <row r="3358" spans="1:14">
      <c r="A3358" s="9"/>
      <c r="B3358" s="9"/>
      <c r="C3358" s="9"/>
      <c r="D3358" s="9"/>
      <c r="E3358" s="9"/>
      <c r="F3358" s="9"/>
      <c r="G3358" s="9"/>
      <c r="H3358" s="9"/>
      <c r="I3358" s="9"/>
      <c r="J3358" s="9"/>
      <c r="K3358" s="9"/>
      <c r="L3358" s="9"/>
      <c r="M3358" s="9"/>
      <c r="N3358" s="9"/>
    </row>
    <row r="3359" spans="1:14">
      <c r="A3359" s="9"/>
      <c r="B3359" s="9"/>
      <c r="C3359" s="9"/>
      <c r="D3359" s="9"/>
      <c r="E3359" s="9"/>
      <c r="F3359" s="9"/>
      <c r="G3359" s="9"/>
      <c r="H3359" s="9"/>
      <c r="I3359" s="9"/>
      <c r="J3359" s="9"/>
      <c r="K3359" s="9"/>
      <c r="L3359" s="9"/>
      <c r="M3359" s="9"/>
      <c r="N3359" s="9"/>
    </row>
    <row r="3360" spans="1:14">
      <c r="A3360" s="9"/>
      <c r="B3360" s="9"/>
      <c r="C3360" s="9"/>
      <c r="D3360" s="9"/>
      <c r="E3360" s="9"/>
      <c r="F3360" s="9"/>
      <c r="G3360" s="9"/>
      <c r="H3360" s="9"/>
      <c r="I3360" s="9"/>
      <c r="J3360" s="9"/>
      <c r="K3360" s="9"/>
      <c r="L3360" s="9"/>
      <c r="M3360" s="9"/>
      <c r="N3360" s="9"/>
    </row>
    <row r="3361" spans="1:14">
      <c r="A3361" s="9"/>
      <c r="B3361" s="9"/>
      <c r="C3361" s="9"/>
      <c r="D3361" s="9"/>
      <c r="E3361" s="9"/>
      <c r="F3361" s="9"/>
      <c r="G3361" s="9"/>
      <c r="H3361" s="9"/>
      <c r="I3361" s="9"/>
      <c r="J3361" s="9"/>
      <c r="K3361" s="9"/>
      <c r="L3361" s="9"/>
      <c r="M3361" s="9"/>
      <c r="N3361" s="9"/>
    </row>
    <row r="3362" spans="1:14">
      <c r="A3362" s="9"/>
      <c r="B3362" s="9"/>
      <c r="C3362" s="9"/>
      <c r="D3362" s="9"/>
      <c r="E3362" s="9"/>
      <c r="F3362" s="9"/>
      <c r="G3362" s="9"/>
      <c r="H3362" s="9"/>
      <c r="I3362" s="9"/>
      <c r="J3362" s="9"/>
      <c r="K3362" s="9"/>
      <c r="L3362" s="9"/>
      <c r="M3362" s="9"/>
      <c r="N3362" s="9"/>
    </row>
    <row r="3363" spans="1:14">
      <c r="A3363" s="9"/>
      <c r="B3363" s="9"/>
      <c r="C3363" s="9"/>
      <c r="D3363" s="9"/>
      <c r="E3363" s="9"/>
      <c r="F3363" s="9"/>
      <c r="G3363" s="9"/>
      <c r="H3363" s="9"/>
      <c r="I3363" s="9"/>
      <c r="J3363" s="9"/>
      <c r="K3363" s="9"/>
      <c r="L3363" s="9"/>
      <c r="M3363" s="9"/>
      <c r="N3363" s="9"/>
    </row>
    <row r="3364" spans="1:14">
      <c r="A3364" s="9"/>
      <c r="B3364" s="9"/>
      <c r="C3364" s="9"/>
      <c r="D3364" s="9"/>
      <c r="E3364" s="9"/>
      <c r="F3364" s="9"/>
      <c r="G3364" s="9"/>
      <c r="H3364" s="9"/>
      <c r="I3364" s="9"/>
      <c r="J3364" s="9"/>
      <c r="K3364" s="9"/>
      <c r="L3364" s="9"/>
      <c r="M3364" s="9"/>
      <c r="N3364" s="9"/>
    </row>
    <row r="3365" spans="1:14">
      <c r="A3365" s="9"/>
      <c r="B3365" s="9"/>
      <c r="C3365" s="9"/>
      <c r="D3365" s="9"/>
      <c r="E3365" s="9"/>
      <c r="F3365" s="9"/>
      <c r="G3365" s="9"/>
      <c r="H3365" s="9"/>
      <c r="I3365" s="9"/>
      <c r="J3365" s="9"/>
      <c r="K3365" s="9"/>
      <c r="L3365" s="9"/>
      <c r="M3365" s="9"/>
      <c r="N3365" s="9"/>
    </row>
    <row r="3366" spans="1:14">
      <c r="A3366" s="9"/>
      <c r="B3366" s="9"/>
      <c r="C3366" s="9"/>
      <c r="D3366" s="9"/>
      <c r="E3366" s="9"/>
      <c r="F3366" s="9"/>
      <c r="G3366" s="9"/>
      <c r="H3366" s="9"/>
      <c r="I3366" s="9"/>
      <c r="J3366" s="9"/>
      <c r="K3366" s="9"/>
      <c r="L3366" s="9"/>
      <c r="M3366" s="9"/>
      <c r="N3366" s="9"/>
    </row>
    <row r="3367" spans="1:14">
      <c r="A3367" s="9"/>
      <c r="B3367" s="9"/>
      <c r="C3367" s="9"/>
      <c r="D3367" s="9"/>
      <c r="E3367" s="9"/>
      <c r="F3367" s="9"/>
      <c r="G3367" s="9"/>
      <c r="H3367" s="9"/>
      <c r="I3367" s="9"/>
      <c r="J3367" s="9"/>
      <c r="K3367" s="9"/>
      <c r="L3367" s="9"/>
      <c r="M3367" s="9"/>
      <c r="N3367" s="9"/>
    </row>
    <row r="3368" spans="1:14">
      <c r="A3368" s="9"/>
      <c r="B3368" s="9"/>
      <c r="C3368" s="9"/>
      <c r="D3368" s="9"/>
      <c r="E3368" s="9"/>
      <c r="F3368" s="9"/>
      <c r="G3368" s="9"/>
      <c r="H3368" s="9"/>
      <c r="I3368" s="9"/>
      <c r="J3368" s="9"/>
      <c r="K3368" s="9"/>
      <c r="L3368" s="9"/>
      <c r="M3368" s="9"/>
      <c r="N3368" s="9"/>
    </row>
    <row r="3369" spans="1:14">
      <c r="A3369" s="9"/>
      <c r="B3369" s="9"/>
      <c r="C3369" s="9"/>
      <c r="D3369" s="9"/>
      <c r="E3369" s="9"/>
      <c r="F3369" s="9"/>
      <c r="G3369" s="9"/>
      <c r="H3369" s="9"/>
      <c r="I3369" s="9"/>
      <c r="J3369" s="9"/>
      <c r="K3369" s="9"/>
      <c r="L3369" s="9"/>
      <c r="M3369" s="9"/>
      <c r="N3369" s="9"/>
    </row>
    <row r="3370" spans="1:14">
      <c r="A3370" s="9"/>
      <c r="B3370" s="9"/>
      <c r="C3370" s="9"/>
      <c r="D3370" s="9"/>
      <c r="E3370" s="9"/>
      <c r="F3370" s="9"/>
      <c r="G3370" s="9"/>
      <c r="H3370" s="9"/>
      <c r="I3370" s="9"/>
      <c r="J3370" s="9"/>
      <c r="K3370" s="9"/>
      <c r="L3370" s="9"/>
      <c r="M3370" s="9"/>
      <c r="N3370" s="9"/>
    </row>
    <row r="3371" spans="1:14">
      <c r="A3371" s="9"/>
      <c r="B3371" s="9"/>
      <c r="C3371" s="9"/>
      <c r="D3371" s="9"/>
      <c r="E3371" s="9"/>
      <c r="F3371" s="9"/>
      <c r="G3371" s="9"/>
      <c r="H3371" s="9"/>
      <c r="I3371" s="9"/>
      <c r="J3371" s="9"/>
      <c r="K3371" s="9"/>
      <c r="L3371" s="9"/>
      <c r="M3371" s="9"/>
      <c r="N3371" s="9"/>
    </row>
    <row r="3372" spans="1:14">
      <c r="A3372" s="9"/>
      <c r="B3372" s="9"/>
      <c r="C3372" s="9"/>
      <c r="D3372" s="9"/>
      <c r="E3372" s="9"/>
      <c r="F3372" s="9"/>
      <c r="G3372" s="9"/>
      <c r="H3372" s="9"/>
      <c r="I3372" s="9"/>
      <c r="J3372" s="9"/>
      <c r="K3372" s="9"/>
      <c r="L3372" s="9"/>
      <c r="M3372" s="9"/>
      <c r="N3372" s="9"/>
    </row>
    <row r="3373" spans="1:14">
      <c r="A3373" s="9"/>
      <c r="B3373" s="9"/>
      <c r="C3373" s="9"/>
      <c r="D3373" s="9"/>
      <c r="E3373" s="9"/>
      <c r="F3373" s="9"/>
      <c r="G3373" s="9"/>
      <c r="H3373" s="9"/>
      <c r="I3373" s="9"/>
      <c r="J3373" s="9"/>
      <c r="K3373" s="9"/>
      <c r="L3373" s="9"/>
      <c r="M3373" s="9"/>
      <c r="N3373" s="9"/>
    </row>
    <row r="3374" spans="1:14">
      <c r="A3374" s="9"/>
      <c r="B3374" s="9"/>
      <c r="C3374" s="9"/>
      <c r="D3374" s="9"/>
      <c r="E3374" s="9"/>
      <c r="F3374" s="9"/>
      <c r="G3374" s="9"/>
      <c r="H3374" s="9"/>
      <c r="I3374" s="9"/>
      <c r="J3374" s="9"/>
      <c r="K3374" s="9"/>
      <c r="L3374" s="9"/>
      <c r="M3374" s="9"/>
      <c r="N3374" s="9"/>
    </row>
    <row r="3375" spans="1:14">
      <c r="A3375" s="9"/>
      <c r="B3375" s="9"/>
      <c r="C3375" s="9"/>
      <c r="D3375" s="9"/>
      <c r="E3375" s="9"/>
      <c r="F3375" s="9"/>
      <c r="G3375" s="9"/>
      <c r="H3375" s="9"/>
      <c r="I3375" s="9"/>
      <c r="J3375" s="9"/>
      <c r="K3375" s="9"/>
      <c r="L3375" s="9"/>
      <c r="M3375" s="9"/>
      <c r="N3375" s="9"/>
    </row>
    <row r="3376" spans="1:14">
      <c r="A3376" s="9"/>
      <c r="B3376" s="9"/>
      <c r="C3376" s="9"/>
      <c r="D3376" s="9"/>
      <c r="E3376" s="9"/>
      <c r="F3376" s="9"/>
      <c r="G3376" s="9"/>
      <c r="H3376" s="9"/>
      <c r="I3376" s="9"/>
      <c r="J3376" s="9"/>
      <c r="K3376" s="9"/>
      <c r="L3376" s="9"/>
      <c r="M3376" s="9"/>
      <c r="N3376" s="9"/>
    </row>
    <row r="3377" spans="1:14">
      <c r="A3377" s="9"/>
      <c r="B3377" s="9"/>
      <c r="C3377" s="9"/>
      <c r="D3377" s="9"/>
      <c r="E3377" s="9"/>
      <c r="F3377" s="9"/>
      <c r="G3377" s="9"/>
      <c r="H3377" s="9"/>
      <c r="I3377" s="9"/>
      <c r="J3377" s="9"/>
      <c r="K3377" s="9"/>
      <c r="L3377" s="9"/>
      <c r="M3377" s="9"/>
      <c r="N3377" s="9"/>
    </row>
    <row r="3378" spans="1:14">
      <c r="A3378" s="9"/>
      <c r="B3378" s="9"/>
      <c r="C3378" s="9"/>
      <c r="D3378" s="9"/>
      <c r="E3378" s="9"/>
      <c r="F3378" s="9"/>
      <c r="G3378" s="9"/>
      <c r="H3378" s="9"/>
      <c r="I3378" s="9"/>
      <c r="J3378" s="9"/>
      <c r="K3378" s="9"/>
      <c r="L3378" s="9"/>
      <c r="M3378" s="9"/>
      <c r="N3378" s="9"/>
    </row>
    <row r="3379" spans="1:14">
      <c r="A3379" s="9"/>
      <c r="B3379" s="9"/>
      <c r="C3379" s="9"/>
      <c r="D3379" s="9"/>
      <c r="E3379" s="9"/>
      <c r="F3379" s="9"/>
      <c r="G3379" s="9"/>
      <c r="H3379" s="9"/>
      <c r="I3379" s="9"/>
      <c r="J3379" s="9"/>
      <c r="K3379" s="9"/>
      <c r="L3379" s="9"/>
      <c r="M3379" s="9"/>
      <c r="N3379" s="9"/>
    </row>
    <row r="3380" spans="1:14">
      <c r="A3380" s="9"/>
      <c r="B3380" s="9"/>
      <c r="C3380" s="9"/>
      <c r="D3380" s="9"/>
      <c r="E3380" s="9"/>
      <c r="F3380" s="9"/>
      <c r="G3380" s="9"/>
      <c r="H3380" s="9"/>
      <c r="I3380" s="9"/>
      <c r="J3380" s="9"/>
      <c r="K3380" s="9"/>
      <c r="L3380" s="9"/>
      <c r="M3380" s="9"/>
      <c r="N3380" s="9"/>
    </row>
    <row r="3381" spans="1:14">
      <c r="A3381" s="9"/>
      <c r="B3381" s="9"/>
      <c r="C3381" s="9"/>
      <c r="D3381" s="9"/>
      <c r="E3381" s="9"/>
      <c r="F3381" s="9"/>
      <c r="G3381" s="9"/>
      <c r="H3381" s="9"/>
      <c r="I3381" s="9"/>
      <c r="J3381" s="9"/>
      <c r="K3381" s="9"/>
      <c r="L3381" s="9"/>
      <c r="M3381" s="9"/>
      <c r="N3381" s="9"/>
    </row>
    <row r="3382" spans="1:14">
      <c r="A3382" s="9"/>
      <c r="B3382" s="9"/>
      <c r="C3382" s="9"/>
      <c r="D3382" s="9"/>
      <c r="E3382" s="9"/>
      <c r="F3382" s="9"/>
      <c r="G3382" s="9"/>
      <c r="H3382" s="9"/>
      <c r="I3382" s="9"/>
      <c r="J3382" s="9"/>
      <c r="K3382" s="9"/>
      <c r="L3382" s="9"/>
      <c r="M3382" s="9"/>
      <c r="N3382" s="9"/>
    </row>
    <row r="3383" spans="1:14">
      <c r="A3383" s="9"/>
      <c r="B3383" s="9"/>
      <c r="C3383" s="9"/>
      <c r="D3383" s="9"/>
      <c r="E3383" s="9"/>
      <c r="F3383" s="9"/>
      <c r="G3383" s="9"/>
      <c r="H3383" s="9"/>
      <c r="I3383" s="9"/>
      <c r="J3383" s="9"/>
      <c r="K3383" s="9"/>
      <c r="L3383" s="9"/>
      <c r="M3383" s="9"/>
      <c r="N3383" s="9"/>
    </row>
    <row r="3384" spans="1:14">
      <c r="A3384" s="9"/>
      <c r="B3384" s="9"/>
      <c r="C3384" s="9"/>
      <c r="D3384" s="9"/>
      <c r="E3384" s="9"/>
      <c r="F3384" s="9"/>
      <c r="G3384" s="9"/>
      <c r="H3384" s="9"/>
      <c r="I3384" s="9"/>
      <c r="J3384" s="9"/>
      <c r="K3384" s="9"/>
      <c r="L3384" s="9"/>
      <c r="M3384" s="9"/>
      <c r="N3384" s="9"/>
    </row>
    <row r="3385" spans="1:14">
      <c r="A3385" s="9"/>
      <c r="B3385" s="9"/>
      <c r="C3385" s="9"/>
      <c r="D3385" s="9"/>
      <c r="E3385" s="9"/>
      <c r="F3385" s="9"/>
      <c r="G3385" s="9"/>
      <c r="H3385" s="9"/>
      <c r="I3385" s="9"/>
      <c r="J3385" s="9"/>
      <c r="K3385" s="9"/>
      <c r="L3385" s="9"/>
      <c r="M3385" s="9"/>
      <c r="N3385" s="9"/>
    </row>
    <row r="3386" spans="1:14">
      <c r="A3386" s="9"/>
      <c r="B3386" s="9"/>
      <c r="C3386" s="9"/>
      <c r="D3386" s="9"/>
      <c r="E3386" s="9"/>
      <c r="F3386" s="9"/>
      <c r="G3386" s="9"/>
      <c r="H3386" s="9"/>
      <c r="I3386" s="9"/>
      <c r="J3386" s="9"/>
      <c r="K3386" s="9"/>
      <c r="L3386" s="9"/>
      <c r="M3386" s="9"/>
      <c r="N3386" s="9"/>
    </row>
    <row r="3387" spans="1:14">
      <c r="A3387" s="9"/>
      <c r="B3387" s="9"/>
      <c r="C3387" s="9"/>
      <c r="D3387" s="9"/>
      <c r="E3387" s="9"/>
      <c r="F3387" s="9"/>
      <c r="G3387" s="9"/>
      <c r="H3387" s="9"/>
      <c r="I3387" s="9"/>
      <c r="J3387" s="9"/>
      <c r="K3387" s="9"/>
      <c r="L3387" s="9"/>
      <c r="M3387" s="9"/>
      <c r="N3387" s="9"/>
    </row>
    <row r="3388" spans="1:14">
      <c r="A3388" s="9"/>
      <c r="B3388" s="9"/>
      <c r="C3388" s="9"/>
      <c r="D3388" s="9"/>
      <c r="E3388" s="9"/>
      <c r="F3388" s="9"/>
      <c r="G3388" s="9"/>
      <c r="H3388" s="9"/>
      <c r="I3388" s="9"/>
      <c r="J3388" s="9"/>
      <c r="K3388" s="9"/>
      <c r="L3388" s="9"/>
      <c r="M3388" s="9"/>
      <c r="N3388" s="9"/>
    </row>
    <row r="3389" spans="1:14">
      <c r="A3389" s="9"/>
      <c r="B3389" s="9"/>
      <c r="C3389" s="9"/>
      <c r="D3389" s="9"/>
      <c r="E3389" s="9"/>
      <c r="F3389" s="9"/>
      <c r="G3389" s="9"/>
      <c r="H3389" s="9"/>
      <c r="I3389" s="9"/>
      <c r="J3389" s="9"/>
      <c r="K3389" s="9"/>
      <c r="L3389" s="9"/>
      <c r="M3389" s="9"/>
      <c r="N3389" s="9"/>
    </row>
    <row r="3390" spans="1:14">
      <c r="A3390" s="9"/>
      <c r="B3390" s="9"/>
      <c r="C3390" s="9"/>
      <c r="D3390" s="9"/>
      <c r="E3390" s="9"/>
      <c r="F3390" s="9"/>
      <c r="G3390" s="9"/>
      <c r="H3390" s="9"/>
      <c r="I3390" s="9"/>
      <c r="J3390" s="9"/>
      <c r="K3390" s="9"/>
      <c r="L3390" s="9"/>
      <c r="M3390" s="9"/>
      <c r="N3390" s="9"/>
    </row>
    <row r="3391" spans="1:14">
      <c r="A3391" s="9"/>
      <c r="B3391" s="9"/>
      <c r="C3391" s="9"/>
      <c r="D3391" s="9"/>
      <c r="E3391" s="9"/>
      <c r="F3391" s="9"/>
      <c r="G3391" s="9"/>
      <c r="H3391" s="9"/>
      <c r="I3391" s="9"/>
      <c r="J3391" s="9"/>
      <c r="K3391" s="9"/>
      <c r="L3391" s="9"/>
      <c r="M3391" s="9"/>
      <c r="N3391" s="9"/>
    </row>
    <row r="3392" spans="1:14">
      <c r="A3392" s="9"/>
      <c r="B3392" s="9"/>
      <c r="C3392" s="9"/>
      <c r="D3392" s="9"/>
      <c r="E3392" s="9"/>
      <c r="F3392" s="9"/>
      <c r="G3392" s="9"/>
      <c r="H3392" s="9"/>
      <c r="I3392" s="9"/>
      <c r="J3392" s="9"/>
      <c r="K3392" s="9"/>
      <c r="L3392" s="9"/>
      <c r="M3392" s="9"/>
      <c r="N3392" s="9"/>
    </row>
    <row r="3393" spans="1:14">
      <c r="A3393" s="9"/>
      <c r="B3393" s="9"/>
      <c r="C3393" s="9"/>
      <c r="D3393" s="9"/>
      <c r="E3393" s="9"/>
      <c r="F3393" s="9"/>
      <c r="G3393" s="9"/>
      <c r="H3393" s="9"/>
      <c r="I3393" s="9"/>
      <c r="J3393" s="9"/>
      <c r="K3393" s="9"/>
      <c r="L3393" s="9"/>
      <c r="M3393" s="9"/>
      <c r="N3393" s="9"/>
    </row>
    <row r="3394" spans="1:14">
      <c r="A3394" s="9"/>
      <c r="B3394" s="9"/>
      <c r="C3394" s="9"/>
      <c r="D3394" s="9"/>
      <c r="E3394" s="9"/>
      <c r="F3394" s="9"/>
      <c r="G3394" s="9"/>
      <c r="H3394" s="9"/>
      <c r="I3394" s="9"/>
      <c r="J3394" s="9"/>
      <c r="K3394" s="9"/>
      <c r="L3394" s="9"/>
      <c r="M3394" s="9"/>
      <c r="N3394" s="9"/>
    </row>
    <row r="3395" spans="1:14">
      <c r="A3395" s="9"/>
      <c r="B3395" s="9"/>
      <c r="C3395" s="9"/>
      <c r="D3395" s="9"/>
      <c r="E3395" s="9"/>
      <c r="F3395" s="9"/>
      <c r="G3395" s="9"/>
      <c r="H3395" s="9"/>
      <c r="I3395" s="9"/>
      <c r="J3395" s="9"/>
      <c r="K3395" s="9"/>
      <c r="L3395" s="9"/>
      <c r="M3395" s="9"/>
      <c r="N3395" s="9"/>
    </row>
    <row r="3396" spans="1:14">
      <c r="A3396" s="9"/>
      <c r="B3396" s="9"/>
      <c r="C3396" s="9"/>
      <c r="D3396" s="9"/>
      <c r="E3396" s="9"/>
      <c r="F3396" s="9"/>
      <c r="G3396" s="9"/>
      <c r="H3396" s="9"/>
      <c r="I3396" s="9"/>
      <c r="J3396" s="9"/>
      <c r="K3396" s="9"/>
      <c r="L3396" s="9"/>
      <c r="M3396" s="9"/>
      <c r="N3396" s="9"/>
    </row>
    <row r="3397" spans="1:14">
      <c r="A3397" s="9"/>
      <c r="B3397" s="9"/>
      <c r="C3397" s="9"/>
      <c r="D3397" s="9"/>
      <c r="E3397" s="9"/>
      <c r="F3397" s="9"/>
      <c r="G3397" s="9"/>
      <c r="H3397" s="9"/>
      <c r="I3397" s="9"/>
      <c r="J3397" s="9"/>
      <c r="K3397" s="9"/>
      <c r="L3397" s="9"/>
      <c r="M3397" s="9"/>
      <c r="N3397" s="9"/>
    </row>
    <row r="3398" spans="1:14">
      <c r="A3398" s="9"/>
      <c r="B3398" s="9"/>
      <c r="C3398" s="9"/>
      <c r="D3398" s="9"/>
      <c r="E3398" s="9"/>
      <c r="F3398" s="9"/>
      <c r="G3398" s="9"/>
      <c r="H3398" s="9"/>
      <c r="I3398" s="9"/>
      <c r="J3398" s="9"/>
      <c r="K3398" s="9"/>
      <c r="L3398" s="9"/>
      <c r="M3398" s="9"/>
      <c r="N3398" s="9"/>
    </row>
    <row r="3399" spans="1:14">
      <c r="A3399" s="9"/>
      <c r="B3399" s="9"/>
      <c r="C3399" s="9"/>
      <c r="D3399" s="9"/>
      <c r="E3399" s="9"/>
      <c r="F3399" s="9"/>
      <c r="G3399" s="9"/>
      <c r="H3399" s="9"/>
      <c r="I3399" s="9"/>
      <c r="J3399" s="9"/>
      <c r="K3399" s="9"/>
      <c r="L3399" s="9"/>
      <c r="M3399" s="9"/>
      <c r="N3399" s="9"/>
    </row>
    <row r="3400" spans="1:14">
      <c r="A3400" s="9"/>
      <c r="B3400" s="9"/>
      <c r="C3400" s="9"/>
      <c r="D3400" s="9"/>
      <c r="E3400" s="9"/>
      <c r="F3400" s="9"/>
      <c r="G3400" s="9"/>
      <c r="H3400" s="9"/>
      <c r="I3400" s="9"/>
      <c r="J3400" s="9"/>
      <c r="K3400" s="9"/>
      <c r="L3400" s="9"/>
      <c r="M3400" s="9"/>
      <c r="N3400" s="9"/>
    </row>
    <row r="3401" spans="1:14">
      <c r="A3401" s="9"/>
      <c r="B3401" s="9"/>
      <c r="C3401" s="9"/>
      <c r="D3401" s="9"/>
      <c r="E3401" s="9"/>
      <c r="F3401" s="9"/>
      <c r="G3401" s="9"/>
      <c r="H3401" s="9"/>
      <c r="I3401" s="9"/>
      <c r="J3401" s="9"/>
      <c r="K3401" s="9"/>
      <c r="L3401" s="9"/>
      <c r="M3401" s="9"/>
      <c r="N3401" s="9"/>
    </row>
    <row r="3402" spans="1:14">
      <c r="A3402" s="9"/>
      <c r="B3402" s="9"/>
      <c r="C3402" s="9"/>
      <c r="D3402" s="9"/>
      <c r="E3402" s="9"/>
      <c r="F3402" s="9"/>
      <c r="G3402" s="9"/>
      <c r="H3402" s="9"/>
      <c r="I3402" s="9"/>
      <c r="J3402" s="9"/>
      <c r="K3402" s="9"/>
      <c r="L3402" s="9"/>
      <c r="M3402" s="9"/>
      <c r="N3402" s="9"/>
    </row>
    <row r="3403" spans="1:14">
      <c r="A3403" s="9"/>
      <c r="B3403" s="9"/>
      <c r="C3403" s="9"/>
      <c r="D3403" s="9"/>
      <c r="E3403" s="9"/>
      <c r="F3403" s="9"/>
      <c r="G3403" s="9"/>
      <c r="H3403" s="9"/>
      <c r="I3403" s="9"/>
      <c r="J3403" s="9"/>
      <c r="K3403" s="9"/>
      <c r="L3403" s="9"/>
      <c r="M3403" s="9"/>
      <c r="N3403" s="9"/>
    </row>
    <row r="3404" spans="1:14">
      <c r="A3404" s="9"/>
      <c r="B3404" s="9"/>
      <c r="C3404" s="9"/>
      <c r="D3404" s="9"/>
      <c r="E3404" s="9"/>
      <c r="F3404" s="9"/>
      <c r="G3404" s="9"/>
      <c r="H3404" s="9"/>
      <c r="I3404" s="9"/>
      <c r="J3404" s="9"/>
      <c r="K3404" s="9"/>
      <c r="L3404" s="9"/>
      <c r="M3404" s="9"/>
      <c r="N3404" s="9"/>
    </row>
    <row r="3405" spans="1:14">
      <c r="A3405" s="9"/>
      <c r="B3405" s="9"/>
      <c r="C3405" s="9"/>
      <c r="D3405" s="9"/>
      <c r="E3405" s="9"/>
      <c r="F3405" s="9"/>
      <c r="G3405" s="9"/>
      <c r="H3405" s="9"/>
      <c r="I3405" s="9"/>
      <c r="J3405" s="9"/>
      <c r="K3405" s="9"/>
      <c r="L3405" s="9"/>
      <c r="M3405" s="9"/>
      <c r="N3405" s="9"/>
    </row>
    <row r="3406" spans="1:14">
      <c r="A3406" s="9"/>
      <c r="B3406" s="9"/>
      <c r="C3406" s="9"/>
      <c r="D3406" s="9"/>
      <c r="E3406" s="9"/>
      <c r="F3406" s="9"/>
      <c r="G3406" s="9"/>
      <c r="H3406" s="9"/>
      <c r="I3406" s="9"/>
      <c r="J3406" s="9"/>
      <c r="K3406" s="9"/>
      <c r="L3406" s="9"/>
      <c r="M3406" s="9"/>
      <c r="N3406" s="9"/>
    </row>
    <row r="3407" spans="1:14">
      <c r="A3407" s="9"/>
      <c r="B3407" s="9"/>
      <c r="C3407" s="9"/>
      <c r="D3407" s="9"/>
      <c r="E3407" s="9"/>
      <c r="F3407" s="9"/>
      <c r="G3407" s="9"/>
      <c r="H3407" s="9"/>
      <c r="I3407" s="9"/>
      <c r="J3407" s="9"/>
      <c r="K3407" s="9"/>
      <c r="L3407" s="9"/>
      <c r="M3407" s="9"/>
      <c r="N3407" s="9"/>
    </row>
    <row r="3408" spans="1:14">
      <c r="A3408" s="9"/>
      <c r="B3408" s="9"/>
      <c r="C3408" s="9"/>
      <c r="D3408" s="9"/>
      <c r="E3408" s="9"/>
      <c r="F3408" s="9"/>
      <c r="G3408" s="9"/>
      <c r="H3408" s="9"/>
      <c r="I3408" s="9"/>
      <c r="J3408" s="9"/>
      <c r="K3408" s="9"/>
      <c r="L3408" s="9"/>
      <c r="M3408" s="9"/>
      <c r="N3408" s="9"/>
    </row>
    <row r="3409" spans="1:14">
      <c r="A3409" s="9"/>
      <c r="B3409" s="9"/>
      <c r="C3409" s="9"/>
      <c r="D3409" s="9"/>
      <c r="E3409" s="9"/>
      <c r="F3409" s="9"/>
      <c r="G3409" s="9"/>
      <c r="H3409" s="9"/>
      <c r="I3409" s="9"/>
      <c r="J3409" s="9"/>
      <c r="K3409" s="9"/>
      <c r="L3409" s="9"/>
      <c r="M3409" s="9"/>
      <c r="N3409" s="9"/>
    </row>
    <row r="3410" spans="1:14">
      <c r="A3410" s="9"/>
      <c r="B3410" s="9"/>
      <c r="C3410" s="9"/>
      <c r="D3410" s="9"/>
      <c r="E3410" s="9"/>
      <c r="F3410" s="9"/>
      <c r="G3410" s="9"/>
      <c r="H3410" s="9"/>
      <c r="I3410" s="9"/>
      <c r="J3410" s="9"/>
      <c r="K3410" s="9"/>
      <c r="L3410" s="9"/>
      <c r="M3410" s="9"/>
      <c r="N3410" s="9"/>
    </row>
    <row r="3411" spans="1:14">
      <c r="A3411" s="9"/>
      <c r="B3411" s="9"/>
      <c r="C3411" s="9"/>
      <c r="D3411" s="9"/>
      <c r="E3411" s="9"/>
      <c r="F3411" s="9"/>
      <c r="G3411" s="9"/>
      <c r="H3411" s="9"/>
      <c r="I3411" s="9"/>
      <c r="J3411" s="9"/>
      <c r="K3411" s="9"/>
      <c r="L3411" s="9"/>
      <c r="M3411" s="9"/>
      <c r="N3411" s="9"/>
    </row>
    <row r="3412" spans="1:14">
      <c r="A3412" s="9"/>
      <c r="B3412" s="9"/>
      <c r="C3412" s="9"/>
      <c r="D3412" s="9"/>
      <c r="E3412" s="9"/>
      <c r="F3412" s="9"/>
      <c r="G3412" s="9"/>
      <c r="H3412" s="9"/>
      <c r="I3412" s="9"/>
      <c r="J3412" s="9"/>
      <c r="K3412" s="9"/>
      <c r="L3412" s="9"/>
      <c r="M3412" s="9"/>
      <c r="N3412" s="9"/>
    </row>
    <row r="3413" spans="1:14">
      <c r="A3413" s="9"/>
      <c r="B3413" s="9"/>
      <c r="C3413" s="9"/>
      <c r="D3413" s="9"/>
      <c r="E3413" s="9"/>
      <c r="F3413" s="9"/>
      <c r="G3413" s="9"/>
      <c r="H3413" s="9"/>
      <c r="I3413" s="9"/>
      <c r="J3413" s="9"/>
      <c r="K3413" s="9"/>
      <c r="L3413" s="9"/>
      <c r="M3413" s="9"/>
      <c r="N3413" s="9"/>
    </row>
    <row r="3414" spans="1:14">
      <c r="A3414" s="9"/>
      <c r="B3414" s="9"/>
      <c r="C3414" s="9"/>
      <c r="D3414" s="9"/>
      <c r="E3414" s="9"/>
      <c r="F3414" s="9"/>
      <c r="G3414" s="9"/>
      <c r="H3414" s="9"/>
      <c r="I3414" s="9"/>
      <c r="J3414" s="9"/>
      <c r="K3414" s="9"/>
      <c r="L3414" s="9"/>
      <c r="M3414" s="9"/>
      <c r="N3414" s="9"/>
    </row>
    <row r="3415" spans="1:14">
      <c r="A3415" s="9"/>
      <c r="B3415" s="9"/>
      <c r="C3415" s="9"/>
      <c r="D3415" s="9"/>
      <c r="E3415" s="9"/>
      <c r="F3415" s="9"/>
      <c r="G3415" s="9"/>
      <c r="H3415" s="9"/>
      <c r="I3415" s="9"/>
      <c r="J3415" s="9"/>
      <c r="K3415" s="9"/>
      <c r="L3415" s="9"/>
      <c r="M3415" s="9"/>
      <c r="N3415" s="9"/>
    </row>
    <row r="3416" spans="1:14">
      <c r="A3416" s="9"/>
      <c r="B3416" s="9"/>
      <c r="C3416" s="9"/>
      <c r="D3416" s="9"/>
      <c r="E3416" s="9"/>
      <c r="F3416" s="9"/>
      <c r="G3416" s="9"/>
      <c r="H3416" s="9"/>
      <c r="I3416" s="9"/>
      <c r="J3416" s="9"/>
      <c r="K3416" s="9"/>
      <c r="L3416" s="9"/>
      <c r="M3416" s="9"/>
      <c r="N3416" s="9"/>
    </row>
    <row r="3417" spans="1:14">
      <c r="A3417" s="9"/>
      <c r="B3417" s="9"/>
      <c r="C3417" s="9"/>
      <c r="D3417" s="9"/>
      <c r="E3417" s="9"/>
      <c r="F3417" s="9"/>
      <c r="G3417" s="9"/>
      <c r="H3417" s="9"/>
      <c r="I3417" s="9"/>
      <c r="J3417" s="9"/>
      <c r="K3417" s="9"/>
      <c r="L3417" s="9"/>
      <c r="M3417" s="9"/>
      <c r="N3417" s="9"/>
    </row>
    <row r="3418" spans="1:14">
      <c r="A3418" s="9"/>
      <c r="B3418" s="9"/>
      <c r="C3418" s="9"/>
      <c r="D3418" s="9"/>
      <c r="E3418" s="9"/>
      <c r="F3418" s="9"/>
      <c r="G3418" s="9"/>
      <c r="H3418" s="9"/>
      <c r="I3418" s="9"/>
      <c r="J3418" s="9"/>
      <c r="K3418" s="9"/>
      <c r="L3418" s="9"/>
      <c r="M3418" s="9"/>
      <c r="N3418" s="9"/>
    </row>
    <row r="3419" spans="1:14">
      <c r="A3419" s="9"/>
      <c r="B3419" s="9"/>
      <c r="C3419" s="9"/>
      <c r="D3419" s="9"/>
      <c r="E3419" s="9"/>
      <c r="F3419" s="9"/>
      <c r="G3419" s="9"/>
      <c r="H3419" s="9"/>
      <c r="I3419" s="9"/>
      <c r="J3419" s="9"/>
      <c r="K3419" s="9"/>
      <c r="L3419" s="9"/>
      <c r="M3419" s="9"/>
      <c r="N3419" s="9"/>
    </row>
    <row r="3420" spans="1:14">
      <c r="A3420" s="9"/>
      <c r="B3420" s="9"/>
      <c r="C3420" s="9"/>
      <c r="D3420" s="9"/>
      <c r="E3420" s="9"/>
      <c r="F3420" s="9"/>
      <c r="G3420" s="9"/>
      <c r="H3420" s="9"/>
      <c r="I3420" s="9"/>
      <c r="J3420" s="9"/>
      <c r="K3420" s="9"/>
      <c r="L3420" s="9"/>
      <c r="M3420" s="9"/>
      <c r="N3420" s="9"/>
    </row>
    <row r="3421" spans="1:14">
      <c r="A3421" s="9"/>
      <c r="B3421" s="9"/>
      <c r="C3421" s="9"/>
      <c r="D3421" s="9"/>
      <c r="E3421" s="9"/>
      <c r="F3421" s="9"/>
      <c r="G3421" s="9"/>
      <c r="H3421" s="9"/>
      <c r="I3421" s="9"/>
      <c r="J3421" s="9"/>
      <c r="K3421" s="9"/>
      <c r="L3421" s="9"/>
      <c r="M3421" s="9"/>
      <c r="N3421" s="9"/>
    </row>
    <row r="3422" spans="1:14">
      <c r="A3422" s="9"/>
      <c r="B3422" s="9"/>
      <c r="C3422" s="9"/>
      <c r="D3422" s="9"/>
      <c r="E3422" s="9"/>
      <c r="F3422" s="9"/>
      <c r="G3422" s="9"/>
      <c r="H3422" s="9"/>
      <c r="I3422" s="9"/>
      <c r="J3422" s="9"/>
      <c r="K3422" s="9"/>
      <c r="L3422" s="9"/>
      <c r="M3422" s="9"/>
      <c r="N3422" s="9"/>
    </row>
    <row r="3423" spans="1:14">
      <c r="A3423" s="9"/>
      <c r="B3423" s="9"/>
      <c r="C3423" s="9"/>
      <c r="D3423" s="9"/>
      <c r="E3423" s="9"/>
      <c r="F3423" s="9"/>
      <c r="G3423" s="9"/>
      <c r="H3423" s="9"/>
      <c r="I3423" s="9"/>
      <c r="J3423" s="9"/>
      <c r="K3423" s="9"/>
      <c r="L3423" s="9"/>
      <c r="M3423" s="9"/>
      <c r="N3423" s="9"/>
    </row>
    <row r="3424" spans="1:14">
      <c r="A3424" s="9"/>
      <c r="B3424" s="9"/>
      <c r="C3424" s="9"/>
      <c r="D3424" s="9"/>
      <c r="E3424" s="9"/>
      <c r="F3424" s="9"/>
      <c r="G3424" s="9"/>
      <c r="H3424" s="9"/>
      <c r="I3424" s="9"/>
      <c r="J3424" s="9"/>
      <c r="K3424" s="9"/>
      <c r="L3424" s="9"/>
      <c r="M3424" s="9"/>
      <c r="N3424" s="9"/>
    </row>
    <row r="3425" spans="1:14">
      <c r="A3425" s="9"/>
      <c r="B3425" s="9"/>
      <c r="C3425" s="9"/>
      <c r="D3425" s="9"/>
      <c r="E3425" s="9"/>
      <c r="F3425" s="9"/>
      <c r="G3425" s="9"/>
      <c r="H3425" s="9"/>
      <c r="I3425" s="9"/>
      <c r="J3425" s="9"/>
      <c r="K3425" s="9"/>
      <c r="L3425" s="9"/>
      <c r="M3425" s="9"/>
      <c r="N3425" s="9"/>
    </row>
    <row r="3426" spans="1:14">
      <c r="A3426" s="9"/>
      <c r="B3426" s="9"/>
      <c r="C3426" s="9"/>
      <c r="D3426" s="9"/>
      <c r="E3426" s="9"/>
      <c r="F3426" s="9"/>
      <c r="G3426" s="9"/>
      <c r="H3426" s="9"/>
      <c r="I3426" s="9"/>
      <c r="J3426" s="9"/>
      <c r="K3426" s="9"/>
      <c r="L3426" s="9"/>
      <c r="M3426" s="9"/>
      <c r="N3426" s="9"/>
    </row>
    <row r="3427" spans="1:14">
      <c r="A3427" s="9"/>
      <c r="B3427" s="9"/>
      <c r="C3427" s="9"/>
      <c r="D3427" s="9"/>
      <c r="E3427" s="9"/>
      <c r="F3427" s="9"/>
      <c r="G3427" s="9"/>
      <c r="H3427" s="9"/>
      <c r="I3427" s="9"/>
      <c r="J3427" s="9"/>
      <c r="K3427" s="9"/>
      <c r="L3427" s="9"/>
      <c r="M3427" s="9"/>
      <c r="N3427" s="9"/>
    </row>
    <row r="3428" spans="1:14">
      <c r="A3428" s="9"/>
      <c r="B3428" s="9"/>
      <c r="C3428" s="9"/>
      <c r="D3428" s="9"/>
      <c r="E3428" s="9"/>
      <c r="F3428" s="9"/>
      <c r="G3428" s="9"/>
      <c r="H3428" s="9"/>
      <c r="I3428" s="9"/>
      <c r="J3428" s="9"/>
      <c r="K3428" s="9"/>
      <c r="L3428" s="9"/>
      <c r="M3428" s="9"/>
      <c r="N3428" s="9"/>
    </row>
    <row r="3429" spans="1:14">
      <c r="A3429" s="9"/>
      <c r="B3429" s="9"/>
      <c r="C3429" s="9"/>
      <c r="D3429" s="9"/>
      <c r="E3429" s="9"/>
      <c r="F3429" s="9"/>
      <c r="G3429" s="9"/>
      <c r="H3429" s="9"/>
      <c r="I3429" s="9"/>
      <c r="J3429" s="9"/>
      <c r="K3429" s="9"/>
      <c r="L3429" s="9"/>
      <c r="M3429" s="9"/>
      <c r="N3429" s="9"/>
    </row>
    <row r="3430" spans="1:14">
      <c r="A3430" s="9"/>
      <c r="B3430" s="9"/>
      <c r="C3430" s="9"/>
      <c r="D3430" s="9"/>
      <c r="E3430" s="9"/>
      <c r="F3430" s="9"/>
      <c r="G3430" s="9"/>
      <c r="H3430" s="9"/>
      <c r="I3430" s="9"/>
      <c r="J3430" s="9"/>
      <c r="K3430" s="9"/>
      <c r="L3430" s="9"/>
      <c r="M3430" s="9"/>
      <c r="N3430" s="9"/>
    </row>
    <row r="3431" spans="1:14">
      <c r="A3431" s="9"/>
      <c r="B3431" s="9"/>
      <c r="C3431" s="9"/>
      <c r="D3431" s="9"/>
      <c r="E3431" s="9"/>
      <c r="F3431" s="9"/>
      <c r="G3431" s="9"/>
      <c r="H3431" s="9"/>
      <c r="I3431" s="9"/>
      <c r="J3431" s="9"/>
      <c r="K3431" s="9"/>
      <c r="L3431" s="9"/>
      <c r="M3431" s="9"/>
      <c r="N3431" s="9"/>
    </row>
    <row r="3432" spans="1:14">
      <c r="A3432" s="9"/>
      <c r="B3432" s="9"/>
      <c r="C3432" s="9"/>
      <c r="D3432" s="9"/>
      <c r="E3432" s="9"/>
      <c r="F3432" s="9"/>
      <c r="G3432" s="9"/>
      <c r="H3432" s="9"/>
      <c r="I3432" s="9"/>
      <c r="J3432" s="9"/>
      <c r="K3432" s="9"/>
      <c r="L3432" s="9"/>
      <c r="M3432" s="9"/>
      <c r="N3432" s="9"/>
    </row>
    <row r="3433" spans="1:14">
      <c r="A3433" s="9"/>
      <c r="B3433" s="9"/>
      <c r="C3433" s="9"/>
      <c r="D3433" s="9"/>
      <c r="E3433" s="9"/>
      <c r="F3433" s="9"/>
      <c r="G3433" s="9"/>
      <c r="H3433" s="9"/>
      <c r="I3433" s="9"/>
      <c r="J3433" s="9"/>
      <c r="K3433" s="9"/>
      <c r="L3433" s="9"/>
      <c r="M3433" s="9"/>
      <c r="N3433" s="9"/>
    </row>
    <row r="3434" spans="1:14">
      <c r="A3434" s="9"/>
      <c r="B3434" s="9"/>
      <c r="C3434" s="9"/>
      <c r="D3434" s="9"/>
      <c r="E3434" s="9"/>
      <c r="F3434" s="9"/>
      <c r="G3434" s="9"/>
      <c r="H3434" s="9"/>
      <c r="I3434" s="9"/>
      <c r="J3434" s="9"/>
      <c r="K3434" s="9"/>
      <c r="L3434" s="9"/>
      <c r="M3434" s="9"/>
      <c r="N3434" s="9"/>
    </row>
    <row r="3435" spans="1:14">
      <c r="A3435" s="9"/>
      <c r="B3435" s="9"/>
      <c r="C3435" s="9"/>
      <c r="D3435" s="9"/>
      <c r="E3435" s="9"/>
      <c r="F3435" s="9"/>
      <c r="G3435" s="9"/>
      <c r="H3435" s="9"/>
      <c r="I3435" s="9"/>
      <c r="J3435" s="9"/>
      <c r="K3435" s="9"/>
      <c r="L3435" s="9"/>
      <c r="M3435" s="9"/>
      <c r="N3435" s="9"/>
    </row>
    <row r="3436" spans="1:14">
      <c r="A3436" s="9"/>
      <c r="B3436" s="9"/>
      <c r="C3436" s="9"/>
      <c r="D3436" s="9"/>
      <c r="E3436" s="9"/>
      <c r="F3436" s="9"/>
      <c r="G3436" s="9"/>
      <c r="H3436" s="9"/>
      <c r="I3436" s="9"/>
      <c r="J3436" s="9"/>
      <c r="K3436" s="9"/>
      <c r="L3436" s="9"/>
      <c r="M3436" s="9"/>
      <c r="N3436" s="9"/>
    </row>
    <row r="3437" spans="1:14">
      <c r="A3437" s="9"/>
      <c r="B3437" s="9"/>
      <c r="C3437" s="9"/>
      <c r="D3437" s="9"/>
      <c r="E3437" s="9"/>
      <c r="F3437" s="9"/>
      <c r="G3437" s="9"/>
      <c r="H3437" s="9"/>
      <c r="I3437" s="9"/>
      <c r="J3437" s="9"/>
      <c r="K3437" s="9"/>
      <c r="L3437" s="9"/>
      <c r="M3437" s="9"/>
      <c r="N3437" s="9"/>
    </row>
    <row r="3438" spans="1:14">
      <c r="A3438" s="9"/>
      <c r="B3438" s="9"/>
      <c r="C3438" s="9"/>
      <c r="D3438" s="9"/>
      <c r="E3438" s="9"/>
      <c r="F3438" s="9"/>
      <c r="G3438" s="9"/>
      <c r="H3438" s="9"/>
      <c r="I3438" s="9"/>
      <c r="J3438" s="9"/>
      <c r="K3438" s="9"/>
      <c r="L3438" s="9"/>
      <c r="M3438" s="9"/>
      <c r="N3438" s="9"/>
    </row>
    <row r="3439" spans="1:14">
      <c r="A3439" s="9"/>
      <c r="B3439" s="9"/>
      <c r="C3439" s="9"/>
      <c r="D3439" s="9"/>
      <c r="E3439" s="9"/>
      <c r="F3439" s="9"/>
      <c r="G3439" s="9"/>
      <c r="H3439" s="9"/>
      <c r="I3439" s="9"/>
      <c r="J3439" s="9"/>
      <c r="K3439" s="9"/>
      <c r="L3439" s="9"/>
      <c r="M3439" s="9"/>
      <c r="N3439" s="9"/>
    </row>
    <row r="3440" spans="1:14">
      <c r="A3440" s="9"/>
      <c r="B3440" s="9"/>
      <c r="C3440" s="9"/>
      <c r="D3440" s="9"/>
      <c r="E3440" s="9"/>
      <c r="F3440" s="9"/>
      <c r="G3440" s="9"/>
      <c r="H3440" s="9"/>
      <c r="I3440" s="9"/>
      <c r="J3440" s="9"/>
      <c r="K3440" s="9"/>
      <c r="L3440" s="9"/>
      <c r="M3440" s="9"/>
      <c r="N3440" s="9"/>
    </row>
    <row r="3441" spans="1:14">
      <c r="A3441" s="9"/>
      <c r="B3441" s="9"/>
      <c r="C3441" s="9"/>
      <c r="D3441" s="9"/>
      <c r="E3441" s="9"/>
      <c r="F3441" s="9"/>
      <c r="G3441" s="9"/>
      <c r="H3441" s="9"/>
      <c r="I3441" s="9"/>
      <c r="J3441" s="9"/>
      <c r="K3441" s="9"/>
      <c r="L3441" s="9"/>
      <c r="M3441" s="9"/>
      <c r="N3441" s="9"/>
    </row>
    <row r="3442" spans="1:14">
      <c r="A3442" s="9"/>
      <c r="B3442" s="9"/>
      <c r="C3442" s="9"/>
      <c r="D3442" s="9"/>
      <c r="E3442" s="9"/>
      <c r="F3442" s="9"/>
      <c r="G3442" s="9"/>
      <c r="H3442" s="9"/>
      <c r="I3442" s="9"/>
      <c r="J3442" s="9"/>
      <c r="K3442" s="9"/>
      <c r="L3442" s="9"/>
      <c r="M3442" s="9"/>
      <c r="N3442" s="9"/>
    </row>
    <row r="3443" spans="1:14">
      <c r="A3443" s="9"/>
      <c r="B3443" s="9"/>
      <c r="C3443" s="9"/>
      <c r="D3443" s="9"/>
      <c r="E3443" s="9"/>
      <c r="F3443" s="9"/>
      <c r="G3443" s="9"/>
      <c r="H3443" s="9"/>
      <c r="I3443" s="9"/>
      <c r="J3443" s="9"/>
      <c r="K3443" s="9"/>
      <c r="L3443" s="9"/>
      <c r="M3443" s="9"/>
      <c r="N3443" s="9"/>
    </row>
    <row r="3444" spans="1:14">
      <c r="A3444" s="9"/>
      <c r="B3444" s="9"/>
      <c r="C3444" s="9"/>
      <c r="D3444" s="9"/>
      <c r="E3444" s="9"/>
      <c r="F3444" s="9"/>
      <c r="G3444" s="9"/>
      <c r="H3444" s="9"/>
      <c r="I3444" s="9"/>
      <c r="J3444" s="9"/>
      <c r="K3444" s="9"/>
      <c r="L3444" s="9"/>
      <c r="M3444" s="9"/>
      <c r="N3444" s="9"/>
    </row>
    <row r="3445" spans="1:14">
      <c r="A3445" s="9"/>
      <c r="B3445" s="9"/>
      <c r="C3445" s="9"/>
      <c r="D3445" s="9"/>
      <c r="E3445" s="9"/>
      <c r="F3445" s="9"/>
      <c r="G3445" s="9"/>
      <c r="H3445" s="9"/>
      <c r="I3445" s="9"/>
      <c r="J3445" s="9"/>
      <c r="K3445" s="9"/>
      <c r="L3445" s="9"/>
      <c r="M3445" s="9"/>
      <c r="N3445" s="9"/>
    </row>
    <row r="3446" spans="1:14">
      <c r="A3446" s="9"/>
      <c r="B3446" s="9"/>
      <c r="C3446" s="9"/>
      <c r="D3446" s="9"/>
      <c r="E3446" s="9"/>
      <c r="F3446" s="9"/>
      <c r="G3446" s="9"/>
      <c r="H3446" s="9"/>
      <c r="I3446" s="9"/>
      <c r="J3446" s="9"/>
      <c r="K3446" s="9"/>
      <c r="L3446" s="9"/>
      <c r="M3446" s="9"/>
      <c r="N3446" s="9"/>
    </row>
    <row r="3447" spans="1:14">
      <c r="A3447" s="9"/>
      <c r="B3447" s="9"/>
      <c r="C3447" s="9"/>
      <c r="D3447" s="9"/>
      <c r="E3447" s="9"/>
      <c r="F3447" s="9"/>
      <c r="G3447" s="9"/>
      <c r="H3447" s="9"/>
      <c r="I3447" s="9"/>
      <c r="J3447" s="9"/>
      <c r="K3447" s="9"/>
      <c r="L3447" s="9"/>
      <c r="M3447" s="9"/>
      <c r="N3447" s="9"/>
    </row>
    <row r="3448" spans="1:14">
      <c r="A3448" s="9"/>
      <c r="B3448" s="9"/>
      <c r="C3448" s="9"/>
      <c r="D3448" s="9"/>
      <c r="E3448" s="9"/>
      <c r="F3448" s="9"/>
      <c r="G3448" s="9"/>
      <c r="H3448" s="9"/>
      <c r="I3448" s="9"/>
      <c r="J3448" s="9"/>
      <c r="K3448" s="9"/>
      <c r="L3448" s="9"/>
      <c r="M3448" s="9"/>
      <c r="N3448" s="9"/>
    </row>
    <row r="3449" spans="1:14">
      <c r="A3449" s="9"/>
      <c r="B3449" s="9"/>
      <c r="C3449" s="9"/>
      <c r="D3449" s="9"/>
      <c r="E3449" s="9"/>
      <c r="F3449" s="9"/>
      <c r="G3449" s="9"/>
      <c r="H3449" s="9"/>
      <c r="I3449" s="9"/>
      <c r="J3449" s="9"/>
      <c r="K3449" s="9"/>
      <c r="L3449" s="9"/>
      <c r="M3449" s="9"/>
      <c r="N3449" s="9"/>
    </row>
    <row r="3450" spans="1:14">
      <c r="A3450" s="9"/>
      <c r="B3450" s="9"/>
      <c r="C3450" s="9"/>
      <c r="D3450" s="9"/>
      <c r="E3450" s="9"/>
      <c r="F3450" s="9"/>
      <c r="G3450" s="9"/>
      <c r="H3450" s="9"/>
      <c r="I3450" s="9"/>
      <c r="J3450" s="9"/>
      <c r="K3450" s="9"/>
      <c r="L3450" s="9"/>
      <c r="M3450" s="9"/>
      <c r="N3450" s="9"/>
    </row>
    <row r="3451" spans="1:14">
      <c r="A3451" s="9"/>
      <c r="B3451" s="9"/>
      <c r="C3451" s="9"/>
      <c r="D3451" s="9"/>
      <c r="E3451" s="9"/>
      <c r="F3451" s="9"/>
      <c r="G3451" s="9"/>
      <c r="H3451" s="9"/>
      <c r="I3451" s="9"/>
      <c r="J3451" s="9"/>
      <c r="K3451" s="9"/>
      <c r="L3451" s="9"/>
      <c r="M3451" s="9"/>
      <c r="N3451" s="9"/>
    </row>
    <row r="3452" spans="1:14">
      <c r="A3452" s="9"/>
      <c r="B3452" s="9"/>
      <c r="C3452" s="9"/>
      <c r="D3452" s="9"/>
      <c r="E3452" s="9"/>
      <c r="F3452" s="9"/>
      <c r="G3452" s="9"/>
      <c r="H3452" s="9"/>
      <c r="I3452" s="9"/>
      <c r="J3452" s="9"/>
      <c r="K3452" s="9"/>
      <c r="L3452" s="9"/>
      <c r="M3452" s="9"/>
      <c r="N3452" s="9"/>
    </row>
    <row r="3453" spans="1:14">
      <c r="A3453" s="9"/>
      <c r="B3453" s="9"/>
      <c r="C3453" s="9"/>
      <c r="D3453" s="9"/>
      <c r="E3453" s="9"/>
      <c r="F3453" s="9"/>
      <c r="G3453" s="9"/>
      <c r="H3453" s="9"/>
      <c r="I3453" s="9"/>
      <c r="J3453" s="9"/>
      <c r="K3453" s="9"/>
      <c r="L3453" s="9"/>
      <c r="M3453" s="9"/>
      <c r="N3453" s="9"/>
    </row>
    <row r="3454" spans="1:14">
      <c r="A3454" s="9"/>
      <c r="B3454" s="9"/>
      <c r="C3454" s="9"/>
      <c r="D3454" s="9"/>
      <c r="E3454" s="9"/>
      <c r="F3454" s="9"/>
      <c r="G3454" s="9"/>
      <c r="H3454" s="9"/>
      <c r="I3454" s="9"/>
      <c r="J3454" s="9"/>
      <c r="K3454" s="9"/>
      <c r="L3454" s="9"/>
      <c r="M3454" s="9"/>
      <c r="N3454" s="9"/>
    </row>
    <row r="3455" spans="1:14">
      <c r="A3455" s="9"/>
      <c r="B3455" s="9"/>
      <c r="C3455" s="9"/>
      <c r="D3455" s="9"/>
      <c r="E3455" s="9"/>
      <c r="F3455" s="9"/>
      <c r="G3455" s="9"/>
      <c r="H3455" s="9"/>
      <c r="I3455" s="9"/>
      <c r="J3455" s="9"/>
      <c r="K3455" s="9"/>
      <c r="L3455" s="9"/>
      <c r="M3455" s="9"/>
      <c r="N3455" s="9"/>
    </row>
    <row r="3456" spans="1:14">
      <c r="A3456" s="9"/>
      <c r="B3456" s="9"/>
      <c r="C3456" s="9"/>
      <c r="D3456" s="9"/>
      <c r="E3456" s="9"/>
      <c r="F3456" s="9"/>
      <c r="G3456" s="9"/>
      <c r="H3456" s="9"/>
      <c r="I3456" s="9"/>
      <c r="J3456" s="9"/>
      <c r="K3456" s="9"/>
      <c r="L3456" s="9"/>
      <c r="M3456" s="9"/>
      <c r="N3456" s="9"/>
    </row>
    <row r="3457" spans="1:14">
      <c r="A3457" s="9"/>
      <c r="B3457" s="9"/>
      <c r="C3457" s="9"/>
      <c r="D3457" s="9"/>
      <c r="E3457" s="9"/>
      <c r="F3457" s="9"/>
      <c r="G3457" s="9"/>
      <c r="H3457" s="9"/>
      <c r="I3457" s="9"/>
      <c r="J3457" s="9"/>
      <c r="K3457" s="9"/>
      <c r="L3457" s="9"/>
      <c r="M3457" s="9"/>
      <c r="N3457" s="9"/>
    </row>
    <row r="3458" spans="1:14">
      <c r="A3458" s="9"/>
      <c r="B3458" s="9"/>
      <c r="C3458" s="9"/>
      <c r="D3458" s="9"/>
      <c r="E3458" s="9"/>
      <c r="F3458" s="9"/>
      <c r="G3458" s="9"/>
      <c r="H3458" s="9"/>
      <c r="I3458" s="9"/>
      <c r="J3458" s="9"/>
      <c r="K3458" s="9"/>
      <c r="L3458" s="9"/>
      <c r="M3458" s="9"/>
      <c r="N3458" s="9"/>
    </row>
    <row r="3459" spans="1:14">
      <c r="A3459" s="9"/>
      <c r="B3459" s="9"/>
      <c r="C3459" s="9"/>
      <c r="D3459" s="9"/>
      <c r="E3459" s="9"/>
      <c r="F3459" s="9"/>
      <c r="G3459" s="9"/>
      <c r="H3459" s="9"/>
      <c r="I3459" s="9"/>
      <c r="J3459" s="9"/>
      <c r="K3459" s="9"/>
      <c r="L3459" s="9"/>
      <c r="M3459" s="9"/>
      <c r="N3459" s="9"/>
    </row>
    <row r="3460" spans="1:14">
      <c r="A3460" s="9"/>
      <c r="B3460" s="9"/>
      <c r="C3460" s="9"/>
      <c r="D3460" s="9"/>
      <c r="E3460" s="9"/>
      <c r="F3460" s="9"/>
      <c r="G3460" s="9"/>
      <c r="H3460" s="9"/>
      <c r="I3460" s="9"/>
      <c r="J3460" s="9"/>
      <c r="K3460" s="9"/>
      <c r="L3460" s="9"/>
      <c r="M3460" s="9"/>
      <c r="N3460" s="9"/>
    </row>
    <row r="3461" spans="1:14">
      <c r="A3461" s="9"/>
      <c r="B3461" s="9"/>
      <c r="C3461" s="9"/>
      <c r="D3461" s="9"/>
      <c r="E3461" s="9"/>
      <c r="F3461" s="9"/>
      <c r="G3461" s="9"/>
      <c r="H3461" s="9"/>
      <c r="I3461" s="9"/>
      <c r="J3461" s="9"/>
      <c r="K3461" s="9"/>
      <c r="L3461" s="9"/>
      <c r="M3461" s="9"/>
      <c r="N3461" s="9"/>
    </row>
    <row r="3462" spans="1:14">
      <c r="A3462" s="9"/>
      <c r="B3462" s="9"/>
      <c r="C3462" s="9"/>
      <c r="D3462" s="9"/>
      <c r="E3462" s="9"/>
      <c r="F3462" s="9"/>
      <c r="G3462" s="9"/>
      <c r="H3462" s="9"/>
      <c r="I3462" s="9"/>
      <c r="J3462" s="9"/>
      <c r="K3462" s="9"/>
      <c r="L3462" s="9"/>
      <c r="M3462" s="9"/>
      <c r="N3462" s="9"/>
    </row>
    <row r="3463" spans="1:14">
      <c r="A3463" s="9"/>
      <c r="B3463" s="9"/>
      <c r="C3463" s="9"/>
      <c r="D3463" s="9"/>
      <c r="E3463" s="9"/>
      <c r="F3463" s="9"/>
      <c r="G3463" s="9"/>
      <c r="H3463" s="9"/>
      <c r="I3463" s="9"/>
      <c r="J3463" s="9"/>
      <c r="K3463" s="9"/>
      <c r="L3463" s="9"/>
      <c r="M3463" s="9"/>
      <c r="N3463" s="9"/>
    </row>
    <row r="3464" spans="1:14">
      <c r="A3464" s="9"/>
      <c r="B3464" s="9"/>
      <c r="C3464" s="9"/>
      <c r="D3464" s="9"/>
      <c r="E3464" s="9"/>
      <c r="F3464" s="9"/>
      <c r="G3464" s="9"/>
      <c r="H3464" s="9"/>
      <c r="I3464" s="9"/>
      <c r="J3464" s="9"/>
      <c r="K3464" s="9"/>
      <c r="L3464" s="9"/>
      <c r="M3464" s="9"/>
      <c r="N3464" s="9"/>
    </row>
    <row r="3465" spans="1:14">
      <c r="A3465" s="9"/>
      <c r="B3465" s="9"/>
      <c r="C3465" s="9"/>
      <c r="D3465" s="9"/>
      <c r="E3465" s="9"/>
      <c r="F3465" s="9"/>
      <c r="G3465" s="9"/>
      <c r="H3465" s="9"/>
      <c r="I3465" s="9"/>
      <c r="J3465" s="9"/>
      <c r="K3465" s="9"/>
      <c r="L3465" s="9"/>
      <c r="M3465" s="9"/>
      <c r="N3465" s="9"/>
    </row>
    <row r="3466" spans="1:14">
      <c r="A3466" s="9"/>
      <c r="B3466" s="9"/>
      <c r="C3466" s="9"/>
      <c r="D3466" s="9"/>
      <c r="E3466" s="9"/>
      <c r="F3466" s="9"/>
      <c r="G3466" s="9"/>
      <c r="H3466" s="9"/>
      <c r="I3466" s="9"/>
      <c r="J3466" s="9"/>
      <c r="K3466" s="9"/>
      <c r="L3466" s="9"/>
      <c r="M3466" s="9"/>
      <c r="N3466" s="9"/>
    </row>
    <row r="3467" spans="1:14">
      <c r="A3467" s="9"/>
      <c r="B3467" s="9"/>
      <c r="C3467" s="9"/>
      <c r="D3467" s="9"/>
      <c r="E3467" s="9"/>
      <c r="F3467" s="9"/>
      <c r="G3467" s="9"/>
      <c r="H3467" s="9"/>
      <c r="I3467" s="9"/>
      <c r="J3467" s="9"/>
      <c r="K3467" s="9"/>
      <c r="L3467" s="9"/>
      <c r="M3467" s="9"/>
      <c r="N3467" s="9"/>
    </row>
    <row r="3468" spans="1:14">
      <c r="A3468" s="9"/>
      <c r="B3468" s="9"/>
      <c r="C3468" s="9"/>
      <c r="D3468" s="9"/>
      <c r="E3468" s="9"/>
      <c r="F3468" s="9"/>
      <c r="G3468" s="9"/>
      <c r="H3468" s="9"/>
      <c r="I3468" s="9"/>
      <c r="J3468" s="9"/>
      <c r="K3468" s="9"/>
      <c r="L3468" s="9"/>
      <c r="M3468" s="9"/>
      <c r="N3468" s="9"/>
    </row>
    <row r="3469" spans="1:14">
      <c r="A3469" s="9"/>
      <c r="B3469" s="9"/>
      <c r="C3469" s="9"/>
      <c r="D3469" s="9"/>
      <c r="E3469" s="9"/>
      <c r="F3469" s="9"/>
      <c r="G3469" s="9"/>
      <c r="H3469" s="9"/>
      <c r="I3469" s="9"/>
      <c r="J3469" s="9"/>
      <c r="K3469" s="9"/>
      <c r="L3469" s="9"/>
      <c r="M3469" s="9"/>
      <c r="N3469" s="9"/>
    </row>
    <row r="3470" spans="1:14">
      <c r="A3470" s="9"/>
      <c r="B3470" s="9"/>
      <c r="C3470" s="9"/>
      <c r="D3470" s="9"/>
      <c r="E3470" s="9"/>
      <c r="F3470" s="9"/>
      <c r="G3470" s="9"/>
      <c r="H3470" s="9"/>
      <c r="I3470" s="9"/>
      <c r="J3470" s="9"/>
      <c r="K3470" s="9"/>
      <c r="L3470" s="9"/>
      <c r="M3470" s="9"/>
      <c r="N3470" s="9"/>
    </row>
    <row r="3471" spans="1:14">
      <c r="A3471" s="9"/>
      <c r="B3471" s="9"/>
      <c r="C3471" s="9"/>
      <c r="D3471" s="9"/>
      <c r="E3471" s="9"/>
      <c r="F3471" s="9"/>
      <c r="G3471" s="9"/>
      <c r="H3471" s="9"/>
      <c r="I3471" s="9"/>
      <c r="J3471" s="9"/>
      <c r="K3471" s="9"/>
      <c r="L3471" s="9"/>
      <c r="M3471" s="9"/>
      <c r="N3471" s="9"/>
    </row>
    <row r="3472" spans="1:14">
      <c r="A3472" s="9"/>
      <c r="B3472" s="9"/>
      <c r="C3472" s="9"/>
      <c r="D3472" s="9"/>
      <c r="E3472" s="9"/>
      <c r="F3472" s="9"/>
      <c r="G3472" s="9"/>
      <c r="H3472" s="9"/>
      <c r="I3472" s="9"/>
      <c r="J3472" s="9"/>
      <c r="K3472" s="9"/>
      <c r="L3472" s="9"/>
      <c r="M3472" s="9"/>
      <c r="N3472" s="9"/>
    </row>
    <row r="3473" spans="1:14">
      <c r="A3473" s="9"/>
      <c r="B3473" s="9"/>
      <c r="C3473" s="9"/>
      <c r="D3473" s="9"/>
      <c r="E3473" s="9"/>
      <c r="F3473" s="9"/>
      <c r="G3473" s="9"/>
      <c r="H3473" s="9"/>
      <c r="I3473" s="9"/>
      <c r="J3473" s="9"/>
      <c r="K3473" s="9"/>
      <c r="L3473" s="9"/>
      <c r="M3473" s="9"/>
      <c r="N3473" s="9"/>
    </row>
    <row r="3474" spans="1:14">
      <c r="A3474" s="9"/>
      <c r="B3474" s="9"/>
      <c r="C3474" s="9"/>
      <c r="D3474" s="9"/>
      <c r="E3474" s="9"/>
      <c r="F3474" s="9"/>
      <c r="G3474" s="9"/>
      <c r="H3474" s="9"/>
      <c r="I3474" s="9"/>
      <c r="J3474" s="9"/>
      <c r="K3474" s="9"/>
      <c r="L3474" s="9"/>
      <c r="M3474" s="9"/>
      <c r="N3474" s="9"/>
    </row>
    <row r="3475" spans="1:14">
      <c r="A3475" s="9"/>
      <c r="B3475" s="9"/>
      <c r="C3475" s="9"/>
      <c r="D3475" s="9"/>
      <c r="E3475" s="9"/>
      <c r="F3475" s="9"/>
      <c r="G3475" s="9"/>
      <c r="H3475" s="9"/>
      <c r="I3475" s="9"/>
      <c r="J3475" s="9"/>
      <c r="K3475" s="9"/>
      <c r="L3475" s="9"/>
      <c r="M3475" s="9"/>
      <c r="N3475" s="9"/>
    </row>
    <row r="3476" spans="1:14">
      <c r="A3476" s="9"/>
      <c r="B3476" s="9"/>
      <c r="C3476" s="9"/>
      <c r="D3476" s="9"/>
      <c r="E3476" s="9"/>
      <c r="F3476" s="9"/>
      <c r="G3476" s="9"/>
      <c r="H3476" s="9"/>
      <c r="I3476" s="9"/>
      <c r="J3476" s="9"/>
      <c r="K3476" s="9"/>
      <c r="L3476" s="9"/>
      <c r="M3476" s="9"/>
      <c r="N3476" s="9"/>
    </row>
    <row r="3477" spans="1:14">
      <c r="A3477" s="9"/>
      <c r="B3477" s="9"/>
      <c r="C3477" s="9"/>
      <c r="D3477" s="9"/>
      <c r="E3477" s="9"/>
      <c r="F3477" s="9"/>
      <c r="G3477" s="9"/>
      <c r="H3477" s="9"/>
      <c r="I3477" s="9"/>
      <c r="J3477" s="9"/>
      <c r="K3477" s="9"/>
      <c r="L3477" s="9"/>
      <c r="M3477" s="9"/>
      <c r="N3477" s="9"/>
    </row>
    <row r="3478" spans="1:14">
      <c r="A3478" s="9"/>
      <c r="B3478" s="9"/>
      <c r="C3478" s="9"/>
      <c r="D3478" s="9"/>
      <c r="E3478" s="9"/>
      <c r="F3478" s="9"/>
      <c r="G3478" s="9"/>
      <c r="H3478" s="9"/>
      <c r="I3478" s="9"/>
      <c r="J3478" s="9"/>
      <c r="K3478" s="9"/>
      <c r="L3478" s="9"/>
      <c r="M3478" s="9"/>
      <c r="N3478" s="9"/>
    </row>
    <row r="3479" spans="1:14">
      <c r="A3479" s="9"/>
      <c r="B3479" s="9"/>
      <c r="C3479" s="9"/>
      <c r="D3479" s="9"/>
      <c r="E3479" s="9"/>
      <c r="F3479" s="9"/>
      <c r="G3479" s="9"/>
      <c r="H3479" s="9"/>
      <c r="I3479" s="9"/>
      <c r="J3479" s="9"/>
      <c r="K3479" s="9"/>
      <c r="L3479" s="9"/>
      <c r="M3479" s="9"/>
      <c r="N3479" s="9"/>
    </row>
    <row r="3480" spans="1:14">
      <c r="A3480" s="9"/>
      <c r="B3480" s="9"/>
      <c r="C3480" s="9"/>
      <c r="D3480" s="9"/>
      <c r="E3480" s="9"/>
      <c r="F3480" s="9"/>
      <c r="G3480" s="9"/>
      <c r="H3480" s="9"/>
      <c r="I3480" s="9"/>
      <c r="J3480" s="9"/>
      <c r="K3480" s="9"/>
      <c r="L3480" s="9"/>
      <c r="M3480" s="9"/>
      <c r="N3480" s="9"/>
    </row>
    <row r="3481" spans="1:14">
      <c r="A3481" s="9"/>
      <c r="B3481" s="9"/>
      <c r="C3481" s="9"/>
      <c r="D3481" s="9"/>
      <c r="E3481" s="9"/>
      <c r="F3481" s="9"/>
      <c r="G3481" s="9"/>
      <c r="H3481" s="9"/>
      <c r="I3481" s="9"/>
      <c r="J3481" s="9"/>
      <c r="K3481" s="9"/>
      <c r="L3481" s="9"/>
      <c r="M3481" s="9"/>
      <c r="N3481" s="9"/>
    </row>
    <row r="3482" spans="1:14">
      <c r="A3482" s="9"/>
      <c r="B3482" s="9"/>
      <c r="C3482" s="9"/>
      <c r="D3482" s="9"/>
      <c r="E3482" s="9"/>
      <c r="F3482" s="9"/>
      <c r="G3482" s="9"/>
      <c r="H3482" s="9"/>
      <c r="I3482" s="9"/>
      <c r="J3482" s="9"/>
      <c r="K3482" s="9"/>
      <c r="L3482" s="9"/>
      <c r="M3482" s="9"/>
      <c r="N3482" s="9"/>
    </row>
    <row r="3483" spans="1:14">
      <c r="A3483" s="9"/>
      <c r="B3483" s="9"/>
      <c r="C3483" s="9"/>
      <c r="D3483" s="9"/>
      <c r="E3483" s="9"/>
      <c r="F3483" s="9"/>
      <c r="G3483" s="9"/>
      <c r="H3483" s="9"/>
      <c r="I3483" s="9"/>
      <c r="J3483" s="9"/>
      <c r="K3483" s="9"/>
      <c r="L3483" s="9"/>
      <c r="M3483" s="9"/>
      <c r="N3483" s="9"/>
    </row>
    <row r="3484" spans="1:14">
      <c r="A3484" s="9"/>
      <c r="B3484" s="9"/>
      <c r="C3484" s="9"/>
      <c r="D3484" s="9"/>
      <c r="E3484" s="9"/>
      <c r="F3484" s="9"/>
      <c r="G3484" s="9"/>
      <c r="H3484" s="9"/>
      <c r="I3484" s="9"/>
      <c r="J3484" s="9"/>
      <c r="K3484" s="9"/>
      <c r="L3484" s="9"/>
      <c r="M3484" s="9"/>
      <c r="N3484" s="9"/>
    </row>
    <row r="3485" spans="1:14">
      <c r="A3485" s="9"/>
      <c r="B3485" s="9"/>
      <c r="C3485" s="9"/>
      <c r="D3485" s="9"/>
      <c r="E3485" s="9"/>
      <c r="F3485" s="9"/>
      <c r="G3485" s="9"/>
      <c r="H3485" s="9"/>
      <c r="I3485" s="9"/>
      <c r="J3485" s="9"/>
      <c r="K3485" s="9"/>
      <c r="L3485" s="9"/>
      <c r="M3485" s="9"/>
      <c r="N3485" s="9"/>
    </row>
    <row r="3486" spans="1:14">
      <c r="A3486" s="9"/>
      <c r="B3486" s="9"/>
      <c r="C3486" s="9"/>
      <c r="D3486" s="9"/>
      <c r="E3486" s="9"/>
      <c r="F3486" s="9"/>
      <c r="G3486" s="9"/>
      <c r="H3486" s="9"/>
      <c r="I3486" s="9"/>
      <c r="J3486" s="9"/>
      <c r="K3486" s="9"/>
      <c r="L3486" s="9"/>
      <c r="M3486" s="9"/>
      <c r="N3486" s="9"/>
    </row>
    <row r="3487" spans="1:14">
      <c r="A3487" s="9"/>
      <c r="B3487" s="9"/>
      <c r="C3487" s="9"/>
      <c r="D3487" s="9"/>
      <c r="E3487" s="9"/>
      <c r="F3487" s="9"/>
      <c r="G3487" s="9"/>
      <c r="H3487" s="9"/>
      <c r="I3487" s="9"/>
      <c r="J3487" s="9"/>
      <c r="K3487" s="9"/>
      <c r="L3487" s="9"/>
      <c r="M3487" s="9"/>
      <c r="N3487" s="9"/>
    </row>
    <row r="3488" spans="1:14">
      <c r="A3488" s="9"/>
      <c r="B3488" s="9"/>
      <c r="C3488" s="9"/>
      <c r="D3488" s="9"/>
      <c r="E3488" s="9"/>
      <c r="F3488" s="9"/>
      <c r="G3488" s="9"/>
      <c r="H3488" s="9"/>
      <c r="I3488" s="9"/>
      <c r="J3488" s="9"/>
      <c r="K3488" s="9"/>
      <c r="L3488" s="9"/>
      <c r="M3488" s="9"/>
      <c r="N3488" s="9"/>
    </row>
    <row r="3489" spans="1:14">
      <c r="A3489" s="9"/>
      <c r="B3489" s="9"/>
      <c r="C3489" s="9"/>
      <c r="D3489" s="9"/>
      <c r="E3489" s="9"/>
      <c r="F3489" s="9"/>
      <c r="G3489" s="9"/>
      <c r="H3489" s="9"/>
      <c r="I3489" s="9"/>
      <c r="J3489" s="9"/>
      <c r="K3489" s="9"/>
      <c r="L3489" s="9"/>
      <c r="M3489" s="9"/>
      <c r="N3489" s="9"/>
    </row>
    <row r="3490" spans="1:14">
      <c r="A3490" s="9"/>
      <c r="B3490" s="9"/>
      <c r="C3490" s="9"/>
      <c r="D3490" s="9"/>
      <c r="E3490" s="9"/>
      <c r="F3490" s="9"/>
      <c r="G3490" s="9"/>
      <c r="H3490" s="9"/>
      <c r="I3490" s="9"/>
      <c r="J3490" s="9"/>
      <c r="K3490" s="9"/>
      <c r="L3490" s="9"/>
      <c r="M3490" s="9"/>
      <c r="N3490" s="9"/>
    </row>
    <row r="3491" spans="1:14">
      <c r="A3491" s="9"/>
      <c r="B3491" s="9"/>
      <c r="C3491" s="9"/>
      <c r="D3491" s="9"/>
      <c r="E3491" s="9"/>
      <c r="F3491" s="9"/>
      <c r="G3491" s="9"/>
      <c r="H3491" s="9"/>
      <c r="I3491" s="9"/>
      <c r="J3491" s="9"/>
      <c r="K3491" s="9"/>
      <c r="L3491" s="9"/>
      <c r="M3491" s="9"/>
      <c r="N3491" s="9"/>
    </row>
    <row r="3492" spans="1:14">
      <c r="A3492" s="9"/>
      <c r="B3492" s="9"/>
      <c r="C3492" s="9"/>
      <c r="D3492" s="9"/>
      <c r="E3492" s="9"/>
      <c r="F3492" s="9"/>
      <c r="G3492" s="9"/>
      <c r="H3492" s="9"/>
      <c r="I3492" s="9"/>
      <c r="J3492" s="9"/>
      <c r="K3492" s="9"/>
      <c r="L3492" s="9"/>
      <c r="M3492" s="9"/>
      <c r="N3492" s="9"/>
    </row>
    <row r="3493" spans="1:14">
      <c r="A3493" s="9"/>
      <c r="B3493" s="9"/>
      <c r="C3493" s="9"/>
      <c r="D3493" s="9"/>
      <c r="E3493" s="9"/>
      <c r="F3493" s="9"/>
      <c r="G3493" s="9"/>
      <c r="H3493" s="9"/>
      <c r="I3493" s="9"/>
      <c r="J3493" s="9"/>
      <c r="K3493" s="9"/>
      <c r="L3493" s="9"/>
      <c r="M3493" s="9"/>
      <c r="N3493" s="9"/>
    </row>
    <row r="3494" spans="1:14">
      <c r="A3494" s="9"/>
      <c r="B3494" s="9"/>
      <c r="C3494" s="9"/>
      <c r="D3494" s="9"/>
      <c r="E3494" s="9"/>
      <c r="F3494" s="9"/>
      <c r="G3494" s="9"/>
      <c r="H3494" s="9"/>
      <c r="I3494" s="9"/>
      <c r="J3494" s="9"/>
      <c r="K3494" s="9"/>
      <c r="L3494" s="9"/>
      <c r="M3494" s="9"/>
      <c r="N3494" s="9"/>
    </row>
    <row r="3495" spans="1:14">
      <c r="A3495" s="9"/>
      <c r="B3495" s="9"/>
      <c r="C3495" s="9"/>
      <c r="D3495" s="9"/>
      <c r="E3495" s="9"/>
      <c r="F3495" s="9"/>
      <c r="G3495" s="9"/>
      <c r="H3495" s="9"/>
      <c r="I3495" s="9"/>
      <c r="J3495" s="9"/>
      <c r="K3495" s="9"/>
      <c r="L3495" s="9"/>
      <c r="M3495" s="9"/>
      <c r="N3495" s="9"/>
    </row>
    <row r="3496" spans="1:14">
      <c r="A3496" s="9"/>
      <c r="B3496" s="9"/>
      <c r="C3496" s="9"/>
      <c r="D3496" s="9"/>
      <c r="E3496" s="9"/>
      <c r="F3496" s="9"/>
      <c r="G3496" s="9"/>
      <c r="H3496" s="9"/>
      <c r="I3496" s="9"/>
      <c r="J3496" s="9"/>
      <c r="K3496" s="9"/>
      <c r="L3496" s="9"/>
      <c r="M3496" s="9"/>
      <c r="N3496" s="9"/>
    </row>
    <row r="3497" spans="1:14">
      <c r="A3497" s="9"/>
      <c r="B3497" s="9"/>
      <c r="C3497" s="9"/>
      <c r="D3497" s="9"/>
      <c r="E3497" s="9"/>
      <c r="F3497" s="9"/>
      <c r="G3497" s="9"/>
      <c r="H3497" s="9"/>
      <c r="I3497" s="9"/>
      <c r="J3497" s="9"/>
      <c r="K3497" s="9"/>
      <c r="L3497" s="9"/>
      <c r="M3497" s="9"/>
      <c r="N3497" s="9"/>
    </row>
    <row r="3498" spans="1:14">
      <c r="A3498" s="9"/>
      <c r="B3498" s="9"/>
      <c r="C3498" s="9"/>
      <c r="D3498" s="9"/>
      <c r="E3498" s="9"/>
      <c r="F3498" s="9"/>
      <c r="G3498" s="9"/>
      <c r="H3498" s="9"/>
      <c r="I3498" s="9"/>
      <c r="J3498" s="9"/>
      <c r="K3498" s="9"/>
      <c r="L3498" s="9"/>
      <c r="M3498" s="9"/>
      <c r="N3498" s="9"/>
    </row>
    <row r="3499" spans="1:14">
      <c r="A3499" s="9"/>
      <c r="B3499" s="9"/>
      <c r="C3499" s="9"/>
      <c r="D3499" s="9"/>
      <c r="E3499" s="9"/>
      <c r="F3499" s="9"/>
      <c r="G3499" s="9"/>
      <c r="H3499" s="9"/>
      <c r="I3499" s="9"/>
      <c r="J3499" s="9"/>
      <c r="K3499" s="9"/>
      <c r="L3499" s="9"/>
      <c r="M3499" s="9"/>
      <c r="N3499" s="9"/>
    </row>
    <row r="3500" spans="1:14">
      <c r="A3500" s="9"/>
      <c r="B3500" s="9"/>
      <c r="C3500" s="9"/>
      <c r="D3500" s="9"/>
      <c r="E3500" s="9"/>
      <c r="F3500" s="9"/>
      <c r="G3500" s="9"/>
      <c r="H3500" s="9"/>
      <c r="I3500" s="9"/>
      <c r="J3500" s="9"/>
      <c r="K3500" s="9"/>
      <c r="L3500" s="9"/>
      <c r="M3500" s="9"/>
      <c r="N3500" s="9"/>
    </row>
    <row r="3501" spans="1:14">
      <c r="A3501" s="9"/>
      <c r="B3501" s="9"/>
      <c r="C3501" s="9"/>
      <c r="D3501" s="9"/>
      <c r="E3501" s="9"/>
      <c r="F3501" s="9"/>
      <c r="G3501" s="9"/>
      <c r="H3501" s="9"/>
      <c r="I3501" s="9"/>
      <c r="J3501" s="9"/>
      <c r="K3501" s="9"/>
      <c r="L3501" s="9"/>
      <c r="M3501" s="9"/>
      <c r="N3501" s="9"/>
    </row>
    <row r="3502" spans="1:14">
      <c r="A3502" s="9"/>
      <c r="B3502" s="9"/>
      <c r="C3502" s="9"/>
      <c r="D3502" s="9"/>
      <c r="E3502" s="9"/>
      <c r="F3502" s="9"/>
      <c r="G3502" s="9"/>
      <c r="H3502" s="9"/>
      <c r="I3502" s="9"/>
      <c r="J3502" s="9"/>
      <c r="K3502" s="9"/>
      <c r="L3502" s="9"/>
      <c r="M3502" s="9"/>
      <c r="N3502" s="9"/>
    </row>
    <row r="3503" spans="1:14">
      <c r="A3503" s="9"/>
      <c r="B3503" s="9"/>
      <c r="C3503" s="9"/>
      <c r="D3503" s="9"/>
      <c r="E3503" s="9"/>
      <c r="F3503" s="9"/>
      <c r="G3503" s="9"/>
      <c r="H3503" s="9"/>
      <c r="I3503" s="9"/>
      <c r="J3503" s="9"/>
      <c r="K3503" s="9"/>
      <c r="L3503" s="9"/>
      <c r="M3503" s="9"/>
      <c r="N3503" s="9"/>
    </row>
    <row r="3504" spans="1:14">
      <c r="A3504" s="9"/>
      <c r="B3504" s="9"/>
      <c r="C3504" s="9"/>
      <c r="D3504" s="9"/>
      <c r="E3504" s="9"/>
      <c r="F3504" s="9"/>
      <c r="G3504" s="9"/>
      <c r="H3504" s="9"/>
      <c r="I3504" s="9"/>
      <c r="J3504" s="9"/>
      <c r="K3504" s="9"/>
      <c r="L3504" s="9"/>
      <c r="M3504" s="9"/>
      <c r="N3504" s="9"/>
    </row>
    <row r="3505" spans="1:14">
      <c r="A3505" s="9"/>
      <c r="B3505" s="9"/>
      <c r="C3505" s="9"/>
      <c r="D3505" s="9"/>
      <c r="E3505" s="9"/>
      <c r="F3505" s="9"/>
      <c r="G3505" s="9"/>
      <c r="H3505" s="9"/>
      <c r="I3505" s="9"/>
      <c r="J3505" s="9"/>
      <c r="K3505" s="9"/>
      <c r="L3505" s="9"/>
      <c r="M3505" s="9"/>
      <c r="N3505" s="9"/>
    </row>
    <row r="3506" spans="1:14">
      <c r="A3506" s="9"/>
      <c r="B3506" s="9"/>
      <c r="C3506" s="9"/>
      <c r="D3506" s="9"/>
      <c r="E3506" s="9"/>
      <c r="F3506" s="9"/>
      <c r="G3506" s="9"/>
      <c r="H3506" s="9"/>
      <c r="I3506" s="9"/>
      <c r="J3506" s="9"/>
      <c r="K3506" s="9"/>
      <c r="L3506" s="9"/>
      <c r="M3506" s="9"/>
      <c r="N3506" s="9"/>
    </row>
    <row r="3507" spans="1:14">
      <c r="A3507" s="9"/>
      <c r="B3507" s="9"/>
      <c r="C3507" s="9"/>
      <c r="D3507" s="9"/>
      <c r="E3507" s="9"/>
      <c r="F3507" s="9"/>
      <c r="G3507" s="9"/>
      <c r="H3507" s="9"/>
      <c r="I3507" s="9"/>
      <c r="J3507" s="9"/>
      <c r="K3507" s="9"/>
      <c r="L3507" s="9"/>
      <c r="M3507" s="9"/>
      <c r="N3507" s="9"/>
    </row>
    <row r="3508" spans="1:14">
      <c r="A3508" s="9"/>
      <c r="B3508" s="9"/>
      <c r="C3508" s="9"/>
      <c r="D3508" s="9"/>
      <c r="E3508" s="9"/>
      <c r="F3508" s="9"/>
      <c r="G3508" s="9"/>
      <c r="H3508" s="9"/>
      <c r="I3508" s="9"/>
      <c r="J3508" s="9"/>
      <c r="K3508" s="9"/>
      <c r="L3508" s="9"/>
      <c r="M3508" s="9"/>
      <c r="N3508" s="9"/>
    </row>
    <row r="3509" spans="1:14">
      <c r="A3509" s="9"/>
      <c r="B3509" s="9"/>
      <c r="C3509" s="9"/>
      <c r="D3509" s="9"/>
      <c r="E3509" s="9"/>
      <c r="F3509" s="9"/>
      <c r="G3509" s="9"/>
      <c r="H3509" s="9"/>
      <c r="I3509" s="9"/>
      <c r="J3509" s="9"/>
      <c r="K3509" s="9"/>
      <c r="L3509" s="9"/>
      <c r="M3509" s="9"/>
      <c r="N3509" s="9"/>
    </row>
    <row r="3510" spans="1:14">
      <c r="A3510" s="9"/>
      <c r="B3510" s="9"/>
      <c r="C3510" s="9"/>
      <c r="D3510" s="9"/>
      <c r="E3510" s="9"/>
      <c r="F3510" s="9"/>
      <c r="G3510" s="9"/>
      <c r="H3510" s="9"/>
      <c r="I3510" s="9"/>
      <c r="J3510" s="9"/>
      <c r="K3510" s="9"/>
      <c r="L3510" s="9"/>
      <c r="M3510" s="9"/>
      <c r="N3510" s="9"/>
    </row>
    <row r="3511" spans="1:14">
      <c r="A3511" s="9"/>
      <c r="B3511" s="9"/>
      <c r="C3511" s="9"/>
      <c r="D3511" s="9"/>
      <c r="E3511" s="9"/>
      <c r="F3511" s="9"/>
      <c r="G3511" s="9"/>
      <c r="H3511" s="9"/>
      <c r="I3511" s="9"/>
      <c r="J3511" s="9"/>
      <c r="K3511" s="9"/>
      <c r="L3511" s="9"/>
      <c r="M3511" s="9"/>
      <c r="N3511" s="9"/>
    </row>
    <row r="3512" spans="1:14">
      <c r="A3512" s="9"/>
      <c r="B3512" s="9"/>
      <c r="C3512" s="9"/>
      <c r="D3512" s="9"/>
      <c r="E3512" s="9"/>
      <c r="F3512" s="9"/>
      <c r="G3512" s="9"/>
      <c r="H3512" s="9"/>
      <c r="I3512" s="9"/>
      <c r="J3512" s="9"/>
      <c r="K3512" s="9"/>
      <c r="L3512" s="9"/>
      <c r="M3512" s="9"/>
      <c r="N3512" s="9"/>
    </row>
    <row r="3513" spans="1:14">
      <c r="A3513" s="9"/>
      <c r="B3513" s="9"/>
      <c r="C3513" s="9"/>
      <c r="D3513" s="9"/>
      <c r="E3513" s="9"/>
      <c r="F3513" s="9"/>
      <c r="G3513" s="9"/>
      <c r="H3513" s="9"/>
      <c r="I3513" s="9"/>
      <c r="J3513" s="9"/>
      <c r="K3513" s="9"/>
      <c r="L3513" s="9"/>
      <c r="M3513" s="9"/>
      <c r="N3513" s="9"/>
    </row>
    <row r="3514" spans="1:14">
      <c r="A3514" s="9"/>
      <c r="B3514" s="9"/>
      <c r="C3514" s="9"/>
      <c r="D3514" s="9"/>
      <c r="E3514" s="9"/>
      <c r="F3514" s="9"/>
      <c r="G3514" s="9"/>
      <c r="H3514" s="9"/>
      <c r="I3514" s="9"/>
      <c r="J3514" s="9"/>
      <c r="K3514" s="9"/>
      <c r="L3514" s="9"/>
      <c r="M3514" s="9"/>
      <c r="N3514" s="9"/>
    </row>
    <row r="3515" spans="1:14">
      <c r="A3515" s="9"/>
      <c r="B3515" s="9"/>
      <c r="C3515" s="9"/>
      <c r="D3515" s="9"/>
      <c r="E3515" s="9"/>
      <c r="F3515" s="9"/>
      <c r="G3515" s="9"/>
      <c r="H3515" s="9"/>
      <c r="I3515" s="9"/>
      <c r="J3515" s="9"/>
      <c r="K3515" s="9"/>
      <c r="L3515" s="9"/>
      <c r="M3515" s="9"/>
      <c r="N3515" s="9"/>
    </row>
    <row r="3516" spans="1:14">
      <c r="A3516" s="9"/>
      <c r="B3516" s="9"/>
      <c r="C3516" s="9"/>
      <c r="D3516" s="9"/>
      <c r="E3516" s="9"/>
      <c r="F3516" s="9"/>
      <c r="G3516" s="9"/>
      <c r="H3516" s="9"/>
      <c r="I3516" s="9"/>
      <c r="J3516" s="9"/>
      <c r="K3516" s="9"/>
      <c r="L3516" s="9"/>
      <c r="M3516" s="9"/>
      <c r="N3516" s="9"/>
    </row>
    <row r="3517" spans="1:14">
      <c r="A3517" s="9"/>
      <c r="B3517" s="9"/>
      <c r="C3517" s="9"/>
      <c r="D3517" s="9"/>
      <c r="E3517" s="9"/>
      <c r="F3517" s="9"/>
      <c r="G3517" s="9"/>
      <c r="H3517" s="9"/>
      <c r="I3517" s="9"/>
      <c r="J3517" s="9"/>
      <c r="K3517" s="9"/>
      <c r="L3517" s="9"/>
      <c r="M3517" s="9"/>
      <c r="N3517" s="9"/>
    </row>
    <row r="3518" spans="1:14">
      <c r="A3518" s="9"/>
      <c r="B3518" s="9"/>
      <c r="C3518" s="9"/>
      <c r="D3518" s="9"/>
      <c r="E3518" s="9"/>
      <c r="F3518" s="9"/>
      <c r="G3518" s="9"/>
      <c r="H3518" s="9"/>
      <c r="I3518" s="9"/>
      <c r="J3518" s="9"/>
      <c r="K3518" s="9"/>
      <c r="L3518" s="9"/>
      <c r="M3518" s="9"/>
      <c r="N3518" s="9"/>
    </row>
    <row r="3519" spans="1:14">
      <c r="A3519" s="9"/>
      <c r="B3519" s="9"/>
      <c r="C3519" s="9"/>
      <c r="D3519" s="9"/>
      <c r="E3519" s="9"/>
      <c r="F3519" s="9"/>
      <c r="G3519" s="9"/>
      <c r="H3519" s="9"/>
      <c r="I3519" s="9"/>
      <c r="J3519" s="9"/>
      <c r="K3519" s="9"/>
      <c r="L3519" s="9"/>
      <c r="M3519" s="9"/>
      <c r="N3519" s="9"/>
    </row>
    <row r="3520" spans="1:14">
      <c r="A3520" s="9"/>
      <c r="B3520" s="9"/>
      <c r="C3520" s="9"/>
      <c r="D3520" s="9"/>
      <c r="E3520" s="9"/>
      <c r="F3520" s="9"/>
      <c r="G3520" s="9"/>
      <c r="H3520" s="9"/>
      <c r="I3520" s="9"/>
      <c r="J3520" s="9"/>
      <c r="K3520" s="9"/>
      <c r="L3520" s="9"/>
      <c r="M3520" s="9"/>
      <c r="N3520" s="9"/>
    </row>
    <row r="3521" spans="1:14">
      <c r="A3521" s="9"/>
      <c r="B3521" s="9"/>
      <c r="C3521" s="9"/>
      <c r="D3521" s="9"/>
      <c r="E3521" s="9"/>
      <c r="F3521" s="9"/>
      <c r="G3521" s="9"/>
      <c r="H3521" s="9"/>
      <c r="I3521" s="9"/>
      <c r="J3521" s="9"/>
      <c r="K3521" s="9"/>
      <c r="L3521" s="9"/>
      <c r="M3521" s="9"/>
      <c r="N3521" s="9"/>
    </row>
    <row r="3522" spans="1:14">
      <c r="A3522" s="9"/>
      <c r="B3522" s="9"/>
      <c r="C3522" s="9"/>
      <c r="D3522" s="9"/>
      <c r="E3522" s="9"/>
      <c r="F3522" s="9"/>
      <c r="G3522" s="9"/>
      <c r="H3522" s="9"/>
      <c r="I3522" s="9"/>
      <c r="J3522" s="9"/>
      <c r="K3522" s="9"/>
      <c r="L3522" s="9"/>
      <c r="M3522" s="9"/>
      <c r="N3522" s="9"/>
    </row>
    <row r="3523" spans="1:14">
      <c r="A3523" s="9"/>
      <c r="B3523" s="9"/>
      <c r="C3523" s="9"/>
      <c r="D3523" s="9"/>
      <c r="E3523" s="9"/>
      <c r="F3523" s="9"/>
      <c r="G3523" s="9"/>
      <c r="H3523" s="9"/>
      <c r="I3523" s="9"/>
      <c r="J3523" s="9"/>
      <c r="K3523" s="9"/>
      <c r="L3523" s="9"/>
      <c r="M3523" s="9"/>
      <c r="N3523" s="9"/>
    </row>
    <row r="3524" spans="1:14">
      <c r="A3524" s="9"/>
      <c r="B3524" s="9"/>
      <c r="C3524" s="9"/>
      <c r="D3524" s="9"/>
      <c r="E3524" s="9"/>
      <c r="F3524" s="9"/>
      <c r="G3524" s="9"/>
      <c r="H3524" s="9"/>
      <c r="I3524" s="9"/>
      <c r="J3524" s="9"/>
      <c r="K3524" s="9"/>
      <c r="L3524" s="9"/>
      <c r="M3524" s="9"/>
      <c r="N3524" s="9"/>
    </row>
    <row r="3525" spans="1:14">
      <c r="A3525" s="9"/>
      <c r="B3525" s="9"/>
      <c r="C3525" s="9"/>
      <c r="D3525" s="9"/>
      <c r="E3525" s="9"/>
      <c r="F3525" s="9"/>
      <c r="G3525" s="9"/>
      <c r="H3525" s="9"/>
      <c r="I3525" s="9"/>
      <c r="J3525" s="9"/>
      <c r="K3525" s="9"/>
      <c r="L3525" s="9"/>
      <c r="M3525" s="9"/>
      <c r="N3525" s="9"/>
    </row>
    <row r="3526" spans="1:14">
      <c r="A3526" s="9"/>
      <c r="B3526" s="9"/>
      <c r="C3526" s="9"/>
      <c r="D3526" s="9"/>
      <c r="E3526" s="9"/>
      <c r="F3526" s="9"/>
      <c r="G3526" s="9"/>
      <c r="H3526" s="9"/>
      <c r="I3526" s="9"/>
      <c r="J3526" s="9"/>
      <c r="K3526" s="9"/>
      <c r="L3526" s="9"/>
      <c r="M3526" s="9"/>
      <c r="N3526" s="9"/>
    </row>
    <row r="3527" spans="1:14">
      <c r="A3527" s="9"/>
      <c r="B3527" s="9"/>
      <c r="C3527" s="9"/>
      <c r="D3527" s="9"/>
      <c r="E3527" s="9"/>
      <c r="F3527" s="9"/>
      <c r="G3527" s="9"/>
      <c r="H3527" s="9"/>
      <c r="I3527" s="9"/>
      <c r="J3527" s="9"/>
      <c r="K3527" s="9"/>
      <c r="L3527" s="9"/>
      <c r="M3527" s="9"/>
      <c r="N3527" s="9"/>
    </row>
    <row r="3528" spans="1:14">
      <c r="A3528" s="9"/>
      <c r="B3528" s="9"/>
      <c r="C3528" s="9"/>
      <c r="D3528" s="9"/>
      <c r="E3528" s="9"/>
      <c r="F3528" s="9"/>
      <c r="G3528" s="9"/>
      <c r="H3528" s="9"/>
      <c r="I3528" s="9"/>
      <c r="J3528" s="9"/>
      <c r="K3528" s="9"/>
      <c r="L3528" s="9"/>
      <c r="M3528" s="9"/>
      <c r="N3528" s="9"/>
    </row>
    <row r="3529" spans="1:14">
      <c r="A3529" s="9"/>
      <c r="B3529" s="9"/>
      <c r="C3529" s="9"/>
      <c r="D3529" s="9"/>
      <c r="E3529" s="9"/>
      <c r="F3529" s="9"/>
      <c r="G3529" s="9"/>
      <c r="H3529" s="9"/>
      <c r="I3529" s="9"/>
      <c r="J3529" s="9"/>
      <c r="K3529" s="9"/>
      <c r="L3529" s="9"/>
      <c r="M3529" s="9"/>
      <c r="N3529" s="9"/>
    </row>
    <row r="3530" spans="1:14">
      <c r="A3530" s="9"/>
      <c r="B3530" s="9"/>
      <c r="C3530" s="9"/>
      <c r="D3530" s="9"/>
      <c r="E3530" s="9"/>
      <c r="F3530" s="9"/>
      <c r="G3530" s="9"/>
      <c r="H3530" s="9"/>
      <c r="I3530" s="9"/>
      <c r="J3530" s="9"/>
      <c r="K3530" s="9"/>
      <c r="L3530" s="9"/>
      <c r="M3530" s="9"/>
      <c r="N3530" s="9"/>
    </row>
    <row r="3531" spans="1:14">
      <c r="A3531" s="9"/>
      <c r="B3531" s="9"/>
      <c r="C3531" s="9"/>
      <c r="D3531" s="9"/>
      <c r="E3531" s="9"/>
      <c r="F3531" s="9"/>
      <c r="G3531" s="9"/>
      <c r="H3531" s="9"/>
      <c r="I3531" s="9"/>
      <c r="J3531" s="9"/>
      <c r="K3531" s="9"/>
      <c r="L3531" s="9"/>
      <c r="M3531" s="9"/>
      <c r="N3531" s="9"/>
    </row>
    <row r="3532" spans="1:14">
      <c r="A3532" s="9"/>
      <c r="B3532" s="9"/>
      <c r="C3532" s="9"/>
      <c r="D3532" s="9"/>
      <c r="E3532" s="9"/>
      <c r="F3532" s="9"/>
      <c r="G3532" s="9"/>
      <c r="H3532" s="9"/>
      <c r="I3532" s="9"/>
      <c r="J3532" s="9"/>
      <c r="K3532" s="9"/>
      <c r="L3532" s="9"/>
      <c r="M3532" s="9"/>
      <c r="N3532" s="9"/>
    </row>
    <row r="3533" spans="1:14">
      <c r="A3533" s="9"/>
      <c r="B3533" s="9"/>
      <c r="C3533" s="9"/>
      <c r="D3533" s="9"/>
      <c r="E3533" s="9"/>
      <c r="F3533" s="9"/>
      <c r="G3533" s="9"/>
      <c r="H3533" s="9"/>
      <c r="I3533" s="9"/>
      <c r="J3533" s="9"/>
      <c r="K3533" s="9"/>
      <c r="L3533" s="9"/>
      <c r="M3533" s="9"/>
      <c r="N3533" s="9"/>
    </row>
    <row r="3534" spans="1:14">
      <c r="A3534" s="9"/>
      <c r="B3534" s="9"/>
      <c r="C3534" s="9"/>
      <c r="D3534" s="9"/>
      <c r="E3534" s="9"/>
      <c r="F3534" s="9"/>
      <c r="G3534" s="9"/>
      <c r="H3534" s="9"/>
      <c r="I3534" s="9"/>
      <c r="J3534" s="9"/>
      <c r="K3534" s="9"/>
      <c r="L3534" s="9"/>
      <c r="M3534" s="9"/>
      <c r="N3534" s="9"/>
    </row>
    <row r="3535" spans="1:14">
      <c r="A3535" s="9"/>
      <c r="B3535" s="9"/>
      <c r="C3535" s="9"/>
      <c r="D3535" s="9"/>
      <c r="E3535" s="9"/>
      <c r="F3535" s="9"/>
      <c r="G3535" s="9"/>
      <c r="H3535" s="9"/>
      <c r="I3535" s="9"/>
      <c r="J3535" s="9"/>
      <c r="K3535" s="9"/>
      <c r="L3535" s="9"/>
      <c r="M3535" s="9"/>
      <c r="N3535" s="9"/>
    </row>
    <row r="3536" spans="1:14">
      <c r="A3536" s="9"/>
      <c r="B3536" s="9"/>
      <c r="C3536" s="9"/>
      <c r="D3536" s="9"/>
      <c r="E3536" s="9"/>
      <c r="F3536" s="9"/>
      <c r="G3536" s="9"/>
      <c r="H3536" s="9"/>
      <c r="I3536" s="9"/>
      <c r="J3536" s="9"/>
      <c r="K3536" s="9"/>
      <c r="L3536" s="9"/>
      <c r="M3536" s="9"/>
      <c r="N3536" s="9"/>
    </row>
    <row r="3537" spans="1:14">
      <c r="A3537" s="9"/>
      <c r="B3537" s="9"/>
      <c r="C3537" s="9"/>
      <c r="D3537" s="9"/>
      <c r="E3537" s="9"/>
      <c r="F3537" s="9"/>
      <c r="G3537" s="9"/>
      <c r="H3537" s="9"/>
      <c r="I3537" s="9"/>
      <c r="J3537" s="9"/>
      <c r="K3537" s="9"/>
      <c r="L3537" s="9"/>
      <c r="M3537" s="9"/>
      <c r="N3537" s="9"/>
    </row>
    <row r="3538" spans="1:14">
      <c r="A3538" s="9"/>
      <c r="B3538" s="9"/>
      <c r="C3538" s="9"/>
      <c r="D3538" s="9"/>
      <c r="E3538" s="9"/>
      <c r="F3538" s="9"/>
      <c r="G3538" s="9"/>
      <c r="H3538" s="9"/>
      <c r="I3538" s="9"/>
      <c r="J3538" s="9"/>
      <c r="K3538" s="9"/>
      <c r="L3538" s="9"/>
      <c r="M3538" s="9"/>
      <c r="N3538" s="9"/>
    </row>
    <row r="3539" spans="1:14">
      <c r="A3539" s="9"/>
      <c r="B3539" s="9"/>
      <c r="C3539" s="9"/>
      <c r="D3539" s="9"/>
      <c r="E3539" s="9"/>
      <c r="F3539" s="9"/>
      <c r="G3539" s="9"/>
      <c r="H3539" s="9"/>
      <c r="I3539" s="9"/>
      <c r="J3539" s="9"/>
      <c r="K3539" s="9"/>
      <c r="L3539" s="9"/>
      <c r="M3539" s="9"/>
      <c r="N3539" s="9"/>
    </row>
    <row r="3540" spans="1:14">
      <c r="A3540" s="9"/>
      <c r="B3540" s="9"/>
      <c r="C3540" s="9"/>
      <c r="D3540" s="9"/>
      <c r="E3540" s="9"/>
      <c r="F3540" s="9"/>
      <c r="G3540" s="9"/>
      <c r="H3540" s="9"/>
      <c r="I3540" s="9"/>
      <c r="J3540" s="9"/>
      <c r="K3540" s="9"/>
      <c r="L3540" s="9"/>
      <c r="M3540" s="9"/>
      <c r="N3540" s="9"/>
    </row>
    <row r="3541" spans="1:14">
      <c r="A3541" s="9"/>
      <c r="B3541" s="9"/>
      <c r="C3541" s="9"/>
      <c r="D3541" s="9"/>
      <c r="E3541" s="9"/>
      <c r="F3541" s="9"/>
      <c r="G3541" s="9"/>
      <c r="H3541" s="9"/>
      <c r="I3541" s="9"/>
      <c r="J3541" s="9"/>
      <c r="K3541" s="9"/>
      <c r="L3541" s="9"/>
      <c r="M3541" s="9"/>
      <c r="N3541" s="9"/>
    </row>
    <row r="3542" spans="1:14">
      <c r="A3542" s="9"/>
      <c r="B3542" s="9"/>
      <c r="C3542" s="9"/>
      <c r="D3542" s="9"/>
      <c r="E3542" s="9"/>
      <c r="F3542" s="9"/>
      <c r="G3542" s="9"/>
      <c r="H3542" s="9"/>
      <c r="I3542" s="9"/>
      <c r="J3542" s="9"/>
      <c r="K3542" s="9"/>
      <c r="L3542" s="9"/>
      <c r="M3542" s="9"/>
      <c r="N3542" s="9"/>
    </row>
    <row r="3543" spans="1:14">
      <c r="A3543" s="9"/>
      <c r="B3543" s="9"/>
      <c r="C3543" s="9"/>
      <c r="D3543" s="9"/>
      <c r="E3543" s="9"/>
      <c r="F3543" s="9"/>
      <c r="G3543" s="9"/>
      <c r="H3543" s="9"/>
      <c r="I3543" s="9"/>
      <c r="J3543" s="9"/>
      <c r="K3543" s="9"/>
      <c r="L3543" s="9"/>
      <c r="M3543" s="9"/>
      <c r="N3543" s="9"/>
    </row>
    <row r="3544" spans="1:14">
      <c r="A3544" s="9"/>
      <c r="B3544" s="9"/>
      <c r="C3544" s="9"/>
      <c r="D3544" s="9"/>
      <c r="E3544" s="9"/>
      <c r="F3544" s="9"/>
      <c r="G3544" s="9"/>
      <c r="H3544" s="9"/>
      <c r="I3544" s="9"/>
      <c r="J3544" s="9"/>
      <c r="K3544" s="9"/>
      <c r="L3544" s="9"/>
      <c r="M3544" s="9"/>
      <c r="N3544" s="9"/>
    </row>
    <row r="3545" spans="1:14">
      <c r="A3545" s="9"/>
      <c r="B3545" s="9"/>
      <c r="C3545" s="9"/>
      <c r="D3545" s="9"/>
      <c r="E3545" s="9"/>
      <c r="F3545" s="9"/>
      <c r="G3545" s="9"/>
      <c r="H3545" s="9"/>
      <c r="I3545" s="9"/>
      <c r="J3545" s="9"/>
      <c r="K3545" s="9"/>
      <c r="L3545" s="9"/>
      <c r="M3545" s="9"/>
      <c r="N3545" s="9"/>
    </row>
    <row r="3546" spans="1:14">
      <c r="A3546" s="9"/>
      <c r="B3546" s="9"/>
      <c r="C3546" s="9"/>
      <c r="D3546" s="9"/>
      <c r="E3546" s="9"/>
      <c r="F3546" s="9"/>
      <c r="G3546" s="9"/>
      <c r="H3546" s="9"/>
      <c r="I3546" s="9"/>
      <c r="J3546" s="9"/>
      <c r="K3546" s="9"/>
      <c r="L3546" s="9"/>
      <c r="M3546" s="9"/>
      <c r="N3546" s="9"/>
    </row>
    <row r="3547" spans="1:14">
      <c r="A3547" s="9"/>
      <c r="B3547" s="9"/>
      <c r="C3547" s="9"/>
      <c r="D3547" s="9"/>
      <c r="E3547" s="9"/>
      <c r="F3547" s="9"/>
      <c r="G3547" s="9"/>
      <c r="H3547" s="9"/>
      <c r="I3547" s="9"/>
      <c r="J3547" s="9"/>
      <c r="K3547" s="9"/>
      <c r="L3547" s="9"/>
      <c r="M3547" s="9"/>
      <c r="N3547" s="9"/>
    </row>
    <row r="3548" spans="1:14">
      <c r="A3548" s="9"/>
      <c r="B3548" s="9"/>
      <c r="C3548" s="9"/>
      <c r="D3548" s="9"/>
      <c r="E3548" s="9"/>
      <c r="F3548" s="9"/>
      <c r="G3548" s="9"/>
      <c r="H3548" s="9"/>
      <c r="I3548" s="9"/>
      <c r="J3548" s="9"/>
      <c r="K3548" s="9"/>
      <c r="L3548" s="9"/>
      <c r="M3548" s="9"/>
      <c r="N3548" s="9"/>
    </row>
    <row r="3549" spans="1:14">
      <c r="A3549" s="9"/>
      <c r="B3549" s="9"/>
      <c r="C3549" s="9"/>
      <c r="D3549" s="9"/>
      <c r="E3549" s="9"/>
      <c r="F3549" s="9"/>
      <c r="G3549" s="9"/>
      <c r="H3549" s="9"/>
      <c r="I3549" s="9"/>
      <c r="J3549" s="9"/>
      <c r="K3549" s="9"/>
      <c r="L3549" s="9"/>
      <c r="M3549" s="9"/>
      <c r="N3549" s="9"/>
    </row>
    <row r="3550" spans="1:14">
      <c r="A3550" s="9"/>
      <c r="B3550" s="9"/>
      <c r="C3550" s="9"/>
      <c r="D3550" s="9"/>
      <c r="E3550" s="9"/>
      <c r="F3550" s="9"/>
      <c r="G3550" s="9"/>
      <c r="H3550" s="9"/>
      <c r="I3550" s="9"/>
      <c r="J3550" s="9"/>
      <c r="K3550" s="9"/>
      <c r="L3550" s="9"/>
      <c r="M3550" s="9"/>
      <c r="N3550" s="9"/>
    </row>
    <row r="3551" spans="1:14">
      <c r="A3551" s="9"/>
      <c r="B3551" s="9"/>
      <c r="C3551" s="9"/>
      <c r="D3551" s="9"/>
      <c r="E3551" s="9"/>
      <c r="F3551" s="9"/>
      <c r="G3551" s="9"/>
      <c r="H3551" s="9"/>
      <c r="I3551" s="9"/>
      <c r="J3551" s="9"/>
      <c r="K3551" s="9"/>
      <c r="L3551" s="9"/>
      <c r="M3551" s="9"/>
      <c r="N3551" s="9"/>
    </row>
    <row r="3552" spans="1:14">
      <c r="A3552" s="9"/>
      <c r="B3552" s="9"/>
      <c r="C3552" s="9"/>
      <c r="D3552" s="9"/>
      <c r="E3552" s="9"/>
      <c r="F3552" s="9"/>
      <c r="G3552" s="9"/>
      <c r="H3552" s="9"/>
      <c r="I3552" s="9"/>
      <c r="J3552" s="9"/>
      <c r="K3552" s="9"/>
      <c r="L3552" s="9"/>
      <c r="M3552" s="9"/>
      <c r="N3552" s="9"/>
    </row>
    <row r="3553" spans="1:14">
      <c r="A3553" s="9"/>
      <c r="B3553" s="9"/>
      <c r="C3553" s="9"/>
      <c r="D3553" s="9"/>
      <c r="E3553" s="9"/>
      <c r="F3553" s="9"/>
      <c r="G3553" s="9"/>
      <c r="H3553" s="9"/>
      <c r="I3553" s="9"/>
      <c r="J3553" s="9"/>
      <c r="K3553" s="9"/>
      <c r="L3553" s="9"/>
      <c r="M3553" s="9"/>
      <c r="N3553" s="9"/>
    </row>
    <row r="3554" spans="1:14">
      <c r="A3554" s="9"/>
      <c r="B3554" s="9"/>
      <c r="C3554" s="9"/>
      <c r="D3554" s="9"/>
      <c r="E3554" s="9"/>
      <c r="F3554" s="9"/>
      <c r="G3554" s="9"/>
      <c r="H3554" s="9"/>
      <c r="I3554" s="9"/>
      <c r="J3554" s="9"/>
      <c r="K3554" s="9"/>
      <c r="L3554" s="9"/>
      <c r="M3554" s="9"/>
      <c r="N3554" s="9"/>
    </row>
    <row r="3555" spans="1:14">
      <c r="A3555" s="9"/>
      <c r="B3555" s="9"/>
      <c r="C3555" s="9"/>
      <c r="D3555" s="9"/>
      <c r="E3555" s="9"/>
      <c r="F3555" s="9"/>
      <c r="G3555" s="9"/>
      <c r="H3555" s="9"/>
      <c r="I3555" s="9"/>
      <c r="J3555" s="9"/>
      <c r="K3555" s="9"/>
      <c r="L3555" s="9"/>
      <c r="M3555" s="9"/>
      <c r="N3555" s="9"/>
    </row>
    <row r="3556" spans="1:14">
      <c r="A3556" s="9"/>
      <c r="B3556" s="9"/>
      <c r="C3556" s="9"/>
      <c r="D3556" s="9"/>
      <c r="E3556" s="9"/>
      <c r="F3556" s="9"/>
      <c r="G3556" s="9"/>
      <c r="H3556" s="9"/>
      <c r="I3556" s="9"/>
      <c r="J3556" s="9"/>
      <c r="K3556" s="9"/>
      <c r="L3556" s="9"/>
      <c r="M3556" s="9"/>
      <c r="N3556" s="9"/>
    </row>
    <row r="3557" spans="1:14">
      <c r="A3557" s="9"/>
      <c r="B3557" s="9"/>
      <c r="C3557" s="9"/>
      <c r="D3557" s="9"/>
      <c r="E3557" s="9"/>
      <c r="F3557" s="9"/>
      <c r="G3557" s="9"/>
      <c r="H3557" s="9"/>
      <c r="I3557" s="9"/>
      <c r="J3557" s="9"/>
      <c r="K3557" s="9"/>
      <c r="L3557" s="9"/>
      <c r="M3557" s="9"/>
      <c r="N3557" s="9"/>
    </row>
    <row r="3558" spans="1:14">
      <c r="A3558" s="9"/>
      <c r="B3558" s="9"/>
      <c r="C3558" s="9"/>
      <c r="D3558" s="9"/>
      <c r="E3558" s="9"/>
      <c r="F3558" s="9"/>
      <c r="G3558" s="9"/>
      <c r="H3558" s="9"/>
      <c r="I3558" s="9"/>
      <c r="J3558" s="9"/>
      <c r="K3558" s="9"/>
      <c r="L3558" s="9"/>
      <c r="M3558" s="9"/>
      <c r="N3558" s="9"/>
    </row>
    <row r="3559" spans="1:14">
      <c r="A3559" s="9"/>
      <c r="B3559" s="9"/>
      <c r="C3559" s="9"/>
      <c r="D3559" s="9"/>
      <c r="E3559" s="9"/>
      <c r="F3559" s="9"/>
      <c r="G3559" s="9"/>
      <c r="H3559" s="9"/>
      <c r="I3559" s="9"/>
      <c r="J3559" s="9"/>
      <c r="K3559" s="9"/>
      <c r="L3559" s="9"/>
      <c r="M3559" s="9"/>
      <c r="N3559" s="9"/>
    </row>
    <row r="3560" spans="1:14">
      <c r="A3560" s="9"/>
      <c r="B3560" s="9"/>
      <c r="C3560" s="9"/>
      <c r="D3560" s="9"/>
      <c r="E3560" s="9"/>
      <c r="F3560" s="9"/>
      <c r="G3560" s="9"/>
      <c r="H3560" s="9"/>
      <c r="I3560" s="9"/>
      <c r="J3560" s="9"/>
      <c r="K3560" s="9"/>
      <c r="L3560" s="9"/>
      <c r="M3560" s="9"/>
      <c r="N3560" s="9"/>
    </row>
    <row r="3561" spans="1:14">
      <c r="A3561" s="9"/>
      <c r="B3561" s="9"/>
      <c r="C3561" s="9"/>
      <c r="D3561" s="9"/>
      <c r="E3561" s="9"/>
      <c r="F3561" s="9"/>
      <c r="G3561" s="9"/>
      <c r="H3561" s="9"/>
      <c r="I3561" s="9"/>
      <c r="J3561" s="9"/>
      <c r="K3561" s="9"/>
      <c r="L3561" s="9"/>
      <c r="M3561" s="9"/>
      <c r="N3561" s="9"/>
    </row>
    <row r="3562" spans="1:14">
      <c r="A3562" s="9"/>
      <c r="B3562" s="9"/>
      <c r="C3562" s="9"/>
      <c r="D3562" s="9"/>
      <c r="E3562" s="9"/>
      <c r="F3562" s="9"/>
      <c r="G3562" s="9"/>
      <c r="H3562" s="9"/>
      <c r="I3562" s="9"/>
      <c r="J3562" s="9"/>
      <c r="K3562" s="9"/>
      <c r="L3562" s="9"/>
      <c r="M3562" s="9"/>
      <c r="N3562" s="9"/>
    </row>
    <row r="3563" spans="1:14">
      <c r="A3563" s="9"/>
      <c r="B3563" s="9"/>
      <c r="C3563" s="9"/>
      <c r="D3563" s="9"/>
      <c r="E3563" s="9"/>
      <c r="F3563" s="9"/>
      <c r="G3563" s="9"/>
      <c r="H3563" s="9"/>
      <c r="I3563" s="9"/>
      <c r="J3563" s="9"/>
      <c r="K3563" s="9"/>
      <c r="L3563" s="9"/>
      <c r="M3563" s="9"/>
      <c r="N3563" s="9"/>
    </row>
    <row r="3564" spans="1:14">
      <c r="A3564" s="9"/>
      <c r="B3564" s="9"/>
      <c r="C3564" s="9"/>
      <c r="D3564" s="9"/>
      <c r="E3564" s="9"/>
      <c r="F3564" s="9"/>
      <c r="G3564" s="9"/>
      <c r="H3564" s="9"/>
      <c r="I3564" s="9"/>
      <c r="J3564" s="9"/>
      <c r="K3564" s="9"/>
      <c r="L3564" s="9"/>
      <c r="M3564" s="9"/>
      <c r="N3564" s="9"/>
    </row>
    <row r="3565" spans="1:14">
      <c r="A3565" s="9"/>
      <c r="B3565" s="9"/>
      <c r="C3565" s="9"/>
      <c r="D3565" s="9"/>
      <c r="E3565" s="9"/>
      <c r="F3565" s="9"/>
      <c r="G3565" s="9"/>
      <c r="H3565" s="9"/>
      <c r="I3565" s="9"/>
      <c r="J3565" s="9"/>
      <c r="K3565" s="9"/>
      <c r="L3565" s="9"/>
      <c r="M3565" s="9"/>
      <c r="N3565" s="9"/>
    </row>
    <row r="3566" spans="1:14">
      <c r="A3566" s="9"/>
      <c r="B3566" s="9"/>
      <c r="C3566" s="9"/>
      <c r="D3566" s="9"/>
      <c r="E3566" s="9"/>
      <c r="F3566" s="9"/>
      <c r="G3566" s="9"/>
      <c r="H3566" s="9"/>
      <c r="I3566" s="9"/>
      <c r="J3566" s="9"/>
      <c r="K3566" s="9"/>
      <c r="L3566" s="9"/>
      <c r="M3566" s="9"/>
      <c r="N3566" s="9"/>
    </row>
    <row r="3567" spans="1:14">
      <c r="A3567" s="9"/>
      <c r="B3567" s="9"/>
      <c r="C3567" s="9"/>
      <c r="D3567" s="9"/>
      <c r="E3567" s="9"/>
      <c r="F3567" s="9"/>
      <c r="G3567" s="9"/>
      <c r="H3567" s="9"/>
      <c r="I3567" s="9"/>
      <c r="J3567" s="9"/>
      <c r="K3567" s="9"/>
      <c r="L3567" s="9"/>
      <c r="M3567" s="9"/>
      <c r="N3567" s="9"/>
    </row>
    <row r="3568" spans="1:14">
      <c r="A3568" s="9"/>
      <c r="B3568" s="9"/>
      <c r="C3568" s="9"/>
      <c r="D3568" s="9"/>
      <c r="E3568" s="9"/>
      <c r="F3568" s="9"/>
      <c r="G3568" s="9"/>
      <c r="H3568" s="9"/>
      <c r="I3568" s="9"/>
      <c r="J3568" s="9"/>
      <c r="K3568" s="9"/>
      <c r="L3568" s="9"/>
      <c r="M3568" s="9"/>
      <c r="N3568" s="9"/>
    </row>
    <row r="3569" spans="1:14">
      <c r="A3569" s="9"/>
      <c r="B3569" s="9"/>
      <c r="C3569" s="9"/>
      <c r="D3569" s="9"/>
      <c r="E3569" s="9"/>
      <c r="F3569" s="9"/>
      <c r="G3569" s="9"/>
      <c r="H3569" s="9"/>
      <c r="I3569" s="9"/>
      <c r="J3569" s="9"/>
      <c r="K3569" s="9"/>
      <c r="L3569" s="9"/>
      <c r="M3569" s="9"/>
      <c r="N3569" s="9"/>
    </row>
    <row r="3570" spans="1:14">
      <c r="A3570" s="9"/>
      <c r="B3570" s="9"/>
      <c r="C3570" s="9"/>
      <c r="D3570" s="9"/>
      <c r="E3570" s="9"/>
      <c r="F3570" s="9"/>
      <c r="G3570" s="9"/>
      <c r="H3570" s="9"/>
      <c r="I3570" s="9"/>
      <c r="J3570" s="9"/>
      <c r="K3570" s="9"/>
      <c r="L3570" s="9"/>
      <c r="M3570" s="9"/>
      <c r="N3570" s="9"/>
    </row>
    <row r="3571" spans="1:14">
      <c r="A3571" s="9"/>
      <c r="B3571" s="9"/>
      <c r="C3571" s="9"/>
      <c r="D3571" s="9"/>
      <c r="E3571" s="9"/>
      <c r="F3571" s="9"/>
      <c r="G3571" s="9"/>
      <c r="H3571" s="9"/>
      <c r="I3571" s="9"/>
      <c r="J3571" s="9"/>
      <c r="K3571" s="9"/>
      <c r="L3571" s="9"/>
      <c r="M3571" s="9"/>
      <c r="N3571" s="9"/>
    </row>
    <row r="3572" spans="1:14">
      <c r="A3572" s="9"/>
      <c r="B3572" s="9"/>
      <c r="C3572" s="9"/>
      <c r="D3572" s="9"/>
      <c r="E3572" s="9"/>
      <c r="F3572" s="9"/>
      <c r="G3572" s="9"/>
      <c r="H3572" s="9"/>
      <c r="I3572" s="9"/>
      <c r="J3572" s="9"/>
      <c r="K3572" s="9"/>
      <c r="L3572" s="9"/>
      <c r="M3572" s="9"/>
      <c r="N3572" s="9"/>
    </row>
    <row r="3573" spans="1:14">
      <c r="A3573" s="9"/>
      <c r="B3573" s="9"/>
      <c r="C3573" s="9"/>
      <c r="D3573" s="9"/>
      <c r="E3573" s="9"/>
      <c r="F3573" s="9"/>
      <c r="G3573" s="9"/>
      <c r="H3573" s="9"/>
      <c r="I3573" s="9"/>
      <c r="J3573" s="9"/>
      <c r="K3573" s="9"/>
      <c r="L3573" s="9"/>
      <c r="M3573" s="9"/>
      <c r="N3573" s="9"/>
    </row>
    <row r="3574" spans="1:14">
      <c r="A3574" s="9"/>
      <c r="B3574" s="9"/>
      <c r="C3574" s="9"/>
      <c r="D3574" s="9"/>
      <c r="E3574" s="9"/>
      <c r="F3574" s="9"/>
      <c r="G3574" s="9"/>
      <c r="H3574" s="9"/>
      <c r="I3574" s="9"/>
      <c r="J3574" s="9"/>
      <c r="K3574" s="9"/>
      <c r="L3574" s="9"/>
      <c r="M3574" s="9"/>
      <c r="N3574" s="9"/>
    </row>
    <row r="3575" spans="1:14">
      <c r="A3575" s="9"/>
      <c r="B3575" s="9"/>
      <c r="C3575" s="9"/>
      <c r="D3575" s="9"/>
      <c r="E3575" s="9"/>
      <c r="F3575" s="9"/>
      <c r="G3575" s="9"/>
      <c r="H3575" s="9"/>
      <c r="I3575" s="9"/>
      <c r="J3575" s="9"/>
      <c r="K3575" s="9"/>
      <c r="L3575" s="9"/>
      <c r="M3575" s="9"/>
      <c r="N3575" s="9"/>
    </row>
    <row r="3576" spans="1:14">
      <c r="A3576" s="9"/>
      <c r="B3576" s="9"/>
      <c r="C3576" s="9"/>
      <c r="D3576" s="9"/>
      <c r="E3576" s="9"/>
      <c r="F3576" s="9"/>
      <c r="G3576" s="9"/>
      <c r="H3576" s="9"/>
      <c r="I3576" s="9"/>
      <c r="J3576" s="9"/>
      <c r="K3576" s="9"/>
      <c r="L3576" s="9"/>
      <c r="M3576" s="9"/>
      <c r="N3576" s="9"/>
    </row>
    <row r="3577" spans="1:14">
      <c r="A3577" s="9"/>
      <c r="B3577" s="9"/>
      <c r="C3577" s="9"/>
      <c r="D3577" s="9"/>
      <c r="E3577" s="9"/>
      <c r="F3577" s="9"/>
      <c r="G3577" s="9"/>
      <c r="H3577" s="9"/>
      <c r="I3577" s="9"/>
      <c r="J3577" s="9"/>
      <c r="K3577" s="9"/>
      <c r="L3577" s="9"/>
      <c r="M3577" s="9"/>
      <c r="N3577" s="9"/>
    </row>
    <row r="3578" spans="1:14">
      <c r="A3578" s="9"/>
      <c r="B3578" s="9"/>
      <c r="C3578" s="9"/>
      <c r="D3578" s="9"/>
      <c r="E3578" s="9"/>
      <c r="F3578" s="9"/>
      <c r="G3578" s="9"/>
      <c r="H3578" s="9"/>
      <c r="I3578" s="9"/>
      <c r="J3578" s="9"/>
      <c r="K3578" s="9"/>
      <c r="L3578" s="9"/>
      <c r="M3578" s="9"/>
      <c r="N3578" s="9"/>
    </row>
    <row r="3579" spans="1:14">
      <c r="A3579" s="9"/>
      <c r="B3579" s="9"/>
      <c r="C3579" s="9"/>
      <c r="D3579" s="9"/>
      <c r="E3579" s="9"/>
      <c r="F3579" s="9"/>
      <c r="G3579" s="9"/>
      <c r="H3579" s="9"/>
      <c r="I3579" s="9"/>
      <c r="J3579" s="9"/>
      <c r="K3579" s="9"/>
      <c r="L3579" s="9"/>
      <c r="M3579" s="9"/>
      <c r="N3579" s="9"/>
    </row>
    <row r="3580" spans="1:14">
      <c r="A3580" s="9"/>
      <c r="B3580" s="9"/>
      <c r="C3580" s="9"/>
      <c r="D3580" s="9"/>
      <c r="E3580" s="9"/>
      <c r="F3580" s="9"/>
      <c r="G3580" s="9"/>
      <c r="H3580" s="9"/>
      <c r="I3580" s="9"/>
      <c r="J3580" s="9"/>
      <c r="K3580" s="9"/>
      <c r="L3580" s="9"/>
      <c r="M3580" s="9"/>
      <c r="N3580" s="9"/>
    </row>
    <row r="3581" spans="1:14">
      <c r="A3581" s="9"/>
      <c r="B3581" s="9"/>
      <c r="C3581" s="9"/>
      <c r="D3581" s="9"/>
      <c r="E3581" s="9"/>
      <c r="F3581" s="9"/>
      <c r="G3581" s="9"/>
      <c r="H3581" s="9"/>
      <c r="I3581" s="9"/>
      <c r="J3581" s="9"/>
      <c r="K3581" s="9"/>
      <c r="L3581" s="9"/>
      <c r="M3581" s="9"/>
      <c r="N3581" s="9"/>
    </row>
    <row r="3582" spans="1:14">
      <c r="A3582" s="9"/>
      <c r="B3582" s="9"/>
      <c r="C3582" s="9"/>
      <c r="D3582" s="9"/>
      <c r="E3582" s="9"/>
      <c r="F3582" s="9"/>
      <c r="G3582" s="9"/>
      <c r="H3582" s="9"/>
      <c r="I3582" s="9"/>
      <c r="J3582" s="9"/>
      <c r="K3582" s="9"/>
      <c r="L3582" s="9"/>
      <c r="M3582" s="9"/>
      <c r="N3582" s="9"/>
    </row>
    <row r="3583" spans="1:14">
      <c r="A3583" s="9"/>
      <c r="B3583" s="9"/>
      <c r="C3583" s="9"/>
      <c r="D3583" s="9"/>
      <c r="E3583" s="9"/>
      <c r="F3583" s="9"/>
      <c r="G3583" s="9"/>
      <c r="H3583" s="9"/>
      <c r="I3583" s="9"/>
      <c r="J3583" s="9"/>
      <c r="K3583" s="9"/>
      <c r="L3583" s="9"/>
      <c r="M3583" s="9"/>
      <c r="N3583" s="9"/>
    </row>
    <row r="3584" spans="1:14">
      <c r="A3584" s="9"/>
      <c r="B3584" s="9"/>
      <c r="C3584" s="9"/>
      <c r="D3584" s="9"/>
      <c r="E3584" s="9"/>
      <c r="F3584" s="9"/>
      <c r="G3584" s="9"/>
      <c r="H3584" s="9"/>
      <c r="I3584" s="9"/>
      <c r="J3584" s="9"/>
      <c r="K3584" s="9"/>
      <c r="L3584" s="9"/>
      <c r="M3584" s="9"/>
      <c r="N3584" s="9"/>
    </row>
    <row r="3585" spans="1:14">
      <c r="A3585" s="9"/>
      <c r="B3585" s="9"/>
      <c r="C3585" s="9"/>
      <c r="D3585" s="9"/>
      <c r="E3585" s="9"/>
      <c r="F3585" s="9"/>
      <c r="G3585" s="9"/>
      <c r="H3585" s="9"/>
      <c r="I3585" s="9"/>
      <c r="J3585" s="9"/>
      <c r="K3585" s="9"/>
      <c r="L3585" s="9"/>
      <c r="M3585" s="9"/>
      <c r="N3585" s="9"/>
    </row>
    <row r="3586" spans="1:14">
      <c r="A3586" s="9"/>
      <c r="B3586" s="9"/>
      <c r="C3586" s="9"/>
      <c r="D3586" s="9"/>
      <c r="E3586" s="9"/>
      <c r="F3586" s="9"/>
      <c r="G3586" s="9"/>
      <c r="H3586" s="9"/>
      <c r="I3586" s="9"/>
      <c r="J3586" s="9"/>
      <c r="K3586" s="9"/>
      <c r="L3586" s="9"/>
      <c r="M3586" s="9"/>
      <c r="N3586" s="9"/>
    </row>
    <row r="3587" spans="1:14">
      <c r="A3587" s="9"/>
      <c r="B3587" s="9"/>
      <c r="C3587" s="9"/>
      <c r="D3587" s="9"/>
      <c r="E3587" s="9"/>
      <c r="F3587" s="9"/>
      <c r="G3587" s="9"/>
      <c r="H3587" s="9"/>
      <c r="I3587" s="9"/>
      <c r="J3587" s="9"/>
      <c r="K3587" s="9"/>
      <c r="L3587" s="9"/>
      <c r="M3587" s="9"/>
      <c r="N3587" s="9"/>
    </row>
    <row r="3588" spans="1:14">
      <c r="A3588" s="9"/>
      <c r="B3588" s="9"/>
      <c r="C3588" s="9"/>
      <c r="D3588" s="9"/>
      <c r="E3588" s="9"/>
      <c r="F3588" s="9"/>
      <c r="G3588" s="9"/>
      <c r="H3588" s="9"/>
      <c r="I3588" s="9"/>
      <c r="J3588" s="9"/>
      <c r="K3588" s="9"/>
      <c r="L3588" s="9"/>
      <c r="M3588" s="9"/>
      <c r="N3588" s="9"/>
    </row>
    <row r="3589" spans="1:14">
      <c r="A3589" s="9"/>
      <c r="B3589" s="9"/>
      <c r="C3589" s="9"/>
      <c r="D3589" s="9"/>
      <c r="E3589" s="9"/>
      <c r="F3589" s="9"/>
      <c r="G3589" s="9"/>
      <c r="H3589" s="9"/>
      <c r="I3589" s="9"/>
      <c r="J3589" s="9"/>
      <c r="K3589" s="9"/>
      <c r="L3589" s="9"/>
      <c r="M3589" s="9"/>
      <c r="N3589" s="9"/>
    </row>
    <row r="3590" spans="1:14">
      <c r="A3590" s="9"/>
      <c r="B3590" s="9"/>
      <c r="C3590" s="9"/>
      <c r="D3590" s="9"/>
      <c r="E3590" s="9"/>
      <c r="F3590" s="9"/>
      <c r="G3590" s="9"/>
      <c r="H3590" s="9"/>
      <c r="I3590" s="9"/>
      <c r="J3590" s="9"/>
      <c r="K3590" s="9"/>
      <c r="L3590" s="9"/>
      <c r="M3590" s="9"/>
      <c r="N3590" s="9"/>
    </row>
    <row r="3591" spans="1:14">
      <c r="A3591" s="9"/>
      <c r="B3591" s="9"/>
      <c r="C3591" s="9"/>
      <c r="D3591" s="9"/>
      <c r="E3591" s="9"/>
      <c r="F3591" s="9"/>
      <c r="G3591" s="9"/>
      <c r="H3591" s="9"/>
      <c r="I3591" s="9"/>
      <c r="J3591" s="9"/>
      <c r="K3591" s="9"/>
      <c r="L3591" s="9"/>
      <c r="M3591" s="9"/>
      <c r="N3591" s="9"/>
    </row>
    <row r="3592" spans="1:14">
      <c r="A3592" s="9"/>
      <c r="B3592" s="9"/>
      <c r="C3592" s="9"/>
      <c r="D3592" s="9"/>
      <c r="E3592" s="9"/>
      <c r="F3592" s="9"/>
      <c r="G3592" s="9"/>
      <c r="H3592" s="9"/>
      <c r="I3592" s="9"/>
      <c r="J3592" s="9"/>
      <c r="K3592" s="9"/>
      <c r="L3592" s="9"/>
      <c r="M3592" s="9"/>
      <c r="N3592" s="9"/>
    </row>
    <row r="3593" spans="1:14">
      <c r="A3593" s="9"/>
      <c r="B3593" s="9"/>
      <c r="C3593" s="9"/>
      <c r="D3593" s="9"/>
      <c r="E3593" s="9"/>
      <c r="F3593" s="9"/>
      <c r="G3593" s="9"/>
      <c r="H3593" s="9"/>
      <c r="I3593" s="9"/>
      <c r="J3593" s="9"/>
      <c r="K3593" s="9"/>
      <c r="L3593" s="9"/>
      <c r="M3593" s="9"/>
      <c r="N3593" s="9"/>
    </row>
    <row r="3594" spans="1:14">
      <c r="A3594" s="9"/>
      <c r="B3594" s="9"/>
      <c r="C3594" s="9"/>
      <c r="D3594" s="9"/>
      <c r="E3594" s="9"/>
      <c r="F3594" s="9"/>
      <c r="G3594" s="9"/>
      <c r="H3594" s="9"/>
      <c r="I3594" s="9"/>
      <c r="J3594" s="9"/>
      <c r="K3594" s="9"/>
      <c r="L3594" s="9"/>
      <c r="M3594" s="9"/>
      <c r="N3594" s="9"/>
    </row>
    <row r="3595" spans="1:14">
      <c r="A3595" s="9"/>
      <c r="B3595" s="9"/>
      <c r="C3595" s="9"/>
      <c r="D3595" s="9"/>
      <c r="E3595" s="9"/>
      <c r="F3595" s="9"/>
      <c r="G3595" s="9"/>
      <c r="H3595" s="9"/>
      <c r="I3595" s="9"/>
      <c r="J3595" s="9"/>
      <c r="K3595" s="9"/>
      <c r="L3595" s="9"/>
      <c r="M3595" s="9"/>
      <c r="N3595" s="9"/>
    </row>
    <row r="3596" spans="1:14">
      <c r="A3596" s="9"/>
      <c r="B3596" s="9"/>
      <c r="C3596" s="9"/>
      <c r="D3596" s="9"/>
      <c r="E3596" s="9"/>
      <c r="F3596" s="9"/>
      <c r="G3596" s="9"/>
      <c r="H3596" s="9"/>
      <c r="I3596" s="9"/>
      <c r="J3596" s="9"/>
      <c r="K3596" s="9"/>
      <c r="L3596" s="9"/>
      <c r="M3596" s="9"/>
      <c r="N3596" s="9"/>
    </row>
    <row r="3597" spans="1:14">
      <c r="A3597" s="9"/>
      <c r="B3597" s="9"/>
      <c r="C3597" s="9"/>
      <c r="D3597" s="9"/>
      <c r="E3597" s="9"/>
      <c r="F3597" s="9"/>
      <c r="G3597" s="9"/>
      <c r="H3597" s="9"/>
      <c r="I3597" s="9"/>
      <c r="J3597" s="9"/>
      <c r="K3597" s="9"/>
      <c r="L3597" s="9"/>
      <c r="M3597" s="9"/>
      <c r="N3597" s="9"/>
    </row>
    <row r="3598" spans="1:14">
      <c r="A3598" s="9"/>
      <c r="B3598" s="9"/>
      <c r="C3598" s="9"/>
      <c r="D3598" s="9"/>
      <c r="E3598" s="9"/>
      <c r="F3598" s="9"/>
      <c r="G3598" s="9"/>
      <c r="H3598" s="9"/>
      <c r="I3598" s="9"/>
      <c r="J3598" s="9"/>
      <c r="K3598" s="9"/>
      <c r="L3598" s="9"/>
      <c r="M3598" s="9"/>
      <c r="N3598" s="9"/>
    </row>
    <row r="3599" spans="1:14">
      <c r="A3599" s="9"/>
      <c r="B3599" s="9"/>
      <c r="C3599" s="9"/>
      <c r="D3599" s="9"/>
      <c r="E3599" s="9"/>
      <c r="F3599" s="9"/>
      <c r="G3599" s="9"/>
      <c r="H3599" s="9"/>
      <c r="I3599" s="9"/>
      <c r="J3599" s="9"/>
      <c r="K3599" s="9"/>
      <c r="L3599" s="9"/>
      <c r="M3599" s="9"/>
      <c r="N3599" s="9"/>
    </row>
    <row r="3600" spans="1:14">
      <c r="A3600" s="9"/>
      <c r="B3600" s="9"/>
      <c r="C3600" s="9"/>
      <c r="D3600" s="9"/>
      <c r="E3600" s="9"/>
      <c r="F3600" s="9"/>
      <c r="G3600" s="9"/>
      <c r="H3600" s="9"/>
      <c r="I3600" s="9"/>
      <c r="J3600" s="9"/>
      <c r="K3600" s="9"/>
      <c r="L3600" s="9"/>
      <c r="M3600" s="9"/>
      <c r="N3600" s="9"/>
    </row>
    <row r="3601" spans="1:14">
      <c r="A3601" s="9"/>
      <c r="B3601" s="9"/>
      <c r="C3601" s="9"/>
      <c r="D3601" s="9"/>
      <c r="E3601" s="9"/>
      <c r="F3601" s="9"/>
      <c r="G3601" s="9"/>
      <c r="H3601" s="9"/>
      <c r="I3601" s="9"/>
      <c r="J3601" s="9"/>
      <c r="K3601" s="9"/>
      <c r="L3601" s="9"/>
      <c r="M3601" s="9"/>
      <c r="N3601" s="9"/>
    </row>
    <row r="3602" spans="1:14">
      <c r="A3602" s="9"/>
      <c r="B3602" s="9"/>
      <c r="C3602" s="9"/>
      <c r="D3602" s="9"/>
      <c r="E3602" s="9"/>
      <c r="F3602" s="9"/>
      <c r="G3602" s="9"/>
      <c r="H3602" s="9"/>
      <c r="I3602" s="9"/>
      <c r="J3602" s="9"/>
      <c r="K3602" s="9"/>
      <c r="L3602" s="9"/>
      <c r="M3602" s="9"/>
      <c r="N3602" s="9"/>
    </row>
    <row r="3603" spans="1:14">
      <c r="A3603" s="9"/>
      <c r="B3603" s="9"/>
      <c r="C3603" s="9"/>
      <c r="D3603" s="9"/>
      <c r="E3603" s="9"/>
      <c r="F3603" s="9"/>
      <c r="G3603" s="9"/>
      <c r="H3603" s="9"/>
      <c r="I3603" s="9"/>
      <c r="J3603" s="9"/>
      <c r="K3603" s="9"/>
      <c r="L3603" s="9"/>
      <c r="M3603" s="9"/>
      <c r="N3603" s="9"/>
    </row>
    <row r="3604" spans="1:14">
      <c r="A3604" s="9"/>
      <c r="B3604" s="9"/>
      <c r="C3604" s="9"/>
      <c r="D3604" s="9"/>
      <c r="E3604" s="9"/>
      <c r="F3604" s="9"/>
      <c r="G3604" s="9"/>
      <c r="H3604" s="9"/>
      <c r="I3604" s="9"/>
      <c r="J3604" s="9"/>
      <c r="K3604" s="9"/>
      <c r="L3604" s="9"/>
      <c r="M3604" s="9"/>
      <c r="N3604" s="9"/>
    </row>
    <row r="3605" spans="1:14">
      <c r="A3605" s="9"/>
      <c r="B3605" s="9"/>
      <c r="C3605" s="9"/>
      <c r="D3605" s="9"/>
      <c r="E3605" s="9"/>
      <c r="F3605" s="9"/>
      <c r="G3605" s="9"/>
      <c r="H3605" s="9"/>
      <c r="I3605" s="9"/>
      <c r="J3605" s="9"/>
      <c r="K3605" s="9"/>
      <c r="L3605" s="9"/>
      <c r="M3605" s="9"/>
      <c r="N3605" s="9"/>
    </row>
    <row r="3606" spans="1:14">
      <c r="A3606" s="9"/>
      <c r="B3606" s="9"/>
      <c r="C3606" s="9"/>
      <c r="D3606" s="9"/>
      <c r="E3606" s="9"/>
      <c r="F3606" s="9"/>
      <c r="G3606" s="9"/>
      <c r="H3606" s="9"/>
      <c r="I3606" s="9"/>
      <c r="J3606" s="9"/>
      <c r="K3606" s="9"/>
      <c r="L3606" s="9"/>
      <c r="M3606" s="9"/>
      <c r="N3606" s="9"/>
    </row>
    <row r="3607" spans="1:14">
      <c r="A3607" s="9"/>
      <c r="B3607" s="9"/>
      <c r="C3607" s="9"/>
      <c r="D3607" s="9"/>
      <c r="E3607" s="9"/>
      <c r="F3607" s="9"/>
      <c r="G3607" s="9"/>
      <c r="H3607" s="9"/>
      <c r="I3607" s="9"/>
      <c r="J3607" s="9"/>
      <c r="K3607" s="9"/>
      <c r="L3607" s="9"/>
      <c r="M3607" s="9"/>
      <c r="N3607" s="9"/>
    </row>
    <row r="3608" spans="1:14">
      <c r="A3608" s="9"/>
      <c r="B3608" s="9"/>
      <c r="C3608" s="9"/>
      <c r="D3608" s="9"/>
      <c r="E3608" s="9"/>
      <c r="F3608" s="9"/>
      <c r="G3608" s="9"/>
      <c r="H3608" s="9"/>
      <c r="I3608" s="9"/>
      <c r="J3608" s="9"/>
      <c r="K3608" s="9"/>
      <c r="L3608" s="9"/>
      <c r="M3608" s="9"/>
      <c r="N3608" s="9"/>
    </row>
    <row r="3609" spans="1:14">
      <c r="A3609" s="9"/>
      <c r="B3609" s="9"/>
      <c r="C3609" s="9"/>
      <c r="D3609" s="9"/>
      <c r="E3609" s="9"/>
      <c r="F3609" s="9"/>
      <c r="G3609" s="9"/>
      <c r="H3609" s="9"/>
      <c r="I3609" s="9"/>
      <c r="J3609" s="9"/>
      <c r="K3609" s="9"/>
      <c r="L3609" s="9"/>
      <c r="M3609" s="9"/>
      <c r="N3609" s="9"/>
    </row>
    <row r="3610" spans="1:14">
      <c r="A3610" s="9"/>
      <c r="B3610" s="9"/>
      <c r="C3610" s="9"/>
      <c r="D3610" s="9"/>
      <c r="E3610" s="9"/>
      <c r="F3610" s="9"/>
      <c r="G3610" s="9"/>
      <c r="H3610" s="9"/>
      <c r="I3610" s="9"/>
      <c r="J3610" s="9"/>
      <c r="K3610" s="9"/>
      <c r="L3610" s="9"/>
      <c r="M3610" s="9"/>
      <c r="N3610" s="9"/>
    </row>
    <row r="3611" spans="1:14">
      <c r="A3611" s="9"/>
      <c r="B3611" s="9"/>
      <c r="C3611" s="9"/>
      <c r="D3611" s="9"/>
      <c r="E3611" s="9"/>
      <c r="F3611" s="9"/>
      <c r="G3611" s="9"/>
      <c r="H3611" s="9"/>
      <c r="I3611" s="9"/>
      <c r="J3611" s="9"/>
      <c r="K3611" s="9"/>
      <c r="L3611" s="9"/>
      <c r="M3611" s="9"/>
      <c r="N3611" s="9"/>
    </row>
    <row r="3612" spans="1:14">
      <c r="A3612" s="9"/>
      <c r="B3612" s="9"/>
      <c r="C3612" s="9"/>
      <c r="D3612" s="9"/>
      <c r="E3612" s="9"/>
      <c r="F3612" s="9"/>
      <c r="G3612" s="9"/>
      <c r="H3612" s="9"/>
      <c r="I3612" s="9"/>
      <c r="J3612" s="9"/>
      <c r="K3612" s="9"/>
      <c r="L3612" s="9"/>
      <c r="M3612" s="9"/>
      <c r="N3612" s="9"/>
    </row>
    <row r="3613" spans="1:14">
      <c r="A3613" s="9"/>
      <c r="B3613" s="9"/>
      <c r="C3613" s="9"/>
      <c r="D3613" s="9"/>
      <c r="E3613" s="9"/>
      <c r="F3613" s="9"/>
      <c r="G3613" s="9"/>
      <c r="H3613" s="9"/>
      <c r="I3613" s="9"/>
      <c r="J3613" s="9"/>
      <c r="K3613" s="9"/>
      <c r="L3613" s="9"/>
      <c r="M3613" s="9"/>
      <c r="N3613" s="9"/>
    </row>
    <row r="3614" spans="1:14">
      <c r="A3614" s="9"/>
      <c r="B3614" s="9"/>
      <c r="C3614" s="9"/>
      <c r="D3614" s="9"/>
      <c r="E3614" s="9"/>
      <c r="F3614" s="9"/>
      <c r="G3614" s="9"/>
      <c r="H3614" s="9"/>
      <c r="I3614" s="9"/>
      <c r="J3614" s="9"/>
      <c r="K3614" s="9"/>
      <c r="L3614" s="9"/>
      <c r="M3614" s="9"/>
      <c r="N3614" s="9"/>
    </row>
    <row r="3615" spans="1:14">
      <c r="A3615" s="9"/>
      <c r="B3615" s="9"/>
      <c r="C3615" s="9"/>
      <c r="D3615" s="9"/>
      <c r="E3615" s="9"/>
      <c r="F3615" s="9"/>
      <c r="G3615" s="9"/>
      <c r="H3615" s="9"/>
      <c r="I3615" s="9"/>
      <c r="J3615" s="9"/>
      <c r="K3615" s="9"/>
      <c r="L3615" s="9"/>
      <c r="M3615" s="9"/>
      <c r="N3615" s="9"/>
    </row>
    <row r="3616" spans="1:14">
      <c r="A3616" s="9"/>
      <c r="B3616" s="9"/>
      <c r="C3616" s="9"/>
      <c r="D3616" s="9"/>
      <c r="E3616" s="9"/>
      <c r="F3616" s="9"/>
      <c r="G3616" s="9"/>
      <c r="H3616" s="9"/>
      <c r="I3616" s="9"/>
      <c r="J3616" s="9"/>
      <c r="K3616" s="9"/>
      <c r="L3616" s="9"/>
      <c r="M3616" s="9"/>
      <c r="N3616" s="9"/>
    </row>
    <row r="3617" spans="1:14">
      <c r="A3617" s="9"/>
      <c r="B3617" s="9"/>
      <c r="C3617" s="9"/>
      <c r="D3617" s="9"/>
      <c r="E3617" s="9"/>
      <c r="F3617" s="9"/>
      <c r="G3617" s="9"/>
      <c r="H3617" s="9"/>
      <c r="I3617" s="9"/>
      <c r="J3617" s="9"/>
      <c r="K3617" s="9"/>
      <c r="L3617" s="9"/>
      <c r="M3617" s="9"/>
      <c r="N3617" s="9"/>
    </row>
    <row r="3618" spans="1:14">
      <c r="A3618" s="9"/>
      <c r="B3618" s="9"/>
      <c r="C3618" s="9"/>
      <c r="D3618" s="9"/>
      <c r="E3618" s="9"/>
      <c r="F3618" s="9"/>
      <c r="G3618" s="9"/>
      <c r="H3618" s="9"/>
      <c r="I3618" s="9"/>
      <c r="J3618" s="9"/>
      <c r="K3618" s="9"/>
      <c r="L3618" s="9"/>
      <c r="M3618" s="9"/>
      <c r="N3618" s="9"/>
    </row>
    <row r="3619" spans="1:14">
      <c r="A3619" s="9"/>
      <c r="B3619" s="9"/>
      <c r="C3619" s="9"/>
      <c r="D3619" s="9"/>
      <c r="E3619" s="9"/>
      <c r="F3619" s="9"/>
      <c r="G3619" s="9"/>
      <c r="H3619" s="9"/>
      <c r="I3619" s="9"/>
      <c r="J3619" s="9"/>
      <c r="K3619" s="9"/>
      <c r="L3619" s="9"/>
      <c r="M3619" s="9"/>
      <c r="N3619" s="9"/>
    </row>
    <row r="3620" spans="1:14">
      <c r="A3620" s="9"/>
      <c r="B3620" s="9"/>
      <c r="C3620" s="9"/>
      <c r="D3620" s="9"/>
      <c r="E3620" s="9"/>
      <c r="F3620" s="9"/>
      <c r="G3620" s="9"/>
      <c r="H3620" s="9"/>
      <c r="I3620" s="9"/>
      <c r="J3620" s="9"/>
      <c r="K3620" s="9"/>
      <c r="L3620" s="9"/>
      <c r="M3620" s="9"/>
      <c r="N3620" s="9"/>
    </row>
    <row r="3621" spans="1:14">
      <c r="A3621" s="9"/>
      <c r="B3621" s="9"/>
      <c r="C3621" s="9"/>
      <c r="D3621" s="9"/>
      <c r="E3621" s="9"/>
      <c r="F3621" s="9"/>
      <c r="G3621" s="9"/>
      <c r="H3621" s="9"/>
      <c r="I3621" s="9"/>
      <c r="J3621" s="9"/>
      <c r="K3621" s="9"/>
      <c r="L3621" s="9"/>
      <c r="M3621" s="9"/>
      <c r="N3621" s="9"/>
    </row>
    <row r="3622" spans="1:14">
      <c r="A3622" s="9"/>
      <c r="B3622" s="9"/>
      <c r="C3622" s="9"/>
      <c r="D3622" s="9"/>
      <c r="E3622" s="9"/>
      <c r="F3622" s="9"/>
      <c r="G3622" s="9"/>
      <c r="H3622" s="9"/>
      <c r="I3622" s="9"/>
      <c r="J3622" s="9"/>
      <c r="K3622" s="9"/>
      <c r="L3622" s="9"/>
      <c r="M3622" s="9"/>
      <c r="N3622" s="9"/>
    </row>
    <row r="3623" spans="1:14">
      <c r="A3623" s="9"/>
      <c r="B3623" s="9"/>
      <c r="C3623" s="9"/>
      <c r="D3623" s="9"/>
      <c r="E3623" s="9"/>
      <c r="F3623" s="9"/>
      <c r="G3623" s="9"/>
      <c r="H3623" s="9"/>
      <c r="I3623" s="9"/>
      <c r="J3623" s="9"/>
      <c r="K3623" s="9"/>
      <c r="L3623" s="9"/>
      <c r="M3623" s="9"/>
      <c r="N3623" s="9"/>
    </row>
    <row r="3624" spans="1:14">
      <c r="A3624" s="9"/>
      <c r="B3624" s="9"/>
      <c r="C3624" s="9"/>
      <c r="D3624" s="9"/>
      <c r="E3624" s="9"/>
      <c r="F3624" s="9"/>
      <c r="G3624" s="9"/>
      <c r="H3624" s="9"/>
      <c r="I3624" s="9"/>
      <c r="J3624" s="9"/>
      <c r="K3624" s="9"/>
      <c r="L3624" s="9"/>
      <c r="M3624" s="9"/>
      <c r="N3624" s="9"/>
    </row>
    <row r="3625" spans="1:14">
      <c r="A3625" s="9"/>
      <c r="B3625" s="9"/>
      <c r="C3625" s="9"/>
      <c r="D3625" s="9"/>
      <c r="E3625" s="9"/>
      <c r="F3625" s="9"/>
      <c r="G3625" s="9"/>
      <c r="H3625" s="9"/>
      <c r="I3625" s="9"/>
      <c r="J3625" s="9"/>
      <c r="K3625" s="9"/>
      <c r="L3625" s="9"/>
      <c r="M3625" s="9"/>
      <c r="N3625" s="9"/>
    </row>
    <row r="3626" spans="1:14">
      <c r="A3626" s="9"/>
      <c r="B3626" s="9"/>
      <c r="C3626" s="9"/>
      <c r="D3626" s="9"/>
      <c r="E3626" s="9"/>
      <c r="F3626" s="9"/>
      <c r="G3626" s="9"/>
      <c r="H3626" s="9"/>
      <c r="I3626" s="9"/>
      <c r="J3626" s="9"/>
      <c r="K3626" s="9"/>
      <c r="L3626" s="9"/>
      <c r="M3626" s="9"/>
      <c r="N3626" s="9"/>
    </row>
    <row r="3627" spans="1:14">
      <c r="A3627" s="9"/>
      <c r="B3627" s="9"/>
      <c r="C3627" s="9"/>
      <c r="D3627" s="9"/>
      <c r="E3627" s="9"/>
      <c r="F3627" s="9"/>
      <c r="G3627" s="9"/>
      <c r="H3627" s="9"/>
      <c r="I3627" s="9"/>
      <c r="J3627" s="9"/>
      <c r="K3627" s="9"/>
      <c r="L3627" s="9"/>
      <c r="M3627" s="9"/>
      <c r="N3627" s="9"/>
    </row>
    <row r="3628" spans="1:14">
      <c r="A3628" s="9"/>
      <c r="B3628" s="9"/>
      <c r="C3628" s="9"/>
      <c r="D3628" s="9"/>
      <c r="E3628" s="9"/>
      <c r="F3628" s="9"/>
      <c r="G3628" s="9"/>
      <c r="H3628" s="9"/>
      <c r="I3628" s="9"/>
      <c r="J3628" s="9"/>
      <c r="K3628" s="9"/>
      <c r="L3628" s="9"/>
      <c r="M3628" s="9"/>
      <c r="N3628" s="9"/>
    </row>
    <row r="3629" spans="1:14">
      <c r="A3629" s="9"/>
      <c r="B3629" s="9"/>
      <c r="C3629" s="9"/>
      <c r="D3629" s="9"/>
      <c r="E3629" s="9"/>
      <c r="F3629" s="9"/>
      <c r="G3629" s="9"/>
      <c r="H3629" s="9"/>
      <c r="I3629" s="9"/>
      <c r="J3629" s="9"/>
      <c r="K3629" s="9"/>
      <c r="L3629" s="9"/>
      <c r="M3629" s="9"/>
      <c r="N3629" s="9"/>
    </row>
    <row r="3630" spans="1:14">
      <c r="A3630" s="9"/>
      <c r="B3630" s="9"/>
      <c r="C3630" s="9"/>
      <c r="D3630" s="9"/>
      <c r="E3630" s="9"/>
      <c r="F3630" s="9"/>
      <c r="G3630" s="9"/>
      <c r="H3630" s="9"/>
      <c r="I3630" s="9"/>
      <c r="J3630" s="9"/>
      <c r="K3630" s="9"/>
      <c r="L3630" s="9"/>
      <c r="M3630" s="9"/>
      <c r="N3630" s="9"/>
    </row>
    <row r="3631" spans="1:14">
      <c r="A3631" s="9"/>
      <c r="B3631" s="9"/>
      <c r="C3631" s="9"/>
      <c r="D3631" s="9"/>
      <c r="E3631" s="9"/>
      <c r="F3631" s="9"/>
      <c r="G3631" s="9"/>
      <c r="H3631" s="9"/>
      <c r="I3631" s="9"/>
      <c r="J3631" s="9"/>
      <c r="K3631" s="9"/>
      <c r="L3631" s="9"/>
      <c r="M3631" s="9"/>
      <c r="N3631" s="9"/>
    </row>
    <row r="3632" spans="1:14">
      <c r="A3632" s="9"/>
      <c r="B3632" s="9"/>
      <c r="C3632" s="9"/>
      <c r="D3632" s="9"/>
      <c r="E3632" s="9"/>
      <c r="F3632" s="9"/>
      <c r="G3632" s="9"/>
      <c r="H3632" s="9"/>
      <c r="I3632" s="9"/>
      <c r="J3632" s="9"/>
      <c r="K3632" s="9"/>
      <c r="L3632" s="9"/>
      <c r="M3632" s="9"/>
      <c r="N3632" s="9"/>
    </row>
    <row r="3633" spans="1:14">
      <c r="A3633" s="9"/>
      <c r="B3633" s="9"/>
      <c r="C3633" s="9"/>
      <c r="D3633" s="9"/>
      <c r="E3633" s="9"/>
      <c r="F3633" s="9"/>
      <c r="G3633" s="9"/>
      <c r="H3633" s="9"/>
      <c r="I3633" s="9"/>
      <c r="J3633" s="9"/>
      <c r="K3633" s="9"/>
      <c r="L3633" s="9"/>
      <c r="M3633" s="9"/>
      <c r="N3633" s="9"/>
    </row>
    <row r="3634" spans="1:14">
      <c r="A3634" s="9"/>
      <c r="B3634" s="9"/>
      <c r="C3634" s="9"/>
      <c r="D3634" s="9"/>
      <c r="E3634" s="9"/>
      <c r="F3634" s="9"/>
      <c r="G3634" s="9"/>
      <c r="H3634" s="9"/>
      <c r="I3634" s="9"/>
      <c r="J3634" s="9"/>
      <c r="K3634" s="9"/>
      <c r="L3634" s="9"/>
      <c r="M3634" s="9"/>
      <c r="N3634" s="9"/>
    </row>
    <row r="3635" spans="1:14">
      <c r="A3635" s="9"/>
      <c r="B3635" s="9"/>
      <c r="C3635" s="9"/>
      <c r="D3635" s="9"/>
      <c r="E3635" s="9"/>
      <c r="F3635" s="9"/>
      <c r="G3635" s="9"/>
      <c r="H3635" s="9"/>
      <c r="I3635" s="9"/>
      <c r="J3635" s="9"/>
      <c r="K3635" s="9"/>
      <c r="L3635" s="9"/>
      <c r="M3635" s="9"/>
      <c r="N3635" s="9"/>
    </row>
    <row r="3636" spans="1:14">
      <c r="A3636" s="9"/>
      <c r="B3636" s="9"/>
      <c r="C3636" s="9"/>
      <c r="D3636" s="9"/>
      <c r="E3636" s="9"/>
      <c r="F3636" s="9"/>
      <c r="G3636" s="9"/>
      <c r="H3636" s="9"/>
      <c r="I3636" s="9"/>
      <c r="J3636" s="9"/>
      <c r="K3636" s="9"/>
      <c r="L3636" s="9"/>
      <c r="M3636" s="9"/>
      <c r="N3636" s="9"/>
    </row>
    <row r="3637" spans="1:14">
      <c r="A3637" s="9"/>
      <c r="B3637" s="9"/>
      <c r="C3637" s="9"/>
      <c r="D3637" s="9"/>
      <c r="E3637" s="9"/>
      <c r="F3637" s="9"/>
      <c r="G3637" s="9"/>
      <c r="H3637" s="9"/>
      <c r="I3637" s="9"/>
      <c r="J3637" s="9"/>
      <c r="K3637" s="9"/>
      <c r="L3637" s="9"/>
      <c r="M3637" s="9"/>
      <c r="N3637" s="9"/>
    </row>
    <row r="3638" spans="1:14">
      <c r="A3638" s="9"/>
      <c r="B3638" s="9"/>
      <c r="C3638" s="9"/>
      <c r="D3638" s="9"/>
      <c r="E3638" s="9"/>
      <c r="F3638" s="9"/>
      <c r="G3638" s="9"/>
      <c r="H3638" s="9"/>
      <c r="I3638" s="9"/>
      <c r="J3638" s="9"/>
      <c r="K3638" s="9"/>
      <c r="L3638" s="9"/>
      <c r="M3638" s="9"/>
      <c r="N3638" s="9"/>
    </row>
    <row r="3639" spans="1:14">
      <c r="A3639" s="9"/>
      <c r="B3639" s="9"/>
      <c r="C3639" s="9"/>
      <c r="D3639" s="9"/>
      <c r="E3639" s="9"/>
      <c r="F3639" s="9"/>
      <c r="G3639" s="9"/>
      <c r="H3639" s="9"/>
      <c r="I3639" s="9"/>
      <c r="J3639" s="9"/>
      <c r="K3639" s="9"/>
      <c r="L3639" s="9"/>
      <c r="M3639" s="9"/>
      <c r="N3639" s="9"/>
    </row>
    <row r="3640" spans="1:14">
      <c r="A3640" s="9"/>
      <c r="B3640" s="9"/>
      <c r="C3640" s="9"/>
      <c r="D3640" s="9"/>
      <c r="E3640" s="9"/>
      <c r="F3640" s="9"/>
      <c r="G3640" s="9"/>
      <c r="H3640" s="9"/>
      <c r="I3640" s="9"/>
      <c r="J3640" s="9"/>
      <c r="K3640" s="9"/>
      <c r="L3640" s="9"/>
      <c r="M3640" s="9"/>
      <c r="N3640" s="9"/>
    </row>
    <row r="3641" spans="1:14">
      <c r="A3641" s="9"/>
      <c r="B3641" s="9"/>
      <c r="C3641" s="9"/>
      <c r="D3641" s="9"/>
      <c r="E3641" s="9"/>
      <c r="F3641" s="9"/>
      <c r="G3641" s="9"/>
      <c r="H3641" s="9"/>
      <c r="I3641" s="9"/>
      <c r="J3641" s="9"/>
      <c r="K3641" s="9"/>
      <c r="L3641" s="9"/>
      <c r="M3641" s="9"/>
      <c r="N3641" s="9"/>
    </row>
    <row r="3642" spans="1:14">
      <c r="A3642" s="9"/>
      <c r="B3642" s="9"/>
      <c r="C3642" s="9"/>
      <c r="D3642" s="9"/>
      <c r="E3642" s="9"/>
      <c r="F3642" s="9"/>
      <c r="G3642" s="9"/>
      <c r="H3642" s="9"/>
      <c r="I3642" s="9"/>
      <c r="J3642" s="9"/>
      <c r="K3642" s="9"/>
      <c r="L3642" s="9"/>
      <c r="M3642" s="9"/>
      <c r="N3642" s="9"/>
    </row>
    <row r="3643" spans="1:14">
      <c r="A3643" s="9"/>
      <c r="B3643" s="9"/>
      <c r="C3643" s="9"/>
      <c r="D3643" s="9"/>
      <c r="E3643" s="9"/>
      <c r="F3643" s="9"/>
      <c r="G3643" s="9"/>
      <c r="H3643" s="9"/>
      <c r="I3643" s="9"/>
      <c r="J3643" s="9"/>
      <c r="K3643" s="9"/>
      <c r="L3643" s="9"/>
      <c r="M3643" s="9"/>
      <c r="N3643" s="9"/>
    </row>
    <row r="3644" spans="1:14">
      <c r="A3644" s="9"/>
      <c r="B3644" s="9"/>
      <c r="C3644" s="9"/>
      <c r="D3644" s="9"/>
      <c r="E3644" s="9"/>
      <c r="F3644" s="9"/>
      <c r="G3644" s="9"/>
      <c r="H3644" s="9"/>
      <c r="I3644" s="9"/>
      <c r="J3644" s="9"/>
      <c r="K3644" s="9"/>
      <c r="L3644" s="9"/>
      <c r="M3644" s="9"/>
      <c r="N3644" s="9"/>
    </row>
    <row r="3645" spans="1:14">
      <c r="A3645" s="9"/>
      <c r="B3645" s="9"/>
      <c r="C3645" s="9"/>
      <c r="D3645" s="9"/>
      <c r="E3645" s="9"/>
      <c r="F3645" s="9"/>
      <c r="G3645" s="9"/>
      <c r="H3645" s="9"/>
      <c r="I3645" s="9"/>
      <c r="J3645" s="9"/>
      <c r="K3645" s="9"/>
      <c r="L3645" s="9"/>
      <c r="M3645" s="9"/>
      <c r="N3645" s="9"/>
    </row>
    <row r="3646" spans="1:14">
      <c r="A3646" s="9"/>
      <c r="B3646" s="9"/>
      <c r="C3646" s="9"/>
      <c r="D3646" s="9"/>
      <c r="E3646" s="9"/>
      <c r="F3646" s="9"/>
      <c r="G3646" s="9"/>
      <c r="H3646" s="9"/>
      <c r="I3646" s="9"/>
      <c r="J3646" s="9"/>
      <c r="K3646" s="9"/>
      <c r="L3646" s="9"/>
      <c r="M3646" s="9"/>
      <c r="N3646" s="9"/>
    </row>
    <row r="3647" spans="1:14">
      <c r="A3647" s="9"/>
      <c r="B3647" s="9"/>
      <c r="C3647" s="9"/>
      <c r="D3647" s="9"/>
      <c r="E3647" s="9"/>
      <c r="F3647" s="9"/>
      <c r="G3647" s="9"/>
      <c r="H3647" s="9"/>
      <c r="I3647" s="9"/>
      <c r="J3647" s="9"/>
      <c r="K3647" s="9"/>
      <c r="L3647" s="9"/>
      <c r="M3647" s="9"/>
      <c r="N3647" s="9"/>
    </row>
    <row r="3648" spans="1:14">
      <c r="A3648" s="9"/>
      <c r="B3648" s="9"/>
      <c r="C3648" s="9"/>
      <c r="D3648" s="9"/>
      <c r="E3648" s="9"/>
      <c r="F3648" s="9"/>
      <c r="G3648" s="9"/>
      <c r="H3648" s="9"/>
      <c r="I3648" s="9"/>
      <c r="J3648" s="9"/>
      <c r="K3648" s="9"/>
      <c r="L3648" s="9"/>
      <c r="M3648" s="9"/>
      <c r="N3648" s="9"/>
    </row>
    <row r="3649" spans="1:14">
      <c r="A3649" s="9"/>
      <c r="B3649" s="9"/>
      <c r="C3649" s="9"/>
      <c r="D3649" s="9"/>
      <c r="E3649" s="9"/>
      <c r="F3649" s="9"/>
      <c r="G3649" s="9"/>
      <c r="H3649" s="9"/>
      <c r="I3649" s="9"/>
      <c r="J3649" s="9"/>
      <c r="K3649" s="9"/>
      <c r="L3649" s="9"/>
      <c r="M3649" s="9"/>
      <c r="N3649" s="9"/>
    </row>
    <row r="3650" spans="1:14">
      <c r="A3650" s="9"/>
      <c r="B3650" s="9"/>
      <c r="C3650" s="9"/>
      <c r="D3650" s="9"/>
      <c r="E3650" s="9"/>
      <c r="F3650" s="9"/>
      <c r="G3650" s="9"/>
      <c r="H3650" s="9"/>
      <c r="I3650" s="9"/>
      <c r="J3650" s="9"/>
      <c r="K3650" s="9"/>
      <c r="L3650" s="9"/>
      <c r="M3650" s="9"/>
      <c r="N3650" s="9"/>
    </row>
    <row r="3651" spans="1:14">
      <c r="A3651" s="9"/>
      <c r="B3651" s="9"/>
      <c r="C3651" s="9"/>
      <c r="D3651" s="9"/>
      <c r="E3651" s="9"/>
      <c r="F3651" s="9"/>
      <c r="G3651" s="9"/>
      <c r="H3651" s="9"/>
      <c r="I3651" s="9"/>
      <c r="J3651" s="9"/>
      <c r="K3651" s="9"/>
      <c r="L3651" s="9"/>
      <c r="M3651" s="9"/>
      <c r="N3651" s="9"/>
    </row>
    <row r="3652" spans="1:14">
      <c r="A3652" s="9"/>
      <c r="B3652" s="9"/>
      <c r="C3652" s="9"/>
      <c r="D3652" s="9"/>
      <c r="E3652" s="9"/>
      <c r="F3652" s="9"/>
      <c r="G3652" s="9"/>
      <c r="H3652" s="9"/>
      <c r="I3652" s="9"/>
      <c r="J3652" s="9"/>
      <c r="K3652" s="9"/>
      <c r="L3652" s="9"/>
      <c r="M3652" s="9"/>
      <c r="N3652" s="9"/>
    </row>
    <row r="3653" spans="1:14">
      <c r="A3653" s="9"/>
      <c r="B3653" s="9"/>
      <c r="C3653" s="9"/>
      <c r="D3653" s="9"/>
      <c r="E3653" s="9"/>
      <c r="F3653" s="9"/>
      <c r="G3653" s="9"/>
      <c r="H3653" s="9"/>
      <c r="I3653" s="9"/>
      <c r="J3653" s="9"/>
      <c r="K3653" s="9"/>
      <c r="L3653" s="9"/>
      <c r="M3653" s="9"/>
      <c r="N3653" s="9"/>
    </row>
    <row r="3654" spans="1:14">
      <c r="A3654" s="9"/>
      <c r="B3654" s="9"/>
      <c r="C3654" s="9"/>
      <c r="D3654" s="9"/>
      <c r="E3654" s="9"/>
      <c r="F3654" s="9"/>
      <c r="G3654" s="9"/>
      <c r="H3654" s="9"/>
      <c r="I3654" s="9"/>
      <c r="J3654" s="9"/>
      <c r="K3654" s="9"/>
      <c r="L3654" s="9"/>
      <c r="M3654" s="9"/>
      <c r="N3654" s="9"/>
    </row>
    <row r="3655" spans="1:14">
      <c r="A3655" s="9"/>
      <c r="B3655" s="9"/>
      <c r="C3655" s="9"/>
      <c r="D3655" s="9"/>
      <c r="E3655" s="9"/>
      <c r="F3655" s="9"/>
      <c r="G3655" s="9"/>
      <c r="H3655" s="9"/>
      <c r="I3655" s="9"/>
      <c r="J3655" s="9"/>
      <c r="K3655" s="9"/>
      <c r="L3655" s="9"/>
      <c r="M3655" s="9"/>
      <c r="N3655" s="9"/>
    </row>
    <row r="3656" spans="1:14">
      <c r="A3656" s="9"/>
      <c r="B3656" s="9"/>
      <c r="C3656" s="9"/>
      <c r="D3656" s="9"/>
      <c r="E3656" s="9"/>
      <c r="F3656" s="9"/>
      <c r="G3656" s="9"/>
      <c r="H3656" s="9"/>
      <c r="I3656" s="9"/>
      <c r="J3656" s="9"/>
      <c r="K3656" s="9"/>
      <c r="L3656" s="9"/>
      <c r="M3656" s="9"/>
      <c r="N3656" s="9"/>
    </row>
    <row r="3657" spans="1:14">
      <c r="A3657" s="9"/>
      <c r="B3657" s="9"/>
      <c r="C3657" s="9"/>
      <c r="D3657" s="9"/>
      <c r="E3657" s="9"/>
      <c r="F3657" s="9"/>
      <c r="G3657" s="9"/>
      <c r="H3657" s="9"/>
      <c r="I3657" s="9"/>
      <c r="J3657" s="9"/>
      <c r="K3657" s="9"/>
      <c r="L3657" s="9"/>
      <c r="M3657" s="9"/>
      <c r="N3657" s="9"/>
    </row>
    <row r="3658" spans="1:14">
      <c r="A3658" s="9"/>
      <c r="B3658" s="9"/>
      <c r="C3658" s="9"/>
      <c r="D3658" s="9"/>
      <c r="E3658" s="9"/>
      <c r="F3658" s="9"/>
      <c r="G3658" s="9"/>
      <c r="H3658" s="9"/>
      <c r="I3658" s="9"/>
      <c r="J3658" s="9"/>
      <c r="K3658" s="9"/>
      <c r="L3658" s="9"/>
      <c r="M3658" s="9"/>
      <c r="N3658" s="9"/>
    </row>
    <row r="3659" spans="1:14">
      <c r="A3659" s="9"/>
      <c r="B3659" s="9"/>
      <c r="C3659" s="9"/>
      <c r="D3659" s="9"/>
      <c r="E3659" s="9"/>
      <c r="F3659" s="9"/>
      <c r="G3659" s="9"/>
      <c r="H3659" s="9"/>
      <c r="I3659" s="9"/>
      <c r="J3659" s="9"/>
      <c r="K3659" s="9"/>
      <c r="L3659" s="9"/>
      <c r="M3659" s="9"/>
      <c r="N3659" s="9"/>
    </row>
    <row r="3660" spans="1:14">
      <c r="A3660" s="9"/>
      <c r="B3660" s="9"/>
      <c r="C3660" s="9"/>
      <c r="D3660" s="9"/>
      <c r="E3660" s="9"/>
      <c r="F3660" s="9"/>
      <c r="G3660" s="9"/>
      <c r="H3660" s="9"/>
      <c r="I3660" s="9"/>
      <c r="J3660" s="9"/>
      <c r="K3660" s="9"/>
      <c r="L3660" s="9"/>
      <c r="M3660" s="9"/>
      <c r="N3660" s="9"/>
    </row>
    <row r="3661" spans="1:14">
      <c r="A3661" s="9"/>
      <c r="B3661" s="9"/>
      <c r="C3661" s="9"/>
      <c r="D3661" s="9"/>
      <c r="E3661" s="9"/>
      <c r="F3661" s="9"/>
      <c r="G3661" s="9"/>
      <c r="H3661" s="9"/>
      <c r="I3661" s="9"/>
      <c r="J3661" s="9"/>
      <c r="K3661" s="9"/>
      <c r="L3661" s="9"/>
      <c r="M3661" s="9"/>
      <c r="N3661" s="9"/>
    </row>
    <row r="3662" spans="1:14">
      <c r="A3662" s="9"/>
      <c r="B3662" s="9"/>
      <c r="C3662" s="9"/>
      <c r="D3662" s="9"/>
      <c r="E3662" s="9"/>
      <c r="F3662" s="9"/>
      <c r="G3662" s="9"/>
      <c r="H3662" s="9"/>
      <c r="I3662" s="9"/>
      <c r="J3662" s="9"/>
      <c r="K3662" s="9"/>
      <c r="L3662" s="9"/>
      <c r="M3662" s="9"/>
      <c r="N3662" s="9"/>
    </row>
    <row r="3663" spans="1:14">
      <c r="A3663" s="9"/>
      <c r="B3663" s="9"/>
      <c r="C3663" s="9"/>
      <c r="D3663" s="9"/>
      <c r="E3663" s="9"/>
      <c r="F3663" s="9"/>
      <c r="G3663" s="9"/>
      <c r="H3663" s="9"/>
      <c r="I3663" s="9"/>
      <c r="J3663" s="9"/>
      <c r="K3663" s="9"/>
      <c r="L3663" s="9"/>
      <c r="M3663" s="9"/>
      <c r="N3663" s="9"/>
    </row>
    <row r="3664" spans="1:14">
      <c r="A3664" s="9"/>
      <c r="B3664" s="9"/>
      <c r="C3664" s="9"/>
      <c r="D3664" s="9"/>
      <c r="E3664" s="9"/>
      <c r="F3664" s="9"/>
      <c r="G3664" s="9"/>
      <c r="H3664" s="9"/>
      <c r="I3664" s="9"/>
      <c r="J3664" s="9"/>
      <c r="K3664" s="9"/>
      <c r="L3664" s="9"/>
      <c r="M3664" s="9"/>
      <c r="N3664" s="9"/>
    </row>
    <row r="3665" spans="1:14">
      <c r="A3665" s="9"/>
      <c r="B3665" s="9"/>
      <c r="C3665" s="9"/>
      <c r="D3665" s="9"/>
      <c r="E3665" s="9"/>
      <c r="F3665" s="9"/>
      <c r="G3665" s="9"/>
      <c r="H3665" s="9"/>
      <c r="I3665" s="9"/>
      <c r="J3665" s="9"/>
      <c r="K3665" s="9"/>
      <c r="L3665" s="9"/>
      <c r="M3665" s="9"/>
      <c r="N3665" s="9"/>
    </row>
    <row r="3666" spans="1:14">
      <c r="A3666" s="9"/>
      <c r="B3666" s="9"/>
      <c r="C3666" s="9"/>
      <c r="D3666" s="9"/>
      <c r="E3666" s="9"/>
      <c r="F3666" s="9"/>
      <c r="G3666" s="9"/>
      <c r="H3666" s="9"/>
      <c r="I3666" s="9"/>
      <c r="J3666" s="9"/>
      <c r="K3666" s="9"/>
      <c r="L3666" s="9"/>
      <c r="M3666" s="9"/>
      <c r="N3666" s="9"/>
    </row>
    <row r="3667" spans="1:14">
      <c r="A3667" s="9"/>
      <c r="B3667" s="9"/>
      <c r="C3667" s="9"/>
      <c r="D3667" s="9"/>
      <c r="E3667" s="9"/>
      <c r="F3667" s="9"/>
      <c r="G3667" s="9"/>
      <c r="H3667" s="9"/>
      <c r="I3667" s="9"/>
      <c r="J3667" s="9"/>
      <c r="K3667" s="9"/>
      <c r="L3667" s="9"/>
      <c r="M3667" s="9"/>
      <c r="N3667" s="9"/>
    </row>
    <row r="3668" spans="1:14">
      <c r="A3668" s="9"/>
      <c r="B3668" s="9"/>
      <c r="C3668" s="9"/>
      <c r="D3668" s="9"/>
      <c r="E3668" s="9"/>
      <c r="F3668" s="9"/>
      <c r="G3668" s="9"/>
      <c r="H3668" s="9"/>
      <c r="I3668" s="9"/>
      <c r="J3668" s="9"/>
      <c r="K3668" s="9"/>
      <c r="L3668" s="9"/>
      <c r="M3668" s="9"/>
      <c r="N3668" s="9"/>
    </row>
    <row r="3669" spans="1:14">
      <c r="A3669" s="9"/>
      <c r="B3669" s="9"/>
      <c r="C3669" s="9"/>
      <c r="D3669" s="9"/>
      <c r="E3669" s="9"/>
      <c r="F3669" s="9"/>
      <c r="G3669" s="9"/>
      <c r="H3669" s="9"/>
      <c r="I3669" s="9"/>
      <c r="J3669" s="9"/>
      <c r="K3669" s="9"/>
      <c r="L3669" s="9"/>
      <c r="M3669" s="9"/>
      <c r="N3669" s="9"/>
    </row>
    <row r="3670" spans="1:14">
      <c r="A3670" s="9"/>
      <c r="B3670" s="9"/>
      <c r="C3670" s="9"/>
      <c r="D3670" s="9"/>
      <c r="E3670" s="9"/>
      <c r="F3670" s="9"/>
      <c r="G3670" s="9"/>
      <c r="H3670" s="9"/>
      <c r="I3670" s="9"/>
      <c r="J3670" s="9"/>
      <c r="K3670" s="9"/>
      <c r="L3670" s="9"/>
      <c r="M3670" s="9"/>
      <c r="N3670" s="9"/>
    </row>
    <row r="3671" spans="1:14">
      <c r="A3671" s="9"/>
      <c r="B3671" s="9"/>
      <c r="C3671" s="9"/>
      <c r="D3671" s="9"/>
      <c r="E3671" s="9"/>
      <c r="F3671" s="9"/>
      <c r="G3671" s="9"/>
      <c r="H3671" s="9"/>
      <c r="I3671" s="9"/>
      <c r="J3671" s="9"/>
      <c r="K3671" s="9"/>
      <c r="L3671" s="9"/>
      <c r="M3671" s="9"/>
      <c r="N3671" s="9"/>
    </row>
    <row r="3672" spans="1:14">
      <c r="A3672" s="9"/>
      <c r="B3672" s="9"/>
      <c r="C3672" s="9"/>
      <c r="D3672" s="9"/>
      <c r="E3672" s="9"/>
      <c r="F3672" s="9"/>
      <c r="G3672" s="9"/>
      <c r="H3672" s="9"/>
      <c r="I3672" s="9"/>
      <c r="J3672" s="9"/>
      <c r="K3672" s="9"/>
      <c r="L3672" s="9"/>
      <c r="M3672" s="9"/>
      <c r="N3672" s="9"/>
    </row>
    <row r="3673" spans="1:14">
      <c r="A3673" s="9"/>
      <c r="B3673" s="9"/>
      <c r="C3673" s="9"/>
      <c r="D3673" s="9"/>
      <c r="E3673" s="9"/>
      <c r="F3673" s="9"/>
      <c r="G3673" s="9"/>
      <c r="H3673" s="9"/>
      <c r="I3673" s="9"/>
      <c r="J3673" s="9"/>
      <c r="K3673" s="9"/>
      <c r="L3673" s="9"/>
      <c r="M3673" s="9"/>
      <c r="N3673" s="9"/>
    </row>
    <row r="3674" spans="1:14">
      <c r="A3674" s="9"/>
      <c r="B3674" s="9"/>
      <c r="C3674" s="9"/>
      <c r="D3674" s="9"/>
      <c r="E3674" s="9"/>
      <c r="F3674" s="9"/>
      <c r="G3674" s="9"/>
      <c r="H3674" s="9"/>
      <c r="I3674" s="9"/>
      <c r="J3674" s="9"/>
      <c r="K3674" s="9"/>
      <c r="L3674" s="9"/>
      <c r="M3674" s="9"/>
      <c r="N3674" s="9"/>
    </row>
    <row r="3675" spans="1:14">
      <c r="A3675" s="9"/>
      <c r="B3675" s="9"/>
      <c r="C3675" s="9"/>
      <c r="D3675" s="9"/>
      <c r="E3675" s="9"/>
      <c r="F3675" s="9"/>
      <c r="G3675" s="9"/>
      <c r="H3675" s="9"/>
      <c r="I3675" s="9"/>
      <c r="J3675" s="9"/>
      <c r="K3675" s="9"/>
      <c r="L3675" s="9"/>
      <c r="M3675" s="9"/>
      <c r="N3675" s="9"/>
    </row>
    <row r="3676" spans="1:14">
      <c r="A3676" s="9"/>
      <c r="B3676" s="9"/>
      <c r="C3676" s="9"/>
      <c r="D3676" s="9"/>
      <c r="E3676" s="9"/>
      <c r="F3676" s="9"/>
      <c r="G3676" s="9"/>
      <c r="H3676" s="9"/>
      <c r="I3676" s="9"/>
      <c r="J3676" s="9"/>
      <c r="K3676" s="9"/>
      <c r="L3676" s="9"/>
      <c r="M3676" s="9"/>
      <c r="N3676" s="9"/>
    </row>
    <row r="3677" spans="1:14">
      <c r="A3677" s="9"/>
      <c r="B3677" s="9"/>
      <c r="C3677" s="9"/>
      <c r="D3677" s="9"/>
      <c r="E3677" s="9"/>
      <c r="F3677" s="9"/>
      <c r="G3677" s="9"/>
      <c r="H3677" s="9"/>
      <c r="I3677" s="9"/>
      <c r="J3677" s="9"/>
      <c r="K3677" s="9"/>
      <c r="L3677" s="9"/>
      <c r="M3677" s="9"/>
      <c r="N3677" s="9"/>
    </row>
    <row r="3678" spans="1:14">
      <c r="A3678" s="9"/>
      <c r="B3678" s="9"/>
      <c r="C3678" s="9"/>
      <c r="D3678" s="9"/>
      <c r="E3678" s="9"/>
      <c r="F3678" s="9"/>
      <c r="G3678" s="9"/>
      <c r="H3678" s="9"/>
      <c r="I3678" s="9"/>
      <c r="J3678" s="9"/>
      <c r="K3678" s="9"/>
      <c r="L3678" s="9"/>
      <c r="M3678" s="9"/>
      <c r="N3678" s="9"/>
    </row>
    <row r="3679" spans="1:14">
      <c r="A3679" s="9"/>
      <c r="B3679" s="9"/>
      <c r="C3679" s="9"/>
      <c r="D3679" s="9"/>
      <c r="E3679" s="9"/>
      <c r="F3679" s="9"/>
      <c r="G3679" s="9"/>
      <c r="H3679" s="9"/>
      <c r="I3679" s="9"/>
      <c r="J3679" s="9"/>
      <c r="K3679" s="9"/>
      <c r="L3679" s="9"/>
      <c r="M3679" s="9"/>
      <c r="N3679" s="9"/>
    </row>
    <row r="3680" spans="1:14">
      <c r="A3680" s="9"/>
      <c r="B3680" s="9"/>
      <c r="C3680" s="9"/>
      <c r="D3680" s="9"/>
      <c r="E3680" s="9"/>
      <c r="F3680" s="9"/>
      <c r="G3680" s="9"/>
      <c r="H3680" s="9"/>
      <c r="I3680" s="9"/>
      <c r="J3680" s="9"/>
      <c r="K3680" s="9"/>
      <c r="L3680" s="9"/>
      <c r="M3680" s="9"/>
      <c r="N3680" s="9"/>
    </row>
    <row r="3681" spans="1:14">
      <c r="A3681" s="9"/>
      <c r="B3681" s="9"/>
      <c r="C3681" s="9"/>
      <c r="D3681" s="9"/>
      <c r="E3681" s="9"/>
      <c r="F3681" s="9"/>
      <c r="G3681" s="9"/>
      <c r="H3681" s="9"/>
      <c r="I3681" s="9"/>
      <c r="J3681" s="9"/>
      <c r="K3681" s="9"/>
      <c r="L3681" s="9"/>
      <c r="M3681" s="9"/>
      <c r="N3681" s="9"/>
    </row>
    <row r="3682" spans="1:14">
      <c r="A3682" s="9"/>
      <c r="B3682" s="9"/>
      <c r="C3682" s="9"/>
      <c r="D3682" s="9"/>
      <c r="E3682" s="9"/>
      <c r="F3682" s="9"/>
      <c r="G3682" s="9"/>
      <c r="H3682" s="9"/>
      <c r="I3682" s="9"/>
      <c r="J3682" s="9"/>
      <c r="K3682" s="9"/>
      <c r="L3682" s="9"/>
      <c r="M3682" s="9"/>
      <c r="N3682" s="9"/>
    </row>
    <row r="3683" spans="1:14">
      <c r="A3683" s="9"/>
      <c r="B3683" s="9"/>
      <c r="C3683" s="9"/>
      <c r="D3683" s="9"/>
      <c r="E3683" s="9"/>
      <c r="F3683" s="9"/>
      <c r="G3683" s="9"/>
      <c r="H3683" s="9"/>
      <c r="I3683" s="9"/>
      <c r="J3683" s="9"/>
      <c r="K3683" s="9"/>
      <c r="L3683" s="9"/>
      <c r="M3683" s="9"/>
      <c r="N3683" s="9"/>
    </row>
    <row r="3684" spans="1:14">
      <c r="A3684" s="9"/>
      <c r="B3684" s="9"/>
      <c r="C3684" s="9"/>
      <c r="D3684" s="9"/>
      <c r="E3684" s="9"/>
      <c r="F3684" s="9"/>
      <c r="G3684" s="9"/>
      <c r="H3684" s="9"/>
      <c r="I3684" s="9"/>
      <c r="J3684" s="9"/>
      <c r="K3684" s="9"/>
      <c r="L3684" s="9"/>
      <c r="M3684" s="9"/>
      <c r="N3684" s="9"/>
    </row>
    <row r="3685" spans="1:14">
      <c r="A3685" s="9"/>
      <c r="B3685" s="9"/>
      <c r="C3685" s="9"/>
      <c r="D3685" s="9"/>
      <c r="E3685" s="9"/>
      <c r="F3685" s="9"/>
      <c r="G3685" s="9"/>
      <c r="H3685" s="9"/>
      <c r="I3685" s="9"/>
      <c r="J3685" s="9"/>
      <c r="K3685" s="9"/>
      <c r="L3685" s="9"/>
      <c r="M3685" s="9"/>
      <c r="N3685" s="9"/>
    </row>
    <row r="3686" spans="1:14">
      <c r="A3686" s="9"/>
      <c r="B3686" s="9"/>
      <c r="C3686" s="9"/>
      <c r="D3686" s="9"/>
      <c r="E3686" s="9"/>
      <c r="F3686" s="9"/>
      <c r="G3686" s="9"/>
      <c r="H3686" s="9"/>
      <c r="I3686" s="9"/>
      <c r="J3686" s="9"/>
      <c r="K3686" s="9"/>
      <c r="L3686" s="9"/>
      <c r="M3686" s="9"/>
      <c r="N3686" s="9"/>
    </row>
    <row r="3687" spans="1:14">
      <c r="A3687" s="9"/>
      <c r="B3687" s="9"/>
      <c r="C3687" s="9"/>
      <c r="D3687" s="9"/>
      <c r="E3687" s="9"/>
      <c r="F3687" s="9"/>
      <c r="G3687" s="9"/>
      <c r="H3687" s="9"/>
      <c r="I3687" s="9"/>
      <c r="J3687" s="9"/>
      <c r="K3687" s="9"/>
      <c r="L3687" s="9"/>
      <c r="M3687" s="9"/>
      <c r="N3687" s="9"/>
    </row>
    <row r="3688" spans="1:14">
      <c r="A3688" s="9"/>
      <c r="B3688" s="9"/>
      <c r="C3688" s="9"/>
      <c r="D3688" s="9"/>
      <c r="E3688" s="9"/>
      <c r="F3688" s="9"/>
      <c r="G3688" s="9"/>
      <c r="H3688" s="9"/>
      <c r="I3688" s="9"/>
      <c r="J3688" s="9"/>
      <c r="K3688" s="9"/>
      <c r="L3688" s="9"/>
      <c r="M3688" s="9"/>
      <c r="N3688" s="9"/>
    </row>
    <row r="3689" spans="1:14">
      <c r="A3689" s="9"/>
      <c r="B3689" s="9"/>
      <c r="C3689" s="9"/>
      <c r="D3689" s="9"/>
      <c r="E3689" s="9"/>
      <c r="F3689" s="9"/>
      <c r="G3689" s="9"/>
      <c r="H3689" s="9"/>
      <c r="I3689" s="9"/>
      <c r="J3689" s="9"/>
      <c r="K3689" s="9"/>
      <c r="L3689" s="9"/>
      <c r="M3689" s="9"/>
      <c r="N3689" s="9"/>
    </row>
    <row r="3690" spans="1:14">
      <c r="A3690" s="9"/>
      <c r="B3690" s="9"/>
      <c r="C3690" s="9"/>
      <c r="D3690" s="9"/>
      <c r="E3690" s="9"/>
      <c r="F3690" s="9"/>
      <c r="G3690" s="9"/>
      <c r="H3690" s="9"/>
      <c r="I3690" s="9"/>
      <c r="J3690" s="9"/>
      <c r="K3690" s="9"/>
      <c r="L3690" s="9"/>
      <c r="M3690" s="9"/>
      <c r="N3690" s="9"/>
    </row>
    <row r="3691" spans="1:14">
      <c r="A3691" s="9"/>
      <c r="B3691" s="9"/>
      <c r="C3691" s="9"/>
      <c r="D3691" s="9"/>
      <c r="E3691" s="9"/>
      <c r="F3691" s="9"/>
      <c r="G3691" s="9"/>
      <c r="H3691" s="9"/>
      <c r="I3691" s="9"/>
      <c r="J3691" s="9"/>
      <c r="K3691" s="9"/>
      <c r="L3691" s="9"/>
      <c r="M3691" s="9"/>
      <c r="N3691" s="9"/>
    </row>
    <row r="3692" spans="1:14">
      <c r="A3692" s="9"/>
      <c r="B3692" s="9"/>
      <c r="C3692" s="9"/>
      <c r="D3692" s="9"/>
      <c r="E3692" s="9"/>
      <c r="F3692" s="9"/>
      <c r="G3692" s="9"/>
      <c r="H3692" s="9"/>
      <c r="I3692" s="9"/>
      <c r="J3692" s="9"/>
      <c r="K3692" s="9"/>
      <c r="L3692" s="9"/>
      <c r="M3692" s="9"/>
      <c r="N3692" s="9"/>
    </row>
    <row r="3693" spans="1:14">
      <c r="A3693" s="9"/>
      <c r="B3693" s="9"/>
      <c r="C3693" s="9"/>
      <c r="D3693" s="9"/>
      <c r="E3693" s="9"/>
      <c r="F3693" s="9"/>
      <c r="G3693" s="9"/>
      <c r="H3693" s="9"/>
      <c r="I3693" s="9"/>
      <c r="J3693" s="9"/>
      <c r="K3693" s="9"/>
      <c r="L3693" s="9"/>
      <c r="M3693" s="9"/>
      <c r="N3693" s="9"/>
    </row>
    <row r="3694" spans="1:14">
      <c r="A3694" s="9"/>
      <c r="B3694" s="9"/>
      <c r="C3694" s="9"/>
      <c r="D3694" s="9"/>
      <c r="E3694" s="9"/>
      <c r="F3694" s="9"/>
      <c r="G3694" s="9"/>
      <c r="H3694" s="9"/>
      <c r="I3694" s="9"/>
      <c r="J3694" s="9"/>
      <c r="K3694" s="9"/>
      <c r="L3694" s="9"/>
      <c r="M3694" s="9"/>
      <c r="N3694" s="9"/>
    </row>
    <row r="3695" spans="1:14">
      <c r="A3695" s="9"/>
      <c r="B3695" s="9"/>
      <c r="C3695" s="9"/>
      <c r="D3695" s="9"/>
      <c r="E3695" s="9"/>
      <c r="F3695" s="9"/>
      <c r="G3695" s="9"/>
      <c r="H3695" s="9"/>
      <c r="I3695" s="9"/>
      <c r="J3695" s="9"/>
      <c r="K3695" s="9"/>
      <c r="L3695" s="9"/>
      <c r="M3695" s="9"/>
      <c r="N3695" s="9"/>
    </row>
    <row r="3696" spans="1:14">
      <c r="A3696" s="9"/>
      <c r="B3696" s="9"/>
      <c r="C3696" s="9"/>
      <c r="D3696" s="9"/>
      <c r="E3696" s="9"/>
      <c r="F3696" s="9"/>
      <c r="G3696" s="9"/>
      <c r="H3696" s="9"/>
      <c r="I3696" s="9"/>
      <c r="J3696" s="9"/>
      <c r="K3696" s="9"/>
      <c r="L3696" s="9"/>
      <c r="M3696" s="9"/>
      <c r="N3696" s="9"/>
    </row>
    <row r="3697" spans="1:14">
      <c r="A3697" s="9"/>
      <c r="B3697" s="9"/>
      <c r="C3697" s="9"/>
      <c r="D3697" s="9"/>
      <c r="E3697" s="9"/>
      <c r="F3697" s="9"/>
      <c r="G3697" s="9"/>
      <c r="H3697" s="9"/>
      <c r="I3697" s="9"/>
      <c r="J3697" s="9"/>
      <c r="K3697" s="9"/>
      <c r="L3697" s="9"/>
      <c r="M3697" s="9"/>
      <c r="N3697" s="9"/>
    </row>
    <row r="3698" spans="1:14">
      <c r="A3698" s="9"/>
      <c r="B3698" s="9"/>
      <c r="C3698" s="9"/>
      <c r="D3698" s="9"/>
      <c r="E3698" s="9"/>
      <c r="F3698" s="9"/>
      <c r="G3698" s="9"/>
      <c r="H3698" s="9"/>
      <c r="I3698" s="9"/>
      <c r="J3698" s="9"/>
      <c r="K3698" s="9"/>
      <c r="L3698" s="9"/>
      <c r="M3698" s="9"/>
      <c r="N3698" s="9"/>
    </row>
    <row r="3699" spans="1:14">
      <c r="A3699" s="9"/>
      <c r="B3699" s="9"/>
      <c r="C3699" s="9"/>
      <c r="D3699" s="9"/>
      <c r="E3699" s="9"/>
      <c r="F3699" s="9"/>
      <c r="G3699" s="9"/>
      <c r="H3699" s="9"/>
      <c r="I3699" s="9"/>
      <c r="J3699" s="9"/>
      <c r="K3699" s="9"/>
      <c r="L3699" s="9"/>
      <c r="M3699" s="9"/>
      <c r="N3699" s="9"/>
    </row>
    <row r="3700" spans="1:14">
      <c r="A3700" s="9"/>
      <c r="B3700" s="9"/>
      <c r="C3700" s="9"/>
      <c r="D3700" s="9"/>
      <c r="E3700" s="9"/>
      <c r="F3700" s="9"/>
      <c r="G3700" s="9"/>
      <c r="H3700" s="9"/>
      <c r="I3700" s="9"/>
      <c r="J3700" s="9"/>
      <c r="K3700" s="9"/>
      <c r="L3700" s="9"/>
      <c r="M3700" s="9"/>
      <c r="N3700" s="9"/>
    </row>
    <row r="3701" spans="1:14">
      <c r="A3701" s="9"/>
      <c r="B3701" s="9"/>
      <c r="C3701" s="9"/>
      <c r="D3701" s="9"/>
      <c r="E3701" s="9"/>
      <c r="F3701" s="9"/>
      <c r="G3701" s="9"/>
      <c r="H3701" s="9"/>
      <c r="I3701" s="9"/>
      <c r="J3701" s="9"/>
      <c r="K3701" s="9"/>
      <c r="L3701" s="9"/>
      <c r="M3701" s="9"/>
      <c r="N3701" s="9"/>
    </row>
    <row r="3702" spans="1:14">
      <c r="A3702" s="9"/>
      <c r="B3702" s="9"/>
      <c r="C3702" s="9"/>
      <c r="D3702" s="9"/>
      <c r="E3702" s="9"/>
      <c r="F3702" s="9"/>
      <c r="G3702" s="9"/>
      <c r="H3702" s="9"/>
      <c r="I3702" s="9"/>
      <c r="J3702" s="9"/>
      <c r="K3702" s="9"/>
      <c r="L3702" s="9"/>
      <c r="M3702" s="9"/>
      <c r="N3702" s="9"/>
    </row>
    <row r="3703" spans="1:14">
      <c r="A3703" s="9"/>
      <c r="B3703" s="9"/>
      <c r="C3703" s="9"/>
      <c r="D3703" s="9"/>
      <c r="E3703" s="9"/>
      <c r="F3703" s="9"/>
      <c r="G3703" s="9"/>
      <c r="H3703" s="9"/>
      <c r="I3703" s="9"/>
      <c r="J3703" s="9"/>
      <c r="K3703" s="9"/>
      <c r="L3703" s="9"/>
      <c r="M3703" s="9"/>
      <c r="N3703" s="9"/>
    </row>
    <row r="3704" spans="1:14">
      <c r="A3704" s="9"/>
      <c r="B3704" s="9"/>
      <c r="C3704" s="9"/>
      <c r="D3704" s="9"/>
      <c r="E3704" s="9"/>
      <c r="F3704" s="9"/>
      <c r="G3704" s="9"/>
      <c r="H3704" s="9"/>
      <c r="I3704" s="9"/>
      <c r="J3704" s="9"/>
      <c r="K3704" s="9"/>
      <c r="L3704" s="9"/>
      <c r="M3704" s="9"/>
      <c r="N3704" s="9"/>
    </row>
    <row r="3705" spans="1:14">
      <c r="A3705" s="9"/>
      <c r="B3705" s="9"/>
      <c r="C3705" s="9"/>
      <c r="D3705" s="9"/>
      <c r="E3705" s="9"/>
      <c r="F3705" s="9"/>
      <c r="G3705" s="9"/>
      <c r="H3705" s="9"/>
      <c r="I3705" s="9"/>
      <c r="J3705" s="9"/>
      <c r="K3705" s="9"/>
      <c r="L3705" s="9"/>
      <c r="M3705" s="9"/>
      <c r="N3705" s="9"/>
    </row>
    <row r="3706" spans="1:14">
      <c r="A3706" s="9"/>
      <c r="B3706" s="9"/>
      <c r="C3706" s="9"/>
      <c r="D3706" s="9"/>
      <c r="E3706" s="9"/>
      <c r="F3706" s="9"/>
      <c r="G3706" s="9"/>
      <c r="H3706" s="9"/>
      <c r="I3706" s="9"/>
      <c r="J3706" s="9"/>
      <c r="K3706" s="9"/>
      <c r="L3706" s="9"/>
      <c r="M3706" s="9"/>
      <c r="N3706" s="9"/>
    </row>
    <row r="3707" spans="1:14">
      <c r="A3707" s="9"/>
      <c r="B3707" s="9"/>
      <c r="C3707" s="9"/>
      <c r="D3707" s="9"/>
      <c r="E3707" s="9"/>
      <c r="F3707" s="9"/>
      <c r="G3707" s="9"/>
      <c r="H3707" s="9"/>
      <c r="I3707" s="9"/>
      <c r="J3707" s="9"/>
      <c r="K3707" s="9"/>
      <c r="L3707" s="9"/>
      <c r="M3707" s="9"/>
      <c r="N3707" s="9"/>
    </row>
    <row r="3708" spans="1:14">
      <c r="A3708" s="9"/>
      <c r="B3708" s="9"/>
      <c r="C3708" s="9"/>
      <c r="D3708" s="9"/>
      <c r="E3708" s="9"/>
      <c r="F3708" s="9"/>
      <c r="G3708" s="9"/>
      <c r="H3708" s="9"/>
      <c r="I3708" s="9"/>
      <c r="J3708" s="9"/>
      <c r="K3708" s="9"/>
      <c r="L3708" s="9"/>
      <c r="M3708" s="9"/>
      <c r="N3708" s="9"/>
    </row>
    <row r="3709" spans="1:14">
      <c r="A3709" s="9"/>
      <c r="B3709" s="9"/>
      <c r="C3709" s="9"/>
      <c r="D3709" s="9"/>
      <c r="E3709" s="9"/>
      <c r="F3709" s="9"/>
      <c r="G3709" s="9"/>
      <c r="H3709" s="9"/>
      <c r="I3709" s="9"/>
      <c r="J3709" s="9"/>
      <c r="K3709" s="9"/>
      <c r="L3709" s="9"/>
      <c r="M3709" s="9"/>
      <c r="N3709" s="9"/>
    </row>
    <row r="3710" spans="1:14">
      <c r="A3710" s="9"/>
      <c r="B3710" s="9"/>
      <c r="C3710" s="9"/>
      <c r="D3710" s="9"/>
      <c r="E3710" s="9"/>
      <c r="F3710" s="9"/>
      <c r="G3710" s="9"/>
      <c r="H3710" s="9"/>
      <c r="I3710" s="9"/>
      <c r="J3710" s="9"/>
      <c r="K3710" s="9"/>
      <c r="L3710" s="9"/>
      <c r="M3710" s="9"/>
      <c r="N3710" s="9"/>
    </row>
    <row r="3711" spans="1:14">
      <c r="A3711" s="9"/>
      <c r="B3711" s="9"/>
      <c r="C3711" s="9"/>
      <c r="D3711" s="9"/>
      <c r="E3711" s="9"/>
      <c r="F3711" s="9"/>
      <c r="G3711" s="9"/>
      <c r="H3711" s="9"/>
      <c r="I3711" s="9"/>
      <c r="J3711" s="9"/>
      <c r="K3711" s="9"/>
      <c r="L3711" s="9"/>
      <c r="M3711" s="9"/>
      <c r="N3711" s="9"/>
    </row>
    <row r="3712" spans="1:14">
      <c r="A3712" s="9"/>
      <c r="B3712" s="9"/>
      <c r="C3712" s="9"/>
      <c r="D3712" s="9"/>
      <c r="E3712" s="9"/>
      <c r="F3712" s="9"/>
      <c r="G3712" s="9"/>
      <c r="H3712" s="9"/>
      <c r="I3712" s="9"/>
      <c r="J3712" s="9"/>
      <c r="K3712" s="9"/>
      <c r="L3712" s="9"/>
      <c r="M3712" s="9"/>
      <c r="N3712" s="9"/>
    </row>
    <row r="3713" spans="1:14">
      <c r="A3713" s="9"/>
      <c r="B3713" s="9"/>
      <c r="C3713" s="9"/>
      <c r="D3713" s="9"/>
      <c r="E3713" s="9"/>
      <c r="F3713" s="9"/>
      <c r="G3713" s="9"/>
      <c r="H3713" s="9"/>
      <c r="I3713" s="9"/>
      <c r="J3713" s="9"/>
      <c r="K3713" s="9"/>
      <c r="L3713" s="9"/>
      <c r="M3713" s="9"/>
      <c r="N3713" s="9"/>
    </row>
    <row r="3714" spans="1:14">
      <c r="A3714" s="9"/>
      <c r="B3714" s="9"/>
      <c r="C3714" s="9"/>
      <c r="D3714" s="9"/>
      <c r="E3714" s="9"/>
      <c r="F3714" s="9"/>
      <c r="G3714" s="9"/>
      <c r="H3714" s="9"/>
      <c r="I3714" s="9"/>
      <c r="J3714" s="9"/>
      <c r="K3714" s="9"/>
      <c r="L3714" s="9"/>
      <c r="M3714" s="9"/>
      <c r="N3714" s="9"/>
    </row>
    <row r="3715" spans="1:14">
      <c r="A3715" s="9"/>
      <c r="B3715" s="9"/>
      <c r="C3715" s="9"/>
      <c r="D3715" s="9"/>
      <c r="E3715" s="9"/>
      <c r="F3715" s="9"/>
      <c r="G3715" s="9"/>
      <c r="H3715" s="9"/>
      <c r="I3715" s="9"/>
      <c r="J3715" s="9"/>
      <c r="K3715" s="9"/>
      <c r="L3715" s="9"/>
      <c r="M3715" s="9"/>
      <c r="N3715" s="9"/>
    </row>
    <row r="3716" spans="1:14">
      <c r="A3716" s="9"/>
      <c r="B3716" s="9"/>
      <c r="C3716" s="9"/>
      <c r="D3716" s="9"/>
      <c r="E3716" s="9"/>
      <c r="F3716" s="9"/>
      <c r="G3716" s="9"/>
      <c r="H3716" s="9"/>
      <c r="I3716" s="9"/>
      <c r="J3716" s="9"/>
      <c r="K3716" s="9"/>
      <c r="L3716" s="9"/>
      <c r="M3716" s="9"/>
      <c r="N3716" s="9"/>
    </row>
    <row r="3717" spans="1:14">
      <c r="A3717" s="9"/>
      <c r="B3717" s="9"/>
      <c r="C3717" s="9"/>
      <c r="D3717" s="9"/>
      <c r="E3717" s="9"/>
      <c r="F3717" s="9"/>
      <c r="G3717" s="9"/>
      <c r="H3717" s="9"/>
      <c r="I3717" s="9"/>
      <c r="J3717" s="9"/>
      <c r="K3717" s="9"/>
      <c r="L3717" s="9"/>
      <c r="M3717" s="9"/>
      <c r="N3717" s="9"/>
    </row>
    <row r="3718" spans="1:14">
      <c r="A3718" s="9"/>
      <c r="B3718" s="9"/>
      <c r="C3718" s="9"/>
      <c r="D3718" s="9"/>
      <c r="E3718" s="9"/>
      <c r="F3718" s="9"/>
      <c r="G3718" s="9"/>
      <c r="H3718" s="9"/>
      <c r="I3718" s="9"/>
      <c r="J3718" s="9"/>
      <c r="K3718" s="9"/>
      <c r="L3718" s="9"/>
      <c r="M3718" s="9"/>
      <c r="N3718" s="9"/>
    </row>
    <row r="3719" spans="1:14">
      <c r="A3719" s="9"/>
      <c r="B3719" s="9"/>
      <c r="C3719" s="9"/>
      <c r="D3719" s="9"/>
      <c r="E3719" s="9"/>
      <c r="F3719" s="9"/>
      <c r="G3719" s="9"/>
      <c r="H3719" s="9"/>
      <c r="I3719" s="9"/>
      <c r="J3719" s="9"/>
      <c r="K3719" s="9"/>
      <c r="L3719" s="9"/>
      <c r="M3719" s="9"/>
      <c r="N3719" s="9"/>
    </row>
    <row r="3720" spans="1:14">
      <c r="A3720" s="9"/>
      <c r="B3720" s="9"/>
      <c r="C3720" s="9"/>
      <c r="D3720" s="9"/>
      <c r="E3720" s="9"/>
      <c r="F3720" s="9"/>
      <c r="G3720" s="9"/>
      <c r="H3720" s="9"/>
      <c r="I3720" s="9"/>
      <c r="J3720" s="9"/>
      <c r="K3720" s="9"/>
      <c r="L3720" s="9"/>
      <c r="M3720" s="9"/>
      <c r="N3720" s="9"/>
    </row>
    <row r="3721" spans="1:14">
      <c r="A3721" s="9"/>
      <c r="B3721" s="9"/>
      <c r="C3721" s="9"/>
      <c r="D3721" s="9"/>
      <c r="E3721" s="9"/>
      <c r="F3721" s="9"/>
      <c r="G3721" s="9"/>
      <c r="H3721" s="9"/>
      <c r="I3721" s="9"/>
      <c r="J3721" s="9"/>
      <c r="K3721" s="9"/>
      <c r="L3721" s="9"/>
      <c r="M3721" s="9"/>
      <c r="N3721" s="9"/>
    </row>
    <row r="3722" spans="1:14">
      <c r="A3722" s="9"/>
      <c r="B3722" s="9"/>
      <c r="C3722" s="9"/>
      <c r="D3722" s="9"/>
      <c r="E3722" s="9"/>
      <c r="F3722" s="9"/>
      <c r="G3722" s="9"/>
      <c r="H3722" s="9"/>
      <c r="I3722" s="9"/>
      <c r="J3722" s="9"/>
      <c r="K3722" s="9"/>
      <c r="L3722" s="9"/>
      <c r="M3722" s="9"/>
      <c r="N3722" s="9"/>
    </row>
    <row r="3723" spans="1:14">
      <c r="A3723" s="9"/>
      <c r="B3723" s="9"/>
      <c r="C3723" s="9"/>
      <c r="D3723" s="9"/>
      <c r="E3723" s="9"/>
      <c r="F3723" s="9"/>
      <c r="G3723" s="9"/>
      <c r="H3723" s="9"/>
      <c r="I3723" s="9"/>
      <c r="J3723" s="9"/>
      <c r="K3723" s="9"/>
      <c r="L3723" s="9"/>
      <c r="M3723" s="9"/>
      <c r="N3723" s="9"/>
    </row>
    <row r="3724" spans="1:14">
      <c r="A3724" s="9"/>
      <c r="B3724" s="9"/>
      <c r="C3724" s="9"/>
      <c r="D3724" s="9"/>
      <c r="E3724" s="9"/>
      <c r="F3724" s="9"/>
      <c r="G3724" s="9"/>
      <c r="H3724" s="9"/>
      <c r="I3724" s="9"/>
      <c r="J3724" s="9"/>
      <c r="K3724" s="9"/>
      <c r="L3724" s="9"/>
      <c r="M3724" s="9"/>
      <c r="N3724" s="9"/>
    </row>
    <row r="3725" spans="1:14">
      <c r="A3725" s="9"/>
      <c r="B3725" s="9"/>
      <c r="C3725" s="9"/>
      <c r="D3725" s="9"/>
      <c r="E3725" s="9"/>
      <c r="F3725" s="9"/>
      <c r="G3725" s="9"/>
      <c r="H3725" s="9"/>
      <c r="I3725" s="9"/>
      <c r="J3725" s="9"/>
      <c r="K3725" s="9"/>
      <c r="L3725" s="9"/>
      <c r="M3725" s="9"/>
      <c r="N3725" s="9"/>
    </row>
    <row r="3726" spans="1:14">
      <c r="A3726" s="9"/>
      <c r="B3726" s="9"/>
      <c r="C3726" s="9"/>
      <c r="D3726" s="9"/>
      <c r="E3726" s="9"/>
      <c r="F3726" s="9"/>
      <c r="G3726" s="9"/>
      <c r="H3726" s="9"/>
      <c r="I3726" s="9"/>
      <c r="J3726" s="9"/>
      <c r="K3726" s="9"/>
      <c r="L3726" s="9"/>
      <c r="M3726" s="9"/>
      <c r="N3726" s="9"/>
    </row>
    <row r="3727" spans="1:14">
      <c r="A3727" s="9"/>
      <c r="B3727" s="9"/>
      <c r="C3727" s="9"/>
      <c r="D3727" s="9"/>
      <c r="E3727" s="9"/>
      <c r="F3727" s="9"/>
      <c r="G3727" s="9"/>
      <c r="H3727" s="9"/>
      <c r="I3727" s="9"/>
      <c r="J3727" s="9"/>
      <c r="K3727" s="9"/>
      <c r="L3727" s="9"/>
      <c r="M3727" s="9"/>
      <c r="N3727" s="9"/>
    </row>
    <row r="3728" spans="1:14">
      <c r="A3728" s="9"/>
      <c r="B3728" s="9"/>
      <c r="C3728" s="9"/>
      <c r="D3728" s="9"/>
      <c r="E3728" s="9"/>
      <c r="F3728" s="9"/>
      <c r="G3728" s="9"/>
      <c r="H3728" s="9"/>
      <c r="I3728" s="9"/>
      <c r="J3728" s="9"/>
      <c r="K3728" s="9"/>
      <c r="L3728" s="9"/>
      <c r="M3728" s="9"/>
      <c r="N3728" s="9"/>
    </row>
    <row r="3729" spans="1:14">
      <c r="A3729" s="9"/>
      <c r="B3729" s="9"/>
      <c r="C3729" s="9"/>
      <c r="D3729" s="9"/>
      <c r="E3729" s="9"/>
      <c r="F3729" s="9"/>
      <c r="G3729" s="9"/>
      <c r="H3729" s="9"/>
      <c r="I3729" s="9"/>
      <c r="J3729" s="9"/>
      <c r="K3729" s="9"/>
      <c r="L3729" s="9"/>
      <c r="M3729" s="9"/>
      <c r="N3729" s="9"/>
    </row>
    <row r="3730" spans="1:14">
      <c r="A3730" s="9"/>
      <c r="B3730" s="9"/>
      <c r="C3730" s="9"/>
      <c r="D3730" s="9"/>
      <c r="E3730" s="9"/>
      <c r="F3730" s="9"/>
      <c r="G3730" s="9"/>
      <c r="H3730" s="9"/>
      <c r="I3730" s="9"/>
      <c r="J3730" s="9"/>
      <c r="K3730" s="9"/>
      <c r="L3730" s="9"/>
      <c r="M3730" s="9"/>
      <c r="N3730" s="9"/>
    </row>
    <row r="3731" spans="1:14">
      <c r="A3731" s="9"/>
      <c r="B3731" s="9"/>
      <c r="C3731" s="9"/>
      <c r="D3731" s="9"/>
      <c r="E3731" s="9"/>
      <c r="F3731" s="9"/>
      <c r="G3731" s="9"/>
      <c r="H3731" s="9"/>
      <c r="I3731" s="9"/>
      <c r="J3731" s="9"/>
      <c r="K3731" s="9"/>
      <c r="L3731" s="9"/>
      <c r="M3731" s="9"/>
      <c r="N3731" s="9"/>
    </row>
    <row r="3732" spans="1:14">
      <c r="A3732" s="9"/>
      <c r="B3732" s="9"/>
      <c r="C3732" s="9"/>
      <c r="D3732" s="9"/>
      <c r="E3732" s="9"/>
      <c r="F3732" s="9"/>
      <c r="G3732" s="9"/>
      <c r="H3732" s="9"/>
      <c r="I3732" s="9"/>
      <c r="J3732" s="9"/>
      <c r="K3732" s="9"/>
      <c r="L3732" s="9"/>
      <c r="M3732" s="9"/>
      <c r="N3732" s="9"/>
    </row>
    <row r="3733" spans="1:14">
      <c r="A3733" s="9"/>
      <c r="B3733" s="9"/>
      <c r="C3733" s="9"/>
      <c r="D3733" s="9"/>
      <c r="E3733" s="9"/>
      <c r="F3733" s="9"/>
      <c r="G3733" s="9"/>
      <c r="H3733" s="9"/>
      <c r="I3733" s="9"/>
      <c r="J3733" s="9"/>
      <c r="K3733" s="9"/>
      <c r="L3733" s="9"/>
      <c r="M3733" s="9"/>
      <c r="N3733" s="9"/>
    </row>
    <row r="3734" spans="1:14">
      <c r="A3734" s="9"/>
      <c r="B3734" s="9"/>
      <c r="C3734" s="9"/>
      <c r="D3734" s="9"/>
      <c r="E3734" s="9"/>
      <c r="F3734" s="9"/>
      <c r="G3734" s="9"/>
      <c r="H3734" s="9"/>
      <c r="I3734" s="9"/>
      <c r="J3734" s="9"/>
      <c r="K3734" s="9"/>
      <c r="L3734" s="9"/>
      <c r="M3734" s="9"/>
      <c r="N3734" s="9"/>
    </row>
    <row r="3735" spans="1:14">
      <c r="A3735" s="9"/>
      <c r="B3735" s="9"/>
      <c r="C3735" s="9"/>
      <c r="D3735" s="9"/>
      <c r="E3735" s="9"/>
      <c r="F3735" s="9"/>
      <c r="G3735" s="9"/>
      <c r="H3735" s="9"/>
      <c r="I3735" s="9"/>
      <c r="J3735" s="9"/>
      <c r="K3735" s="9"/>
      <c r="L3735" s="9"/>
      <c r="M3735" s="9"/>
      <c r="N3735" s="9"/>
    </row>
    <row r="3736" spans="1:14">
      <c r="A3736" s="9"/>
      <c r="B3736" s="9"/>
      <c r="C3736" s="9"/>
      <c r="D3736" s="9"/>
      <c r="E3736" s="9"/>
      <c r="F3736" s="9"/>
      <c r="G3736" s="9"/>
      <c r="H3736" s="9"/>
      <c r="I3736" s="9"/>
      <c r="J3736" s="9"/>
      <c r="K3736" s="9"/>
      <c r="L3736" s="9"/>
      <c r="M3736" s="9"/>
      <c r="N3736" s="9"/>
    </row>
    <row r="3737" spans="1:14">
      <c r="A3737" s="9"/>
      <c r="B3737" s="9"/>
      <c r="C3737" s="9"/>
      <c r="D3737" s="9"/>
      <c r="E3737" s="9"/>
      <c r="F3737" s="9"/>
      <c r="G3737" s="9"/>
      <c r="H3737" s="9"/>
      <c r="I3737" s="9"/>
      <c r="J3737" s="9"/>
      <c r="K3737" s="9"/>
      <c r="L3737" s="9"/>
      <c r="M3737" s="9"/>
      <c r="N3737" s="9"/>
    </row>
    <row r="3738" spans="1:14">
      <c r="A3738" s="9"/>
      <c r="B3738" s="9"/>
      <c r="C3738" s="9"/>
      <c r="D3738" s="9"/>
      <c r="E3738" s="9"/>
      <c r="F3738" s="9"/>
      <c r="G3738" s="9"/>
      <c r="H3738" s="9"/>
      <c r="I3738" s="9"/>
      <c r="J3738" s="9"/>
      <c r="K3738" s="9"/>
      <c r="L3738" s="9"/>
      <c r="M3738" s="9"/>
      <c r="N3738" s="9"/>
    </row>
    <row r="3739" spans="1:14">
      <c r="A3739" s="9"/>
      <c r="B3739" s="9"/>
      <c r="C3739" s="9"/>
      <c r="D3739" s="9"/>
      <c r="E3739" s="9"/>
      <c r="F3739" s="9"/>
      <c r="G3739" s="9"/>
      <c r="H3739" s="9"/>
      <c r="I3739" s="9"/>
      <c r="J3739" s="9"/>
      <c r="K3739" s="9"/>
      <c r="L3739" s="9"/>
      <c r="M3739" s="9"/>
      <c r="N3739" s="9"/>
    </row>
    <row r="3740" spans="1:14">
      <c r="A3740" s="9"/>
      <c r="B3740" s="9"/>
      <c r="C3740" s="9"/>
      <c r="D3740" s="9"/>
      <c r="E3740" s="9"/>
      <c r="F3740" s="9"/>
      <c r="G3740" s="9"/>
      <c r="H3740" s="9"/>
      <c r="I3740" s="9"/>
      <c r="J3740" s="9"/>
      <c r="K3740" s="9"/>
      <c r="L3740" s="9"/>
      <c r="M3740" s="9"/>
      <c r="N3740" s="9"/>
    </row>
    <row r="3741" spans="1:14">
      <c r="A3741" s="9"/>
      <c r="B3741" s="9"/>
      <c r="C3741" s="9"/>
      <c r="D3741" s="9"/>
      <c r="E3741" s="9"/>
      <c r="F3741" s="9"/>
      <c r="G3741" s="9"/>
      <c r="H3741" s="9"/>
      <c r="I3741" s="9"/>
      <c r="J3741" s="9"/>
      <c r="K3741" s="9"/>
      <c r="L3741" s="9"/>
      <c r="M3741" s="9"/>
      <c r="N3741" s="9"/>
    </row>
    <row r="3742" spans="1:14">
      <c r="A3742" s="9"/>
      <c r="B3742" s="9"/>
      <c r="C3742" s="9"/>
      <c r="D3742" s="9"/>
      <c r="E3742" s="9"/>
      <c r="F3742" s="9"/>
      <c r="G3742" s="9"/>
      <c r="H3742" s="9"/>
      <c r="I3742" s="9"/>
      <c r="J3742" s="9"/>
      <c r="K3742" s="9"/>
      <c r="L3742" s="9"/>
      <c r="M3742" s="9"/>
      <c r="N3742" s="9"/>
    </row>
    <row r="3743" spans="1:14">
      <c r="A3743" s="9"/>
      <c r="B3743" s="9"/>
      <c r="C3743" s="9"/>
      <c r="D3743" s="9"/>
      <c r="E3743" s="9"/>
      <c r="F3743" s="9"/>
      <c r="G3743" s="9"/>
      <c r="H3743" s="9"/>
      <c r="I3743" s="9"/>
      <c r="J3743" s="9"/>
      <c r="K3743" s="9"/>
      <c r="L3743" s="9"/>
      <c r="M3743" s="9"/>
      <c r="N3743" s="9"/>
    </row>
    <row r="3744" spans="1:14">
      <c r="A3744" s="9"/>
      <c r="B3744" s="9"/>
      <c r="C3744" s="9"/>
      <c r="D3744" s="9"/>
      <c r="E3744" s="9"/>
      <c r="F3744" s="9"/>
      <c r="G3744" s="9"/>
      <c r="H3744" s="9"/>
      <c r="I3744" s="9"/>
      <c r="J3744" s="9"/>
      <c r="K3744" s="9"/>
      <c r="L3744" s="9"/>
      <c r="M3744" s="9"/>
      <c r="N3744" s="9"/>
    </row>
    <row r="3745" spans="1:14">
      <c r="A3745" s="9"/>
      <c r="B3745" s="9"/>
      <c r="C3745" s="9"/>
      <c r="D3745" s="9"/>
      <c r="E3745" s="9"/>
      <c r="F3745" s="9"/>
      <c r="G3745" s="9"/>
      <c r="H3745" s="9"/>
      <c r="I3745" s="9"/>
      <c r="J3745" s="9"/>
      <c r="K3745" s="9"/>
      <c r="L3745" s="9"/>
      <c r="M3745" s="9"/>
      <c r="N3745" s="9"/>
    </row>
    <row r="3746" spans="1:14">
      <c r="A3746" s="9"/>
      <c r="B3746" s="9"/>
      <c r="C3746" s="9"/>
      <c r="D3746" s="9"/>
      <c r="E3746" s="9"/>
      <c r="F3746" s="9"/>
      <c r="G3746" s="9"/>
      <c r="H3746" s="9"/>
      <c r="I3746" s="9"/>
      <c r="J3746" s="9"/>
      <c r="K3746" s="9"/>
      <c r="L3746" s="9"/>
      <c r="M3746" s="9"/>
      <c r="N3746" s="9"/>
    </row>
    <row r="3747" spans="1:14">
      <c r="A3747" s="9"/>
      <c r="B3747" s="9"/>
      <c r="C3747" s="9"/>
      <c r="D3747" s="9"/>
      <c r="E3747" s="9"/>
      <c r="F3747" s="9"/>
      <c r="G3747" s="9"/>
      <c r="H3747" s="9"/>
      <c r="I3747" s="9"/>
      <c r="J3747" s="9"/>
      <c r="K3747" s="9"/>
      <c r="L3747" s="9"/>
      <c r="M3747" s="9"/>
      <c r="N3747" s="9"/>
    </row>
    <row r="3748" spans="1:14">
      <c r="A3748" s="9"/>
      <c r="B3748" s="9"/>
      <c r="C3748" s="9"/>
      <c r="D3748" s="9"/>
      <c r="E3748" s="9"/>
      <c r="F3748" s="9"/>
      <c r="G3748" s="9"/>
      <c r="H3748" s="9"/>
      <c r="I3748" s="9"/>
      <c r="J3748" s="9"/>
      <c r="K3748" s="9"/>
      <c r="L3748" s="9"/>
      <c r="M3748" s="9"/>
      <c r="N3748" s="9"/>
    </row>
    <row r="3749" spans="1:14">
      <c r="A3749" s="9"/>
      <c r="B3749" s="9"/>
      <c r="C3749" s="9"/>
      <c r="D3749" s="9"/>
      <c r="E3749" s="9"/>
      <c r="F3749" s="9"/>
      <c r="G3749" s="9"/>
      <c r="H3749" s="9"/>
      <c r="I3749" s="9"/>
      <c r="J3749" s="9"/>
      <c r="K3749" s="9"/>
      <c r="L3749" s="9"/>
      <c r="M3749" s="9"/>
      <c r="N3749" s="9"/>
    </row>
    <row r="3750" spans="1:14">
      <c r="A3750" s="9"/>
      <c r="B3750" s="9"/>
      <c r="C3750" s="9"/>
      <c r="D3750" s="9"/>
      <c r="E3750" s="9"/>
      <c r="F3750" s="9"/>
      <c r="G3750" s="9"/>
      <c r="H3750" s="9"/>
      <c r="I3750" s="9"/>
      <c r="J3750" s="9"/>
      <c r="K3750" s="9"/>
      <c r="L3750" s="9"/>
      <c r="M3750" s="9"/>
      <c r="N3750" s="9"/>
    </row>
    <row r="3751" spans="1:14">
      <c r="A3751" s="9"/>
      <c r="B3751" s="9"/>
      <c r="C3751" s="9"/>
      <c r="D3751" s="9"/>
      <c r="E3751" s="9"/>
      <c r="F3751" s="9"/>
      <c r="G3751" s="9"/>
      <c r="H3751" s="9"/>
      <c r="I3751" s="9"/>
      <c r="J3751" s="9"/>
      <c r="K3751" s="9"/>
      <c r="L3751" s="9"/>
      <c r="M3751" s="9"/>
      <c r="N3751" s="9"/>
    </row>
    <row r="3752" spans="1:14">
      <c r="A3752" s="9"/>
      <c r="B3752" s="9"/>
      <c r="C3752" s="9"/>
      <c r="D3752" s="9"/>
      <c r="E3752" s="9"/>
      <c r="F3752" s="9"/>
      <c r="G3752" s="9"/>
      <c r="H3752" s="9"/>
      <c r="I3752" s="9"/>
      <c r="J3752" s="9"/>
      <c r="K3752" s="9"/>
      <c r="L3752" s="9"/>
      <c r="M3752" s="9"/>
      <c r="N3752" s="9"/>
    </row>
    <row r="3753" spans="1:14">
      <c r="A3753" s="9"/>
      <c r="B3753" s="9"/>
      <c r="C3753" s="9"/>
      <c r="D3753" s="9"/>
      <c r="E3753" s="9"/>
      <c r="F3753" s="9"/>
      <c r="G3753" s="9"/>
      <c r="H3753" s="9"/>
      <c r="I3753" s="9"/>
      <c r="J3753" s="9"/>
      <c r="K3753" s="9"/>
      <c r="L3753" s="9"/>
      <c r="M3753" s="9"/>
      <c r="N3753" s="9"/>
    </row>
    <row r="3754" spans="1:14">
      <c r="A3754" s="9"/>
      <c r="B3754" s="9"/>
      <c r="C3754" s="9"/>
      <c r="D3754" s="9"/>
      <c r="E3754" s="9"/>
      <c r="F3754" s="9"/>
      <c r="G3754" s="9"/>
      <c r="H3754" s="9"/>
      <c r="I3754" s="9"/>
      <c r="J3754" s="9"/>
      <c r="K3754" s="9"/>
      <c r="L3754" s="9"/>
      <c r="M3754" s="9"/>
      <c r="N3754" s="9"/>
    </row>
    <row r="3755" spans="1:14">
      <c r="A3755" s="9"/>
      <c r="B3755" s="9"/>
      <c r="C3755" s="9"/>
      <c r="D3755" s="9"/>
      <c r="E3755" s="9"/>
      <c r="F3755" s="9"/>
      <c r="G3755" s="9"/>
      <c r="H3755" s="9"/>
      <c r="I3755" s="9"/>
      <c r="J3755" s="9"/>
      <c r="K3755" s="9"/>
      <c r="L3755" s="9"/>
      <c r="M3755" s="9"/>
      <c r="N3755" s="9"/>
    </row>
    <row r="3756" spans="1:14">
      <c r="A3756" s="9"/>
      <c r="B3756" s="9"/>
      <c r="C3756" s="9"/>
      <c r="D3756" s="9"/>
      <c r="E3756" s="9"/>
      <c r="F3756" s="9"/>
      <c r="G3756" s="9"/>
      <c r="H3756" s="9"/>
      <c r="I3756" s="9"/>
      <c r="J3756" s="9"/>
      <c r="K3756" s="9"/>
      <c r="L3756" s="9"/>
      <c r="M3756" s="9"/>
      <c r="N3756" s="9"/>
    </row>
    <row r="3757" spans="1:14">
      <c r="A3757" s="9"/>
      <c r="B3757" s="9"/>
      <c r="C3757" s="9"/>
      <c r="D3757" s="9"/>
      <c r="E3757" s="9"/>
      <c r="F3757" s="9"/>
      <c r="G3757" s="9"/>
      <c r="H3757" s="9"/>
      <c r="I3757" s="9"/>
      <c r="J3757" s="9"/>
      <c r="K3757" s="9"/>
      <c r="L3757" s="9"/>
      <c r="M3757" s="9"/>
      <c r="N3757" s="9"/>
    </row>
    <row r="3758" spans="1:14">
      <c r="A3758" s="9"/>
      <c r="B3758" s="9"/>
      <c r="C3758" s="9"/>
      <c r="D3758" s="9"/>
      <c r="E3758" s="9"/>
      <c r="F3758" s="9"/>
      <c r="G3758" s="9"/>
      <c r="H3758" s="9"/>
      <c r="I3758" s="9"/>
      <c r="J3758" s="9"/>
      <c r="K3758" s="9"/>
      <c r="L3758" s="9"/>
      <c r="M3758" s="9"/>
      <c r="N3758" s="9"/>
    </row>
    <row r="3759" spans="1:14">
      <c r="A3759" s="9"/>
      <c r="B3759" s="9"/>
      <c r="C3759" s="9"/>
      <c r="D3759" s="9"/>
      <c r="E3759" s="9"/>
      <c r="F3759" s="9"/>
      <c r="G3759" s="9"/>
      <c r="H3759" s="9"/>
      <c r="I3759" s="9"/>
      <c r="J3759" s="9"/>
      <c r="K3759" s="9"/>
      <c r="L3759" s="9"/>
      <c r="M3759" s="9"/>
      <c r="N3759" s="9"/>
    </row>
    <row r="3760" spans="1:14">
      <c r="A3760" s="9"/>
      <c r="B3760" s="9"/>
      <c r="C3760" s="9"/>
      <c r="D3760" s="9"/>
      <c r="E3760" s="9"/>
      <c r="F3760" s="9"/>
      <c r="G3760" s="9"/>
      <c r="H3760" s="9"/>
      <c r="I3760" s="9"/>
      <c r="J3760" s="9"/>
      <c r="K3760" s="9"/>
      <c r="L3760" s="9"/>
      <c r="M3760" s="9"/>
      <c r="N3760" s="9"/>
    </row>
    <row r="3761" spans="1:14">
      <c r="A3761" s="9"/>
      <c r="B3761" s="9"/>
      <c r="C3761" s="9"/>
      <c r="D3761" s="9"/>
      <c r="E3761" s="9"/>
      <c r="F3761" s="9"/>
      <c r="G3761" s="9"/>
      <c r="H3761" s="9"/>
      <c r="I3761" s="9"/>
      <c r="J3761" s="9"/>
      <c r="K3761" s="9"/>
      <c r="L3761" s="9"/>
      <c r="M3761" s="9"/>
      <c r="N3761" s="9"/>
    </row>
    <row r="3762" spans="1:14">
      <c r="A3762" s="9"/>
      <c r="B3762" s="9"/>
      <c r="C3762" s="9"/>
      <c r="D3762" s="9"/>
      <c r="E3762" s="9"/>
      <c r="F3762" s="9"/>
      <c r="G3762" s="9"/>
      <c r="H3762" s="9"/>
      <c r="I3762" s="9"/>
      <c r="J3762" s="9"/>
      <c r="K3762" s="9"/>
      <c r="L3762" s="9"/>
      <c r="M3762" s="9"/>
      <c r="N3762" s="9"/>
    </row>
    <row r="3763" spans="1:14">
      <c r="A3763" s="9"/>
      <c r="B3763" s="9"/>
      <c r="C3763" s="9"/>
      <c r="D3763" s="9"/>
      <c r="E3763" s="9"/>
      <c r="F3763" s="9"/>
      <c r="G3763" s="9"/>
      <c r="H3763" s="9"/>
      <c r="I3763" s="9"/>
      <c r="J3763" s="9"/>
      <c r="K3763" s="9"/>
      <c r="L3763" s="9"/>
      <c r="M3763" s="9"/>
      <c r="N3763" s="9"/>
    </row>
    <row r="3764" spans="1:14">
      <c r="A3764" s="9"/>
      <c r="B3764" s="9"/>
      <c r="C3764" s="9"/>
      <c r="D3764" s="9"/>
      <c r="E3764" s="9"/>
      <c r="F3764" s="9"/>
      <c r="G3764" s="9"/>
      <c r="H3764" s="9"/>
      <c r="I3764" s="9"/>
      <c r="J3764" s="9"/>
      <c r="K3764" s="9"/>
      <c r="L3764" s="9"/>
      <c r="M3764" s="9"/>
      <c r="N3764" s="9"/>
    </row>
    <row r="3765" spans="1:14">
      <c r="A3765" s="9"/>
      <c r="B3765" s="9"/>
      <c r="C3765" s="9"/>
      <c r="D3765" s="9"/>
      <c r="E3765" s="9"/>
      <c r="F3765" s="9"/>
      <c r="G3765" s="9"/>
      <c r="H3765" s="9"/>
      <c r="I3765" s="9"/>
      <c r="J3765" s="9"/>
      <c r="K3765" s="9"/>
      <c r="L3765" s="9"/>
      <c r="M3765" s="9"/>
      <c r="N3765" s="9"/>
    </row>
    <row r="3766" spans="1:14">
      <c r="A3766" s="9"/>
      <c r="B3766" s="9"/>
      <c r="C3766" s="9"/>
      <c r="D3766" s="9"/>
      <c r="E3766" s="9"/>
      <c r="F3766" s="9"/>
      <c r="G3766" s="9"/>
      <c r="H3766" s="9"/>
      <c r="I3766" s="9"/>
      <c r="J3766" s="9"/>
      <c r="K3766" s="9"/>
      <c r="L3766" s="9"/>
      <c r="M3766" s="9"/>
      <c r="N3766" s="9"/>
    </row>
    <row r="3767" spans="1:14">
      <c r="A3767" s="9"/>
      <c r="B3767" s="9"/>
      <c r="C3767" s="9"/>
      <c r="D3767" s="9"/>
      <c r="E3767" s="9"/>
      <c r="F3767" s="9"/>
      <c r="G3767" s="9"/>
      <c r="H3767" s="9"/>
      <c r="I3767" s="9"/>
      <c r="J3767" s="9"/>
      <c r="K3767" s="9"/>
      <c r="L3767" s="9"/>
      <c r="M3767" s="9"/>
      <c r="N3767" s="9"/>
    </row>
    <row r="3768" spans="1:14">
      <c r="A3768" s="9"/>
      <c r="B3768" s="9"/>
      <c r="C3768" s="9"/>
      <c r="D3768" s="9"/>
      <c r="E3768" s="9"/>
      <c r="F3768" s="9"/>
      <c r="G3768" s="9"/>
      <c r="H3768" s="9"/>
      <c r="I3768" s="9"/>
      <c r="J3768" s="9"/>
      <c r="K3768" s="9"/>
      <c r="L3768" s="9"/>
      <c r="M3768" s="9"/>
      <c r="N3768" s="9"/>
    </row>
    <row r="3769" spans="1:14">
      <c r="A3769" s="9"/>
      <c r="B3769" s="9"/>
      <c r="C3769" s="9"/>
      <c r="D3769" s="9"/>
      <c r="E3769" s="9"/>
      <c r="F3769" s="9"/>
      <c r="G3769" s="9"/>
      <c r="H3769" s="9"/>
      <c r="I3769" s="9"/>
      <c r="J3769" s="9"/>
      <c r="K3769" s="9"/>
      <c r="L3769" s="9"/>
      <c r="M3769" s="9"/>
      <c r="N3769" s="9"/>
    </row>
    <row r="3770" spans="1:14">
      <c r="A3770" s="9"/>
      <c r="B3770" s="9"/>
      <c r="C3770" s="9"/>
      <c r="D3770" s="9"/>
      <c r="E3770" s="9"/>
      <c r="F3770" s="9"/>
      <c r="G3770" s="9"/>
      <c r="H3770" s="9"/>
      <c r="I3770" s="9"/>
      <c r="J3770" s="9"/>
      <c r="K3770" s="9"/>
      <c r="L3770" s="9"/>
      <c r="M3770" s="9"/>
      <c r="N3770" s="9"/>
    </row>
    <row r="3771" spans="1:14">
      <c r="A3771" s="9"/>
      <c r="B3771" s="9"/>
      <c r="C3771" s="9"/>
      <c r="D3771" s="9"/>
      <c r="E3771" s="9"/>
      <c r="F3771" s="9"/>
      <c r="G3771" s="9"/>
      <c r="H3771" s="9"/>
      <c r="I3771" s="9"/>
      <c r="J3771" s="9"/>
      <c r="K3771" s="9"/>
      <c r="L3771" s="9"/>
      <c r="M3771" s="9"/>
      <c r="N3771" s="9"/>
    </row>
    <row r="3772" spans="1:14">
      <c r="A3772" s="9"/>
      <c r="B3772" s="9"/>
      <c r="C3772" s="9"/>
      <c r="D3772" s="9"/>
      <c r="E3772" s="9"/>
      <c r="F3772" s="9"/>
      <c r="G3772" s="9"/>
      <c r="H3772" s="9"/>
      <c r="I3772" s="9"/>
      <c r="J3772" s="9"/>
      <c r="K3772" s="9"/>
      <c r="L3772" s="9"/>
      <c r="M3772" s="9"/>
      <c r="N3772" s="9"/>
    </row>
    <row r="3773" spans="1:14">
      <c r="A3773" s="9"/>
      <c r="B3773" s="9"/>
      <c r="C3773" s="9"/>
      <c r="D3773" s="9"/>
      <c r="E3773" s="9"/>
      <c r="F3773" s="9"/>
      <c r="G3773" s="9"/>
      <c r="H3773" s="9"/>
      <c r="I3773" s="9"/>
      <c r="J3773" s="9"/>
      <c r="K3773" s="9"/>
      <c r="L3773" s="9"/>
      <c r="M3773" s="9"/>
      <c r="N3773" s="9"/>
    </row>
    <row r="3774" spans="1:14">
      <c r="A3774" s="9"/>
      <c r="B3774" s="9"/>
      <c r="C3774" s="9"/>
      <c r="D3774" s="9"/>
      <c r="E3774" s="9"/>
      <c r="F3774" s="9"/>
      <c r="G3774" s="9"/>
      <c r="H3774" s="9"/>
      <c r="I3774" s="9"/>
      <c r="J3774" s="9"/>
      <c r="K3774" s="9"/>
      <c r="L3774" s="9"/>
      <c r="M3774" s="9"/>
      <c r="N3774" s="9"/>
    </row>
    <row r="3775" spans="1:14">
      <c r="A3775" s="9"/>
      <c r="B3775" s="9"/>
      <c r="C3775" s="9"/>
      <c r="D3775" s="9"/>
      <c r="E3775" s="9"/>
      <c r="F3775" s="9"/>
      <c r="G3775" s="9"/>
      <c r="H3775" s="9"/>
      <c r="I3775" s="9"/>
      <c r="J3775" s="9"/>
      <c r="K3775" s="9"/>
      <c r="L3775" s="9"/>
      <c r="M3775" s="9"/>
      <c r="N3775" s="9"/>
    </row>
    <row r="3776" spans="1:14">
      <c r="A3776" s="9"/>
      <c r="B3776" s="9"/>
      <c r="C3776" s="9"/>
      <c r="D3776" s="9"/>
      <c r="E3776" s="9"/>
      <c r="F3776" s="9"/>
      <c r="G3776" s="9"/>
      <c r="H3776" s="9"/>
      <c r="I3776" s="9"/>
      <c r="J3776" s="9"/>
      <c r="K3776" s="9"/>
      <c r="L3776" s="9"/>
      <c r="M3776" s="9"/>
      <c r="N3776" s="9"/>
    </row>
    <row r="3777" spans="1:14">
      <c r="A3777" s="9"/>
      <c r="B3777" s="9"/>
      <c r="C3777" s="9"/>
      <c r="D3777" s="9"/>
      <c r="E3777" s="9"/>
      <c r="F3777" s="9"/>
      <c r="G3777" s="9"/>
      <c r="H3777" s="9"/>
      <c r="I3777" s="9"/>
      <c r="J3777" s="9"/>
      <c r="K3777" s="9"/>
      <c r="L3777" s="9"/>
      <c r="M3777" s="9"/>
      <c r="N3777" s="9"/>
    </row>
    <row r="3778" spans="1:14">
      <c r="A3778" s="9"/>
      <c r="B3778" s="9"/>
      <c r="C3778" s="9"/>
      <c r="D3778" s="9"/>
      <c r="E3778" s="9"/>
      <c r="F3778" s="9"/>
      <c r="G3778" s="9"/>
      <c r="H3778" s="9"/>
      <c r="I3778" s="9"/>
      <c r="J3778" s="9"/>
      <c r="K3778" s="9"/>
      <c r="L3778" s="9"/>
      <c r="M3778" s="9"/>
      <c r="N3778" s="9"/>
    </row>
    <row r="3779" spans="1:14">
      <c r="A3779" s="9"/>
      <c r="B3779" s="9"/>
      <c r="C3779" s="9"/>
      <c r="D3779" s="9"/>
      <c r="E3779" s="9"/>
      <c r="F3779" s="9"/>
      <c r="G3779" s="9"/>
      <c r="H3779" s="9"/>
      <c r="I3779" s="9"/>
      <c r="J3779" s="9"/>
      <c r="K3779" s="9"/>
      <c r="L3779" s="9"/>
      <c r="M3779" s="9"/>
      <c r="N3779" s="9"/>
    </row>
    <row r="3780" spans="1:14">
      <c r="A3780" s="9"/>
      <c r="B3780" s="9"/>
      <c r="C3780" s="9"/>
      <c r="D3780" s="9"/>
      <c r="E3780" s="9"/>
      <c r="F3780" s="9"/>
      <c r="G3780" s="9"/>
      <c r="H3780" s="9"/>
      <c r="I3780" s="9"/>
      <c r="J3780" s="9"/>
      <c r="K3780" s="9"/>
      <c r="L3780" s="9"/>
      <c r="M3780" s="9"/>
      <c r="N3780" s="9"/>
    </row>
    <row r="3781" spans="1:14">
      <c r="A3781" s="9"/>
      <c r="B3781" s="9"/>
      <c r="C3781" s="9"/>
      <c r="D3781" s="9"/>
      <c r="E3781" s="9"/>
      <c r="F3781" s="9"/>
      <c r="G3781" s="9"/>
      <c r="H3781" s="9"/>
      <c r="I3781" s="9"/>
      <c r="J3781" s="9"/>
      <c r="K3781" s="9"/>
      <c r="L3781" s="9"/>
      <c r="M3781" s="9"/>
      <c r="N3781" s="9"/>
    </row>
    <row r="3782" spans="1:14">
      <c r="A3782" s="9"/>
      <c r="B3782" s="9"/>
      <c r="C3782" s="9"/>
      <c r="D3782" s="9"/>
      <c r="E3782" s="9"/>
      <c r="F3782" s="9"/>
      <c r="G3782" s="9"/>
      <c r="H3782" s="9"/>
      <c r="I3782" s="9"/>
      <c r="J3782" s="9"/>
      <c r="K3782" s="9"/>
      <c r="L3782" s="9"/>
      <c r="M3782" s="9"/>
      <c r="N3782" s="9"/>
    </row>
    <row r="3783" spans="1:14">
      <c r="A3783" s="9"/>
      <c r="B3783" s="9"/>
      <c r="C3783" s="9"/>
      <c r="D3783" s="9"/>
      <c r="E3783" s="9"/>
      <c r="F3783" s="9"/>
      <c r="G3783" s="9"/>
      <c r="H3783" s="9"/>
      <c r="I3783" s="9"/>
      <c r="J3783" s="9"/>
      <c r="K3783" s="9"/>
      <c r="L3783" s="9"/>
      <c r="M3783" s="9"/>
      <c r="N3783" s="9"/>
    </row>
    <row r="3784" spans="1:14">
      <c r="A3784" s="9"/>
      <c r="B3784" s="9"/>
      <c r="C3784" s="9"/>
      <c r="D3784" s="9"/>
      <c r="E3784" s="9"/>
      <c r="F3784" s="9"/>
      <c r="G3784" s="9"/>
      <c r="H3784" s="9"/>
      <c r="I3784" s="9"/>
      <c r="J3784" s="9"/>
      <c r="K3784" s="9"/>
      <c r="L3784" s="9"/>
      <c r="M3784" s="9"/>
      <c r="N3784" s="9"/>
    </row>
    <row r="3785" spans="1:14">
      <c r="A3785" s="9"/>
      <c r="B3785" s="9"/>
      <c r="C3785" s="9"/>
      <c r="D3785" s="9"/>
      <c r="E3785" s="9"/>
      <c r="F3785" s="9"/>
      <c r="G3785" s="9"/>
      <c r="H3785" s="9"/>
      <c r="I3785" s="9"/>
      <c r="J3785" s="9"/>
      <c r="K3785" s="9"/>
      <c r="L3785" s="9"/>
      <c r="M3785" s="9"/>
      <c r="N3785" s="9"/>
    </row>
    <row r="3786" spans="1:14">
      <c r="A3786" s="9"/>
      <c r="B3786" s="9"/>
      <c r="C3786" s="9"/>
      <c r="D3786" s="9"/>
      <c r="E3786" s="9"/>
      <c r="F3786" s="9"/>
      <c r="G3786" s="9"/>
      <c r="H3786" s="9"/>
      <c r="I3786" s="9"/>
      <c r="J3786" s="9"/>
      <c r="K3786" s="9"/>
      <c r="L3786" s="9"/>
      <c r="M3786" s="9"/>
      <c r="N3786" s="9"/>
    </row>
    <row r="3787" spans="1:14">
      <c r="A3787" s="9"/>
      <c r="B3787" s="9"/>
      <c r="C3787" s="9"/>
      <c r="D3787" s="9"/>
      <c r="E3787" s="9"/>
      <c r="F3787" s="9"/>
      <c r="G3787" s="9"/>
      <c r="H3787" s="9"/>
      <c r="I3787" s="9"/>
      <c r="J3787" s="9"/>
      <c r="K3787" s="9"/>
      <c r="L3787" s="9"/>
      <c r="M3787" s="9"/>
      <c r="N3787" s="9"/>
    </row>
    <row r="3788" spans="1:14">
      <c r="A3788" s="9"/>
      <c r="B3788" s="9"/>
      <c r="C3788" s="9"/>
      <c r="D3788" s="9"/>
      <c r="E3788" s="9"/>
      <c r="F3788" s="9"/>
      <c r="G3788" s="9"/>
      <c r="H3788" s="9"/>
      <c r="I3788" s="9"/>
      <c r="J3788" s="9"/>
      <c r="K3788" s="9"/>
      <c r="L3788" s="9"/>
      <c r="M3788" s="9"/>
      <c r="N3788" s="9"/>
    </row>
    <row r="3789" spans="1:14">
      <c r="A3789" s="9"/>
      <c r="B3789" s="9"/>
      <c r="C3789" s="9"/>
      <c r="D3789" s="9"/>
      <c r="E3789" s="9"/>
      <c r="F3789" s="9"/>
      <c r="G3789" s="9"/>
      <c r="H3789" s="9"/>
      <c r="I3789" s="9"/>
      <c r="J3789" s="9"/>
      <c r="K3789" s="9"/>
      <c r="L3789" s="9"/>
      <c r="M3789" s="9"/>
      <c r="N3789" s="9"/>
    </row>
    <row r="3790" spans="1:14">
      <c r="A3790" s="9"/>
      <c r="B3790" s="9"/>
      <c r="C3790" s="9"/>
      <c r="D3790" s="9"/>
      <c r="E3790" s="9"/>
      <c r="F3790" s="9"/>
      <c r="G3790" s="9"/>
      <c r="H3790" s="9"/>
      <c r="I3790" s="9"/>
      <c r="J3790" s="9"/>
      <c r="K3790" s="9"/>
      <c r="L3790" s="9"/>
      <c r="M3790" s="9"/>
      <c r="N3790" s="9"/>
    </row>
    <row r="3791" spans="1:14">
      <c r="A3791" s="9"/>
      <c r="B3791" s="9"/>
      <c r="C3791" s="9"/>
      <c r="D3791" s="9"/>
      <c r="E3791" s="9"/>
      <c r="F3791" s="9"/>
      <c r="G3791" s="9"/>
      <c r="H3791" s="9"/>
      <c r="I3791" s="9"/>
      <c r="J3791" s="9"/>
      <c r="K3791" s="9"/>
      <c r="L3791" s="9"/>
      <c r="M3791" s="9"/>
      <c r="N3791" s="9"/>
    </row>
    <row r="3792" spans="1:14">
      <c r="A3792" s="9"/>
      <c r="B3792" s="9"/>
      <c r="C3792" s="9"/>
      <c r="D3792" s="9"/>
      <c r="E3792" s="9"/>
      <c r="F3792" s="9"/>
      <c r="G3792" s="9"/>
      <c r="H3792" s="9"/>
      <c r="I3792" s="9"/>
      <c r="J3792" s="9"/>
      <c r="K3792" s="9"/>
      <c r="L3792" s="9"/>
      <c r="M3792" s="9"/>
      <c r="N3792" s="9"/>
    </row>
    <row r="3793" spans="1:14">
      <c r="A3793" s="9"/>
      <c r="B3793" s="9"/>
      <c r="C3793" s="9"/>
      <c r="D3793" s="9"/>
      <c r="E3793" s="9"/>
      <c r="F3793" s="9"/>
      <c r="G3793" s="9"/>
      <c r="H3793" s="9"/>
      <c r="I3793" s="9"/>
      <c r="J3793" s="9"/>
      <c r="K3793" s="9"/>
      <c r="L3793" s="9"/>
      <c r="M3793" s="9"/>
      <c r="N3793" s="9"/>
    </row>
    <row r="3794" spans="1:14">
      <c r="A3794" s="9"/>
      <c r="B3794" s="9"/>
      <c r="C3794" s="9"/>
      <c r="D3794" s="9"/>
      <c r="E3794" s="9"/>
      <c r="F3794" s="9"/>
      <c r="G3794" s="9"/>
      <c r="H3794" s="9"/>
      <c r="I3794" s="9"/>
      <c r="J3794" s="9"/>
      <c r="K3794" s="9"/>
      <c r="L3794" s="9"/>
      <c r="M3794" s="9"/>
      <c r="N3794" s="9"/>
    </row>
    <row r="3795" spans="1:14">
      <c r="A3795" s="9"/>
      <c r="B3795" s="9"/>
      <c r="C3795" s="9"/>
      <c r="D3795" s="9"/>
      <c r="E3795" s="9"/>
      <c r="F3795" s="9"/>
      <c r="G3795" s="9"/>
      <c r="H3795" s="9"/>
      <c r="I3795" s="9"/>
      <c r="J3795" s="9"/>
      <c r="K3795" s="9"/>
      <c r="L3795" s="9"/>
      <c r="M3795" s="9"/>
      <c r="N3795" s="9"/>
    </row>
    <row r="3796" spans="1:14">
      <c r="A3796" s="9"/>
      <c r="B3796" s="9"/>
      <c r="C3796" s="9"/>
      <c r="D3796" s="9"/>
      <c r="E3796" s="9"/>
      <c r="F3796" s="9"/>
      <c r="G3796" s="9"/>
      <c r="H3796" s="9"/>
      <c r="I3796" s="9"/>
      <c r="J3796" s="9"/>
      <c r="K3796" s="9"/>
      <c r="L3796" s="9"/>
      <c r="M3796" s="9"/>
      <c r="N3796" s="9"/>
    </row>
    <row r="3797" spans="1:14">
      <c r="A3797" s="9"/>
      <c r="B3797" s="9"/>
      <c r="C3797" s="9"/>
      <c r="D3797" s="9"/>
      <c r="E3797" s="9"/>
      <c r="F3797" s="9"/>
      <c r="G3797" s="9"/>
      <c r="H3797" s="9"/>
      <c r="I3797" s="9"/>
      <c r="J3797" s="9"/>
      <c r="K3797" s="9"/>
      <c r="L3797" s="9"/>
      <c r="M3797" s="9"/>
      <c r="N3797" s="9"/>
    </row>
    <row r="3798" spans="1:14">
      <c r="A3798" s="9"/>
      <c r="B3798" s="9"/>
      <c r="C3798" s="9"/>
      <c r="D3798" s="9"/>
      <c r="E3798" s="9"/>
      <c r="F3798" s="9"/>
      <c r="G3798" s="9"/>
      <c r="H3798" s="9"/>
      <c r="I3798" s="9"/>
      <c r="J3798" s="9"/>
      <c r="K3798" s="9"/>
      <c r="L3798" s="9"/>
      <c r="M3798" s="9"/>
      <c r="N3798" s="9"/>
    </row>
    <row r="3799" spans="1:14">
      <c r="A3799" s="9"/>
      <c r="B3799" s="9"/>
      <c r="C3799" s="9"/>
      <c r="D3799" s="9"/>
      <c r="E3799" s="9"/>
      <c r="F3799" s="9"/>
      <c r="G3799" s="9"/>
      <c r="H3799" s="9"/>
      <c r="I3799" s="9"/>
      <c r="J3799" s="9"/>
      <c r="K3799" s="9"/>
      <c r="L3799" s="9"/>
      <c r="M3799" s="9"/>
      <c r="N3799" s="9"/>
    </row>
    <row r="3800" spans="1:14">
      <c r="A3800" s="9"/>
      <c r="B3800" s="9"/>
      <c r="C3800" s="9"/>
      <c r="D3800" s="9"/>
      <c r="E3800" s="9"/>
      <c r="F3800" s="9"/>
      <c r="G3800" s="9"/>
      <c r="H3800" s="9"/>
      <c r="I3800" s="9"/>
      <c r="J3800" s="9"/>
      <c r="K3800" s="9"/>
      <c r="L3800" s="9"/>
      <c r="M3800" s="9"/>
      <c r="N3800" s="9"/>
    </row>
    <row r="3801" spans="1:14">
      <c r="A3801" s="9"/>
      <c r="B3801" s="9"/>
      <c r="C3801" s="9"/>
      <c r="D3801" s="9"/>
      <c r="E3801" s="9"/>
      <c r="F3801" s="9"/>
      <c r="G3801" s="9"/>
      <c r="H3801" s="9"/>
      <c r="I3801" s="9"/>
      <c r="J3801" s="9"/>
      <c r="K3801" s="9"/>
      <c r="L3801" s="9"/>
      <c r="M3801" s="9"/>
      <c r="N3801" s="9"/>
    </row>
    <row r="3802" spans="1:14">
      <c r="A3802" s="9"/>
      <c r="B3802" s="9"/>
      <c r="C3802" s="9"/>
      <c r="D3802" s="9"/>
      <c r="E3802" s="9"/>
      <c r="F3802" s="9"/>
      <c r="G3802" s="9"/>
      <c r="H3802" s="9"/>
      <c r="I3802" s="9"/>
      <c r="J3802" s="9"/>
      <c r="K3802" s="9"/>
      <c r="L3802" s="9"/>
      <c r="M3802" s="9"/>
      <c r="N3802" s="9"/>
    </row>
    <row r="3803" spans="1:14">
      <c r="A3803" s="9"/>
      <c r="B3803" s="9"/>
      <c r="C3803" s="9"/>
      <c r="D3803" s="9"/>
      <c r="E3803" s="9"/>
      <c r="F3803" s="9"/>
      <c r="G3803" s="9"/>
      <c r="H3803" s="9"/>
      <c r="I3803" s="9"/>
      <c r="J3803" s="9"/>
      <c r="K3803" s="9"/>
      <c r="L3803" s="9"/>
      <c r="M3803" s="9"/>
      <c r="N3803" s="9"/>
    </row>
    <row r="3804" spans="1:14">
      <c r="A3804" s="9"/>
      <c r="B3804" s="9"/>
      <c r="C3804" s="9"/>
      <c r="D3804" s="9"/>
      <c r="E3804" s="9"/>
      <c r="F3804" s="9"/>
      <c r="G3804" s="9"/>
      <c r="H3804" s="9"/>
      <c r="I3804" s="9"/>
      <c r="J3804" s="9"/>
      <c r="K3804" s="9"/>
      <c r="L3804" s="9"/>
      <c r="M3804" s="9"/>
      <c r="N3804" s="9"/>
    </row>
    <row r="3805" spans="1:14">
      <c r="A3805" s="9"/>
      <c r="B3805" s="9"/>
      <c r="C3805" s="9"/>
      <c r="D3805" s="9"/>
      <c r="E3805" s="9"/>
      <c r="F3805" s="9"/>
      <c r="G3805" s="9"/>
      <c r="H3805" s="9"/>
      <c r="I3805" s="9"/>
      <c r="J3805" s="9"/>
      <c r="K3805" s="9"/>
      <c r="L3805" s="9"/>
      <c r="M3805" s="9"/>
      <c r="N3805" s="9"/>
    </row>
    <row r="3806" spans="1:14">
      <c r="A3806" s="9"/>
      <c r="B3806" s="9"/>
      <c r="C3806" s="9"/>
      <c r="D3806" s="9"/>
      <c r="E3806" s="9"/>
      <c r="F3806" s="9"/>
      <c r="G3806" s="9"/>
      <c r="H3806" s="9"/>
      <c r="I3806" s="9"/>
      <c r="J3806" s="9"/>
      <c r="K3806" s="9"/>
      <c r="L3806" s="9"/>
      <c r="M3806" s="9"/>
      <c r="N3806" s="9"/>
    </row>
    <row r="3807" spans="1:14">
      <c r="A3807" s="9"/>
      <c r="B3807" s="9"/>
      <c r="C3807" s="9"/>
      <c r="D3807" s="9"/>
      <c r="E3807" s="9"/>
      <c r="F3807" s="9"/>
      <c r="G3807" s="9"/>
      <c r="H3807" s="9"/>
      <c r="I3807" s="9"/>
      <c r="J3807" s="9"/>
      <c r="K3807" s="9"/>
      <c r="L3807" s="9"/>
      <c r="M3807" s="9"/>
      <c r="N3807" s="9"/>
    </row>
    <row r="3808" spans="1:14">
      <c r="A3808" s="9"/>
      <c r="B3808" s="9"/>
      <c r="C3808" s="9"/>
      <c r="D3808" s="9"/>
      <c r="E3808" s="9"/>
      <c r="F3808" s="9"/>
      <c r="G3808" s="9"/>
      <c r="H3808" s="9"/>
      <c r="I3808" s="9"/>
      <c r="J3808" s="9"/>
      <c r="K3808" s="9"/>
      <c r="L3808" s="9"/>
      <c r="M3808" s="9"/>
      <c r="N3808" s="9"/>
    </row>
    <row r="3809" spans="1:14">
      <c r="A3809" s="9"/>
      <c r="B3809" s="9"/>
      <c r="C3809" s="9"/>
      <c r="D3809" s="9"/>
      <c r="E3809" s="9"/>
      <c r="F3809" s="9"/>
      <c r="G3809" s="9"/>
      <c r="H3809" s="9"/>
      <c r="I3809" s="9"/>
      <c r="J3809" s="9"/>
      <c r="K3809" s="9"/>
      <c r="L3809" s="9"/>
      <c r="M3809" s="9"/>
      <c r="N3809" s="9"/>
    </row>
    <row r="3810" spans="1:14">
      <c r="A3810" s="9"/>
      <c r="B3810" s="9"/>
      <c r="C3810" s="9"/>
      <c r="D3810" s="9"/>
      <c r="E3810" s="9"/>
      <c r="F3810" s="9"/>
      <c r="G3810" s="9"/>
      <c r="H3810" s="9"/>
      <c r="I3810" s="9"/>
      <c r="J3810" s="9"/>
      <c r="K3810" s="9"/>
      <c r="L3810" s="9"/>
      <c r="M3810" s="9"/>
      <c r="N3810" s="9"/>
    </row>
    <row r="3811" spans="1:14">
      <c r="A3811" s="9"/>
      <c r="B3811" s="9"/>
      <c r="C3811" s="9"/>
      <c r="D3811" s="9"/>
      <c r="E3811" s="9"/>
      <c r="F3811" s="9"/>
      <c r="G3811" s="9"/>
      <c r="H3811" s="9"/>
      <c r="I3811" s="9"/>
      <c r="J3811" s="9"/>
      <c r="K3811" s="9"/>
      <c r="L3811" s="9"/>
      <c r="M3811" s="9"/>
      <c r="N3811" s="9"/>
    </row>
    <row r="3812" spans="1:14">
      <c r="A3812" s="9"/>
      <c r="B3812" s="9"/>
      <c r="C3812" s="9"/>
      <c r="D3812" s="9"/>
      <c r="E3812" s="9"/>
      <c r="F3812" s="9"/>
      <c r="G3812" s="9"/>
      <c r="H3812" s="9"/>
      <c r="I3812" s="9"/>
      <c r="J3812" s="9"/>
      <c r="K3812" s="9"/>
      <c r="L3812" s="9"/>
      <c r="M3812" s="9"/>
      <c r="N3812" s="9"/>
    </row>
    <row r="3813" spans="1:14">
      <c r="A3813" s="9"/>
      <c r="B3813" s="9"/>
      <c r="C3813" s="9"/>
      <c r="D3813" s="9"/>
      <c r="E3813" s="9"/>
      <c r="F3813" s="9"/>
      <c r="G3813" s="9"/>
      <c r="H3813" s="9"/>
      <c r="I3813" s="9"/>
      <c r="J3813" s="9"/>
      <c r="K3813" s="9"/>
      <c r="L3813" s="9"/>
      <c r="M3813" s="9"/>
      <c r="N3813" s="9"/>
    </row>
    <row r="3814" spans="1:14">
      <c r="A3814" s="9"/>
      <c r="B3814" s="9"/>
      <c r="C3814" s="9"/>
      <c r="D3814" s="9"/>
      <c r="E3814" s="9"/>
      <c r="F3814" s="9"/>
      <c r="G3814" s="9"/>
      <c r="H3814" s="9"/>
      <c r="I3814" s="9"/>
      <c r="J3814" s="9"/>
      <c r="K3814" s="9"/>
      <c r="L3814" s="9"/>
      <c r="M3814" s="9"/>
      <c r="N3814" s="9"/>
    </row>
    <row r="3815" spans="1:14">
      <c r="A3815" s="9"/>
      <c r="B3815" s="9"/>
      <c r="C3815" s="9"/>
      <c r="D3815" s="9"/>
      <c r="E3815" s="9"/>
      <c r="F3815" s="9"/>
      <c r="G3815" s="9"/>
      <c r="H3815" s="9"/>
      <c r="I3815" s="9"/>
      <c r="J3815" s="9"/>
      <c r="K3815" s="9"/>
      <c r="L3815" s="9"/>
      <c r="M3815" s="9"/>
      <c r="N3815" s="9"/>
    </row>
    <row r="3816" spans="1:14">
      <c r="A3816" s="9"/>
      <c r="B3816" s="9"/>
      <c r="C3816" s="9"/>
      <c r="D3816" s="9"/>
      <c r="E3816" s="9"/>
      <c r="F3816" s="9"/>
      <c r="G3816" s="9"/>
      <c r="H3816" s="9"/>
      <c r="I3816" s="9"/>
      <c r="J3816" s="9"/>
      <c r="K3816" s="9"/>
      <c r="L3816" s="9"/>
      <c r="M3816" s="9"/>
      <c r="N3816" s="9"/>
    </row>
    <row r="3817" spans="1:14">
      <c r="A3817" s="9"/>
      <c r="B3817" s="9"/>
      <c r="C3817" s="9"/>
      <c r="D3817" s="9"/>
      <c r="E3817" s="9"/>
      <c r="F3817" s="9"/>
      <c r="G3817" s="9"/>
      <c r="H3817" s="9"/>
      <c r="I3817" s="9"/>
      <c r="J3817" s="9"/>
      <c r="K3817" s="9"/>
      <c r="L3817" s="9"/>
      <c r="M3817" s="9"/>
      <c r="N3817" s="9"/>
    </row>
    <row r="3818" spans="1:14">
      <c r="A3818" s="9"/>
      <c r="B3818" s="9"/>
      <c r="C3818" s="9"/>
      <c r="D3818" s="9"/>
      <c r="E3818" s="9"/>
      <c r="F3818" s="9"/>
      <c r="G3818" s="9"/>
      <c r="H3818" s="9"/>
      <c r="I3818" s="9"/>
      <c r="J3818" s="9"/>
      <c r="K3818" s="9"/>
      <c r="L3818" s="9"/>
      <c r="M3818" s="9"/>
      <c r="N3818" s="9"/>
    </row>
    <row r="3819" spans="1:14">
      <c r="A3819" s="9"/>
      <c r="B3819" s="9"/>
      <c r="C3819" s="9"/>
      <c r="D3819" s="9"/>
      <c r="E3819" s="9"/>
      <c r="F3819" s="9"/>
      <c r="G3819" s="9"/>
      <c r="H3819" s="9"/>
      <c r="I3819" s="9"/>
      <c r="J3819" s="9"/>
      <c r="K3819" s="9"/>
      <c r="L3819" s="9"/>
      <c r="M3819" s="9"/>
      <c r="N3819" s="9"/>
    </row>
    <row r="3820" spans="1:14">
      <c r="A3820" s="9"/>
      <c r="B3820" s="9"/>
      <c r="C3820" s="9"/>
      <c r="D3820" s="9"/>
      <c r="E3820" s="9"/>
      <c r="F3820" s="9"/>
      <c r="G3820" s="9"/>
      <c r="H3820" s="9"/>
      <c r="I3820" s="9"/>
      <c r="J3820" s="9"/>
      <c r="K3820" s="9"/>
      <c r="L3820" s="9"/>
      <c r="M3820" s="9"/>
      <c r="N3820" s="9"/>
    </row>
    <row r="3821" spans="1:14">
      <c r="A3821" s="9"/>
      <c r="B3821" s="9"/>
      <c r="C3821" s="9"/>
      <c r="D3821" s="9"/>
      <c r="E3821" s="9"/>
      <c r="F3821" s="9"/>
      <c r="G3821" s="9"/>
      <c r="H3821" s="9"/>
      <c r="I3821" s="9"/>
      <c r="J3821" s="9"/>
      <c r="K3821" s="9"/>
      <c r="L3821" s="9"/>
      <c r="M3821" s="9"/>
      <c r="N3821" s="9"/>
    </row>
    <row r="3822" spans="1:14">
      <c r="A3822" s="9"/>
      <c r="B3822" s="9"/>
      <c r="C3822" s="9"/>
      <c r="D3822" s="9"/>
      <c r="E3822" s="9"/>
      <c r="F3822" s="9"/>
      <c r="G3822" s="9"/>
      <c r="H3822" s="9"/>
      <c r="I3822" s="9"/>
      <c r="J3822" s="9"/>
      <c r="K3822" s="9"/>
      <c r="L3822" s="9"/>
      <c r="M3822" s="9"/>
      <c r="N3822" s="9"/>
    </row>
    <row r="3823" spans="1:14">
      <c r="A3823" s="9"/>
      <c r="B3823" s="9"/>
      <c r="C3823" s="9"/>
      <c r="D3823" s="9"/>
      <c r="E3823" s="9"/>
      <c r="F3823" s="9"/>
      <c r="G3823" s="9"/>
      <c r="H3823" s="9"/>
      <c r="I3823" s="9"/>
      <c r="J3823" s="9"/>
      <c r="K3823" s="9"/>
      <c r="L3823" s="9"/>
      <c r="M3823" s="9"/>
      <c r="N3823" s="9"/>
    </row>
    <row r="3824" spans="1:14">
      <c r="A3824" s="9"/>
      <c r="B3824" s="9"/>
      <c r="C3824" s="9"/>
      <c r="D3824" s="9"/>
      <c r="E3824" s="9"/>
      <c r="F3824" s="9"/>
      <c r="G3824" s="9"/>
      <c r="H3824" s="9"/>
      <c r="I3824" s="9"/>
      <c r="J3824" s="9"/>
      <c r="K3824" s="9"/>
      <c r="L3824" s="9"/>
      <c r="M3824" s="9"/>
      <c r="N3824" s="9"/>
    </row>
    <row r="3825" spans="1:14">
      <c r="A3825" s="9"/>
      <c r="B3825" s="9"/>
      <c r="C3825" s="9"/>
      <c r="D3825" s="9"/>
      <c r="E3825" s="9"/>
      <c r="F3825" s="9"/>
      <c r="G3825" s="9"/>
      <c r="H3825" s="9"/>
      <c r="I3825" s="9"/>
      <c r="J3825" s="9"/>
      <c r="K3825" s="9"/>
      <c r="L3825" s="9"/>
      <c r="M3825" s="9"/>
      <c r="N3825" s="9"/>
    </row>
    <row r="3826" spans="1:14">
      <c r="A3826" s="9"/>
      <c r="B3826" s="9"/>
      <c r="C3826" s="9"/>
      <c r="D3826" s="9"/>
      <c r="E3826" s="9"/>
      <c r="F3826" s="9"/>
      <c r="G3826" s="9"/>
      <c r="H3826" s="9"/>
      <c r="I3826" s="9"/>
      <c r="J3826" s="9"/>
      <c r="K3826" s="9"/>
      <c r="L3826" s="9"/>
      <c r="M3826" s="9"/>
      <c r="N3826" s="9"/>
    </row>
    <row r="3827" spans="1:14">
      <c r="A3827" s="9"/>
      <c r="B3827" s="9"/>
      <c r="C3827" s="9"/>
      <c r="D3827" s="9"/>
      <c r="E3827" s="9"/>
      <c r="F3827" s="9"/>
      <c r="G3827" s="9"/>
      <c r="H3827" s="9"/>
      <c r="I3827" s="9"/>
      <c r="J3827" s="9"/>
      <c r="K3827" s="9"/>
      <c r="L3827" s="9"/>
      <c r="M3827" s="9"/>
      <c r="N3827" s="9"/>
    </row>
    <row r="3828" spans="1:14">
      <c r="A3828" s="9"/>
      <c r="B3828" s="9"/>
      <c r="C3828" s="9"/>
      <c r="D3828" s="9"/>
      <c r="E3828" s="9"/>
      <c r="F3828" s="9"/>
      <c r="G3828" s="9"/>
      <c r="H3828" s="9"/>
      <c r="I3828" s="9"/>
      <c r="J3828" s="9"/>
      <c r="K3828" s="9"/>
      <c r="L3828" s="9"/>
      <c r="M3828" s="9"/>
      <c r="N3828" s="9"/>
    </row>
    <row r="3829" spans="1:14">
      <c r="A3829" s="9"/>
      <c r="B3829" s="9"/>
      <c r="C3829" s="9"/>
      <c r="D3829" s="9"/>
      <c r="E3829" s="9"/>
      <c r="F3829" s="9"/>
      <c r="G3829" s="9"/>
      <c r="H3829" s="9"/>
      <c r="I3829" s="9"/>
      <c r="J3829" s="9"/>
      <c r="K3829" s="9"/>
      <c r="L3829" s="9"/>
      <c r="M3829" s="9"/>
      <c r="N3829" s="9"/>
    </row>
    <row r="3830" spans="1:14">
      <c r="A3830" s="9"/>
      <c r="B3830" s="9"/>
      <c r="C3830" s="9"/>
      <c r="D3830" s="9"/>
      <c r="E3830" s="9"/>
      <c r="F3830" s="9"/>
      <c r="G3830" s="9"/>
      <c r="H3830" s="9"/>
      <c r="I3830" s="9"/>
      <c r="J3830" s="9"/>
      <c r="K3830" s="9"/>
      <c r="L3830" s="9"/>
      <c r="M3830" s="9"/>
      <c r="N3830" s="9"/>
    </row>
    <row r="3831" spans="1:14">
      <c r="A3831" s="9"/>
      <c r="B3831" s="9"/>
      <c r="C3831" s="9"/>
      <c r="D3831" s="9"/>
      <c r="E3831" s="9"/>
      <c r="F3831" s="9"/>
      <c r="G3831" s="9"/>
      <c r="H3831" s="9"/>
      <c r="I3831" s="9"/>
      <c r="J3831" s="9"/>
      <c r="K3831" s="9"/>
      <c r="L3831" s="9"/>
      <c r="M3831" s="9"/>
      <c r="N3831" s="9"/>
    </row>
    <row r="3832" spans="1:14">
      <c r="A3832" s="9"/>
      <c r="B3832" s="9"/>
      <c r="C3832" s="9"/>
      <c r="D3832" s="9"/>
      <c r="E3832" s="9"/>
      <c r="F3832" s="9"/>
      <c r="G3832" s="9"/>
      <c r="H3832" s="9"/>
      <c r="I3832" s="9"/>
      <c r="J3832" s="9"/>
      <c r="K3832" s="9"/>
      <c r="L3832" s="9"/>
      <c r="M3832" s="9"/>
      <c r="N3832" s="9"/>
    </row>
    <row r="3833" spans="1:14">
      <c r="A3833" s="9"/>
      <c r="B3833" s="9"/>
      <c r="C3833" s="9"/>
      <c r="D3833" s="9"/>
      <c r="E3833" s="9"/>
      <c r="F3833" s="9"/>
      <c r="G3833" s="9"/>
      <c r="H3833" s="9"/>
      <c r="I3833" s="9"/>
      <c r="J3833" s="9"/>
      <c r="K3833" s="9"/>
      <c r="L3833" s="9"/>
      <c r="M3833" s="9"/>
      <c r="N3833" s="9"/>
    </row>
    <row r="3834" spans="1:14">
      <c r="A3834" s="9"/>
      <c r="B3834" s="9"/>
      <c r="C3834" s="9"/>
      <c r="D3834" s="9"/>
      <c r="E3834" s="9"/>
      <c r="F3834" s="9"/>
      <c r="G3834" s="9"/>
      <c r="H3834" s="9"/>
      <c r="I3834" s="9"/>
      <c r="J3834" s="9"/>
      <c r="K3834" s="9"/>
      <c r="L3834" s="9"/>
      <c r="M3834" s="9"/>
      <c r="N3834" s="9"/>
    </row>
    <row r="3835" spans="1:14">
      <c r="A3835" s="9"/>
      <c r="B3835" s="9"/>
      <c r="C3835" s="9"/>
      <c r="D3835" s="9"/>
      <c r="E3835" s="9"/>
      <c r="F3835" s="9"/>
      <c r="G3835" s="9"/>
      <c r="H3835" s="9"/>
      <c r="I3835" s="9"/>
      <c r="J3835" s="9"/>
      <c r="K3835" s="9"/>
      <c r="L3835" s="9"/>
      <c r="M3835" s="9"/>
      <c r="N3835" s="9"/>
    </row>
    <row r="3836" spans="1:14">
      <c r="A3836" s="9"/>
      <c r="B3836" s="9"/>
      <c r="C3836" s="9"/>
      <c r="D3836" s="9"/>
      <c r="E3836" s="9"/>
      <c r="F3836" s="9"/>
      <c r="G3836" s="9"/>
      <c r="H3836" s="9"/>
      <c r="I3836" s="9"/>
      <c r="J3836" s="9"/>
      <c r="K3836" s="9"/>
      <c r="L3836" s="9"/>
      <c r="M3836" s="9"/>
      <c r="N3836" s="9"/>
    </row>
    <row r="3837" spans="1:14">
      <c r="A3837" s="9"/>
      <c r="B3837" s="9"/>
      <c r="C3837" s="9"/>
      <c r="D3837" s="9"/>
      <c r="E3837" s="9"/>
      <c r="F3837" s="9"/>
      <c r="G3837" s="9"/>
      <c r="H3837" s="9"/>
      <c r="I3837" s="9"/>
      <c r="J3837" s="9"/>
      <c r="K3837" s="9"/>
      <c r="L3837" s="9"/>
      <c r="M3837" s="9"/>
      <c r="N3837" s="9"/>
    </row>
    <row r="3838" spans="1:14">
      <c r="A3838" s="9"/>
      <c r="B3838" s="9"/>
      <c r="C3838" s="9"/>
      <c r="D3838" s="9"/>
      <c r="E3838" s="9"/>
      <c r="F3838" s="9"/>
      <c r="G3838" s="9"/>
      <c r="H3838" s="9"/>
      <c r="I3838" s="9"/>
      <c r="J3838" s="9"/>
      <c r="K3838" s="9"/>
      <c r="L3838" s="9"/>
      <c r="M3838" s="9"/>
      <c r="N3838" s="9"/>
    </row>
    <row r="3839" spans="1:14">
      <c r="A3839" s="9"/>
      <c r="B3839" s="9"/>
      <c r="C3839" s="9"/>
      <c r="D3839" s="9"/>
      <c r="E3839" s="9"/>
      <c r="F3839" s="9"/>
      <c r="G3839" s="9"/>
      <c r="H3839" s="9"/>
      <c r="I3839" s="9"/>
      <c r="J3839" s="9"/>
      <c r="K3839" s="9"/>
      <c r="L3839" s="9"/>
      <c r="M3839" s="9"/>
      <c r="N3839" s="9"/>
    </row>
    <row r="3840" spans="1:14">
      <c r="A3840" s="9"/>
      <c r="B3840" s="9"/>
      <c r="C3840" s="9"/>
      <c r="D3840" s="9"/>
      <c r="E3840" s="9"/>
      <c r="F3840" s="9"/>
      <c r="G3840" s="9"/>
      <c r="H3840" s="9"/>
      <c r="I3840" s="9"/>
      <c r="J3840" s="9"/>
      <c r="K3840" s="9"/>
      <c r="L3840" s="9"/>
      <c r="M3840" s="9"/>
      <c r="N3840" s="9"/>
    </row>
    <row r="3841" spans="1:14">
      <c r="A3841" s="9"/>
      <c r="B3841" s="9"/>
      <c r="C3841" s="9"/>
      <c r="D3841" s="9"/>
      <c r="E3841" s="9"/>
      <c r="F3841" s="9"/>
      <c r="G3841" s="9"/>
      <c r="H3841" s="9"/>
      <c r="I3841" s="9"/>
      <c r="J3841" s="9"/>
      <c r="K3841" s="9"/>
      <c r="L3841" s="9"/>
      <c r="M3841" s="9"/>
      <c r="N3841" s="9"/>
    </row>
    <row r="3842" spans="1:14">
      <c r="A3842" s="9"/>
      <c r="B3842" s="9"/>
      <c r="C3842" s="9"/>
      <c r="D3842" s="9"/>
      <c r="E3842" s="9"/>
      <c r="F3842" s="9"/>
      <c r="G3842" s="9"/>
      <c r="H3842" s="9"/>
      <c r="I3842" s="9"/>
      <c r="J3842" s="9"/>
      <c r="K3842" s="9"/>
      <c r="L3842" s="9"/>
      <c r="M3842" s="9"/>
      <c r="N3842" s="9"/>
    </row>
    <row r="3843" spans="1:14">
      <c r="A3843" s="9"/>
      <c r="B3843" s="9"/>
      <c r="C3843" s="9"/>
      <c r="D3843" s="9"/>
      <c r="E3843" s="9"/>
      <c r="F3843" s="9"/>
      <c r="G3843" s="9"/>
      <c r="H3843" s="9"/>
      <c r="I3843" s="9"/>
      <c r="J3843" s="9"/>
      <c r="K3843" s="9"/>
      <c r="L3843" s="9"/>
      <c r="M3843" s="9"/>
      <c r="N3843" s="9"/>
    </row>
    <row r="3844" spans="1:14">
      <c r="A3844" s="9"/>
      <c r="B3844" s="9"/>
      <c r="C3844" s="9"/>
      <c r="D3844" s="9"/>
      <c r="E3844" s="9"/>
      <c r="F3844" s="9"/>
      <c r="G3844" s="9"/>
      <c r="H3844" s="9"/>
      <c r="I3844" s="9"/>
      <c r="J3844" s="9"/>
      <c r="K3844" s="9"/>
      <c r="L3844" s="9"/>
      <c r="M3844" s="9"/>
      <c r="N3844" s="9"/>
    </row>
    <row r="3845" spans="1:14">
      <c r="A3845" s="9"/>
      <c r="B3845" s="9"/>
      <c r="C3845" s="9"/>
      <c r="D3845" s="9"/>
      <c r="E3845" s="9"/>
      <c r="F3845" s="9"/>
      <c r="G3845" s="9"/>
      <c r="H3845" s="9"/>
      <c r="I3845" s="9"/>
      <c r="J3845" s="9"/>
      <c r="K3845" s="9"/>
      <c r="L3845" s="9"/>
      <c r="M3845" s="9"/>
      <c r="N3845" s="9"/>
    </row>
    <row r="3846" spans="1:14">
      <c r="A3846" s="9"/>
      <c r="B3846" s="9"/>
      <c r="C3846" s="9"/>
      <c r="D3846" s="9"/>
      <c r="E3846" s="9"/>
      <c r="F3846" s="9"/>
      <c r="G3846" s="9"/>
      <c r="H3846" s="9"/>
      <c r="I3846" s="9"/>
      <c r="J3846" s="9"/>
      <c r="K3846" s="9"/>
      <c r="L3846" s="9"/>
      <c r="M3846" s="9"/>
      <c r="N3846" s="9"/>
    </row>
    <row r="3847" spans="1:14">
      <c r="A3847" s="9"/>
      <c r="B3847" s="9"/>
      <c r="C3847" s="9"/>
      <c r="D3847" s="9"/>
      <c r="E3847" s="9"/>
      <c r="F3847" s="9"/>
      <c r="G3847" s="9"/>
      <c r="H3847" s="9"/>
      <c r="I3847" s="9"/>
      <c r="J3847" s="9"/>
      <c r="K3847" s="9"/>
      <c r="L3847" s="9"/>
      <c r="M3847" s="9"/>
      <c r="N3847" s="9"/>
    </row>
    <row r="3848" spans="1:14">
      <c r="A3848" s="9"/>
      <c r="B3848" s="9"/>
      <c r="C3848" s="9"/>
      <c r="D3848" s="9"/>
      <c r="E3848" s="9"/>
      <c r="F3848" s="9"/>
      <c r="G3848" s="9"/>
      <c r="H3848" s="9"/>
      <c r="I3848" s="9"/>
      <c r="J3848" s="9"/>
      <c r="K3848" s="9"/>
      <c r="L3848" s="9"/>
      <c r="M3848" s="9"/>
      <c r="N3848" s="9"/>
    </row>
    <row r="3849" spans="1:14">
      <c r="A3849" s="9"/>
      <c r="B3849" s="9"/>
      <c r="C3849" s="9"/>
      <c r="D3849" s="9"/>
      <c r="E3849" s="9"/>
      <c r="F3849" s="9"/>
      <c r="G3849" s="9"/>
      <c r="H3849" s="9"/>
      <c r="I3849" s="9"/>
      <c r="J3849" s="9"/>
      <c r="K3849" s="9"/>
      <c r="L3849" s="9"/>
      <c r="M3849" s="9"/>
      <c r="N3849" s="9"/>
    </row>
    <row r="3850" spans="1:14">
      <c r="A3850" s="9"/>
      <c r="B3850" s="9"/>
      <c r="C3850" s="9"/>
      <c r="D3850" s="9"/>
      <c r="E3850" s="9"/>
      <c r="F3850" s="9"/>
      <c r="G3850" s="9"/>
      <c r="H3850" s="9"/>
      <c r="I3850" s="9"/>
      <c r="J3850" s="9"/>
      <c r="K3850" s="9"/>
      <c r="L3850" s="9"/>
      <c r="M3850" s="9"/>
      <c r="N3850" s="9"/>
    </row>
    <row r="3851" spans="1:14">
      <c r="A3851" s="9"/>
      <c r="B3851" s="9"/>
      <c r="C3851" s="9"/>
      <c r="D3851" s="9"/>
      <c r="E3851" s="9"/>
      <c r="F3851" s="9"/>
      <c r="G3851" s="9"/>
      <c r="H3851" s="9"/>
      <c r="I3851" s="9"/>
      <c r="J3851" s="9"/>
      <c r="K3851" s="9"/>
      <c r="L3851" s="9"/>
      <c r="M3851" s="9"/>
      <c r="N3851" s="9"/>
    </row>
    <row r="3852" spans="1:14">
      <c r="A3852" s="9"/>
      <c r="B3852" s="9"/>
      <c r="C3852" s="9"/>
      <c r="D3852" s="9"/>
      <c r="E3852" s="9"/>
      <c r="F3852" s="9"/>
      <c r="G3852" s="9"/>
      <c r="H3852" s="9"/>
      <c r="I3852" s="9"/>
      <c r="J3852" s="9"/>
      <c r="K3852" s="9"/>
      <c r="L3852" s="9"/>
      <c r="M3852" s="9"/>
      <c r="N3852" s="9"/>
    </row>
    <row r="3853" spans="1:14">
      <c r="A3853" s="9"/>
      <c r="B3853" s="9"/>
      <c r="C3853" s="9"/>
      <c r="D3853" s="9"/>
      <c r="E3853" s="9"/>
      <c r="F3853" s="9"/>
      <c r="G3853" s="9"/>
      <c r="H3853" s="9"/>
      <c r="I3853" s="9"/>
      <c r="J3853" s="9"/>
      <c r="K3853" s="9"/>
      <c r="L3853" s="9"/>
      <c r="M3853" s="9"/>
      <c r="N3853" s="9"/>
    </row>
    <row r="3854" spans="1:14">
      <c r="A3854" s="9"/>
      <c r="B3854" s="9"/>
      <c r="C3854" s="9"/>
      <c r="D3854" s="9"/>
      <c r="E3854" s="9"/>
      <c r="F3854" s="9"/>
      <c r="G3854" s="9"/>
      <c r="H3854" s="9"/>
      <c r="I3854" s="9"/>
      <c r="J3854" s="9"/>
      <c r="K3854" s="9"/>
      <c r="L3854" s="9"/>
      <c r="M3854" s="9"/>
      <c r="N3854" s="9"/>
    </row>
    <row r="3855" spans="1:14">
      <c r="A3855" s="9"/>
      <c r="B3855" s="9"/>
      <c r="C3855" s="9"/>
      <c r="D3855" s="9"/>
      <c r="E3855" s="9"/>
      <c r="F3855" s="9"/>
      <c r="G3855" s="9"/>
      <c r="H3855" s="9"/>
      <c r="I3855" s="9"/>
      <c r="J3855" s="9"/>
      <c r="K3855" s="9"/>
      <c r="L3855" s="9"/>
      <c r="M3855" s="9"/>
      <c r="N3855" s="9"/>
    </row>
    <row r="3856" spans="1:14">
      <c r="A3856" s="9"/>
      <c r="B3856" s="9"/>
      <c r="C3856" s="9"/>
      <c r="D3856" s="9"/>
      <c r="E3856" s="9"/>
      <c r="F3856" s="9"/>
      <c r="G3856" s="9"/>
      <c r="H3856" s="9"/>
      <c r="I3856" s="9"/>
      <c r="J3856" s="9"/>
      <c r="K3856" s="9"/>
      <c r="L3856" s="9"/>
      <c r="M3856" s="9"/>
      <c r="N3856" s="9"/>
    </row>
    <row r="3857" spans="1:14">
      <c r="A3857" s="9"/>
      <c r="B3857" s="9"/>
      <c r="C3857" s="9"/>
      <c r="D3857" s="9"/>
      <c r="E3857" s="9"/>
      <c r="F3857" s="9"/>
      <c r="G3857" s="9"/>
      <c r="H3857" s="9"/>
      <c r="I3857" s="9"/>
      <c r="J3857" s="9"/>
      <c r="K3857" s="9"/>
      <c r="L3857" s="9"/>
      <c r="M3857" s="9"/>
      <c r="N3857" s="9"/>
    </row>
    <row r="3858" spans="1:14">
      <c r="A3858" s="9"/>
      <c r="B3858" s="9"/>
      <c r="C3858" s="9"/>
      <c r="D3858" s="9"/>
      <c r="E3858" s="9"/>
      <c r="F3858" s="9"/>
      <c r="G3858" s="9"/>
      <c r="H3858" s="9"/>
      <c r="I3858" s="9"/>
      <c r="J3858" s="9"/>
      <c r="K3858" s="9"/>
      <c r="L3858" s="9"/>
      <c r="M3858" s="9"/>
      <c r="N3858" s="9"/>
    </row>
    <row r="3859" spans="1:14">
      <c r="A3859" s="9"/>
      <c r="B3859" s="9"/>
      <c r="C3859" s="9"/>
      <c r="D3859" s="9"/>
      <c r="E3859" s="9"/>
      <c r="F3859" s="9"/>
      <c r="G3859" s="9"/>
      <c r="H3859" s="9"/>
      <c r="I3859" s="9"/>
      <c r="J3859" s="9"/>
      <c r="K3859" s="9"/>
      <c r="L3859" s="9"/>
      <c r="M3859" s="9"/>
      <c r="N3859" s="9"/>
    </row>
    <row r="3860" spans="1:14">
      <c r="A3860" s="9"/>
      <c r="B3860" s="9"/>
      <c r="C3860" s="9"/>
      <c r="D3860" s="9"/>
      <c r="E3860" s="9"/>
      <c r="F3860" s="9"/>
      <c r="G3860" s="9"/>
      <c r="H3860" s="9"/>
      <c r="I3860" s="9"/>
      <c r="J3860" s="9"/>
      <c r="K3860" s="9"/>
      <c r="L3860" s="9"/>
      <c r="M3860" s="9"/>
      <c r="N3860" s="9"/>
    </row>
    <row r="3861" spans="1:14">
      <c r="A3861" s="9"/>
      <c r="B3861" s="9"/>
      <c r="C3861" s="9"/>
      <c r="D3861" s="9"/>
      <c r="E3861" s="9"/>
      <c r="F3861" s="9"/>
      <c r="G3861" s="9"/>
      <c r="H3861" s="9"/>
      <c r="I3861" s="9"/>
      <c r="J3861" s="9"/>
      <c r="K3861" s="9"/>
      <c r="L3861" s="9"/>
      <c r="M3861" s="9"/>
      <c r="N3861" s="9"/>
    </row>
    <row r="3862" spans="1:14">
      <c r="A3862" s="9"/>
      <c r="B3862" s="9"/>
      <c r="C3862" s="9"/>
      <c r="D3862" s="9"/>
      <c r="E3862" s="9"/>
      <c r="F3862" s="9"/>
      <c r="G3862" s="9"/>
      <c r="H3862" s="9"/>
      <c r="I3862" s="9"/>
      <c r="J3862" s="9"/>
      <c r="K3862" s="9"/>
      <c r="L3862" s="9"/>
      <c r="M3862" s="9"/>
      <c r="N3862" s="9"/>
    </row>
    <row r="3863" spans="1:14">
      <c r="A3863" s="9"/>
      <c r="B3863" s="9"/>
      <c r="C3863" s="9"/>
      <c r="D3863" s="9"/>
      <c r="E3863" s="9"/>
      <c r="F3863" s="9"/>
      <c r="G3863" s="9"/>
      <c r="H3863" s="9"/>
      <c r="I3863" s="9"/>
      <c r="J3863" s="9"/>
      <c r="K3863" s="9"/>
      <c r="L3863" s="9"/>
      <c r="M3863" s="9"/>
      <c r="N3863" s="9"/>
    </row>
    <row r="3864" spans="1:14">
      <c r="A3864" s="9"/>
      <c r="B3864" s="9"/>
      <c r="C3864" s="9"/>
      <c r="D3864" s="9"/>
      <c r="E3864" s="9"/>
      <c r="F3864" s="9"/>
      <c r="G3864" s="9"/>
      <c r="H3864" s="9"/>
      <c r="I3864" s="9"/>
      <c r="J3864" s="9"/>
      <c r="K3864" s="9"/>
      <c r="L3864" s="9"/>
      <c r="M3864" s="9"/>
      <c r="N3864" s="9"/>
    </row>
    <row r="3865" spans="1:14">
      <c r="A3865" s="9"/>
      <c r="B3865" s="9"/>
      <c r="C3865" s="9"/>
      <c r="D3865" s="9"/>
      <c r="E3865" s="9"/>
      <c r="F3865" s="9"/>
      <c r="G3865" s="9"/>
      <c r="H3865" s="9"/>
      <c r="I3865" s="9"/>
      <c r="J3865" s="9"/>
      <c r="K3865" s="9"/>
      <c r="L3865" s="9"/>
      <c r="M3865" s="9"/>
      <c r="N3865" s="9"/>
    </row>
    <row r="3866" spans="1:14">
      <c r="A3866" s="9"/>
      <c r="B3866" s="9"/>
      <c r="C3866" s="9"/>
      <c r="D3866" s="9"/>
      <c r="E3866" s="9"/>
      <c r="F3866" s="9"/>
      <c r="G3866" s="9"/>
      <c r="H3866" s="9"/>
      <c r="I3866" s="9"/>
      <c r="J3866" s="9"/>
      <c r="K3866" s="9"/>
      <c r="L3866" s="9"/>
      <c r="M3866" s="9"/>
      <c r="N3866" s="9"/>
    </row>
    <row r="3867" spans="1:14">
      <c r="A3867" s="9"/>
      <c r="B3867" s="9"/>
      <c r="C3867" s="9"/>
      <c r="D3867" s="9"/>
      <c r="E3867" s="9"/>
      <c r="F3867" s="9"/>
      <c r="G3867" s="9"/>
      <c r="H3867" s="9"/>
      <c r="I3867" s="9"/>
      <c r="J3867" s="9"/>
      <c r="K3867" s="9"/>
      <c r="L3867" s="9"/>
      <c r="M3867" s="9"/>
      <c r="N3867" s="9"/>
    </row>
    <row r="3868" spans="1:14">
      <c r="A3868" s="9"/>
      <c r="B3868" s="9"/>
      <c r="C3868" s="9"/>
      <c r="D3868" s="9"/>
      <c r="E3868" s="9"/>
      <c r="F3868" s="9"/>
      <c r="G3868" s="9"/>
      <c r="H3868" s="9"/>
      <c r="I3868" s="9"/>
      <c r="J3868" s="9"/>
      <c r="K3868" s="9"/>
      <c r="L3868" s="9"/>
      <c r="M3868" s="9"/>
      <c r="N3868" s="9"/>
    </row>
    <row r="3869" spans="1:14">
      <c r="A3869" s="9"/>
      <c r="B3869" s="9"/>
      <c r="C3869" s="9"/>
      <c r="D3869" s="9"/>
      <c r="E3869" s="9"/>
      <c r="F3869" s="9"/>
      <c r="G3869" s="9"/>
      <c r="H3869" s="9"/>
      <c r="I3869" s="9"/>
      <c r="J3869" s="9"/>
      <c r="K3869" s="9"/>
      <c r="L3869" s="9"/>
      <c r="M3869" s="9"/>
      <c r="N3869" s="9"/>
    </row>
    <row r="3870" spans="1:14">
      <c r="A3870" s="9"/>
      <c r="B3870" s="9"/>
      <c r="C3870" s="9"/>
      <c r="D3870" s="9"/>
      <c r="E3870" s="9"/>
      <c r="F3870" s="9"/>
      <c r="G3870" s="9"/>
      <c r="H3870" s="9"/>
      <c r="I3870" s="9"/>
      <c r="J3870" s="9"/>
      <c r="K3870" s="9"/>
      <c r="L3870" s="9"/>
      <c r="M3870" s="9"/>
      <c r="N3870" s="9"/>
    </row>
    <row r="3871" spans="1:14">
      <c r="A3871" s="9"/>
      <c r="B3871" s="9"/>
      <c r="C3871" s="9"/>
      <c r="D3871" s="9"/>
      <c r="E3871" s="9"/>
      <c r="F3871" s="9"/>
      <c r="G3871" s="9"/>
      <c r="H3871" s="9"/>
      <c r="I3871" s="9"/>
      <c r="J3871" s="9"/>
      <c r="K3871" s="9"/>
      <c r="L3871" s="9"/>
      <c r="M3871" s="9"/>
      <c r="N3871" s="9"/>
    </row>
    <row r="3872" spans="1:14">
      <c r="A3872" s="9"/>
      <c r="B3872" s="9"/>
      <c r="C3872" s="9"/>
      <c r="D3872" s="9"/>
      <c r="E3872" s="9"/>
      <c r="F3872" s="9"/>
      <c r="G3872" s="9"/>
      <c r="H3872" s="9"/>
      <c r="I3872" s="9"/>
      <c r="J3872" s="9"/>
      <c r="K3872" s="9"/>
      <c r="L3872" s="9"/>
      <c r="M3872" s="9"/>
      <c r="N3872" s="9"/>
    </row>
    <row r="3873" spans="1:14">
      <c r="A3873" s="9"/>
      <c r="B3873" s="9"/>
      <c r="C3873" s="9"/>
      <c r="D3873" s="9"/>
      <c r="E3873" s="9"/>
      <c r="F3873" s="9"/>
      <c r="G3873" s="9"/>
      <c r="H3873" s="9"/>
      <c r="I3873" s="9"/>
      <c r="J3873" s="9"/>
      <c r="K3873" s="9"/>
      <c r="L3873" s="9"/>
      <c r="M3873" s="9"/>
      <c r="N3873" s="9"/>
    </row>
    <row r="3874" spans="1:14">
      <c r="A3874" s="9"/>
      <c r="B3874" s="9"/>
      <c r="C3874" s="9"/>
      <c r="D3874" s="9"/>
      <c r="E3874" s="9"/>
      <c r="F3874" s="9"/>
      <c r="G3874" s="9"/>
      <c r="H3874" s="9"/>
      <c r="I3874" s="9"/>
      <c r="J3874" s="9"/>
      <c r="K3874" s="9"/>
      <c r="L3874" s="9"/>
      <c r="M3874" s="9"/>
      <c r="N3874" s="9"/>
    </row>
    <row r="3875" spans="1:14">
      <c r="A3875" s="9"/>
      <c r="B3875" s="9"/>
      <c r="C3875" s="9"/>
      <c r="D3875" s="9"/>
      <c r="E3875" s="9"/>
      <c r="F3875" s="9"/>
      <c r="G3875" s="9"/>
      <c r="H3875" s="9"/>
      <c r="I3875" s="9"/>
      <c r="J3875" s="9"/>
      <c r="K3875" s="9"/>
      <c r="L3875" s="9"/>
      <c r="M3875" s="9"/>
      <c r="N3875" s="9"/>
    </row>
    <row r="3876" spans="1:14">
      <c r="A3876" s="9"/>
      <c r="B3876" s="9"/>
      <c r="C3876" s="9"/>
      <c r="D3876" s="9"/>
      <c r="E3876" s="9"/>
      <c r="F3876" s="9"/>
      <c r="G3876" s="9"/>
      <c r="H3876" s="9"/>
      <c r="I3876" s="9"/>
      <c r="J3876" s="9"/>
      <c r="K3876" s="9"/>
      <c r="L3876" s="9"/>
      <c r="M3876" s="9"/>
      <c r="N3876" s="9"/>
    </row>
    <row r="3877" spans="1:14">
      <c r="A3877" s="9"/>
      <c r="B3877" s="9"/>
      <c r="C3877" s="9"/>
      <c r="D3877" s="9"/>
      <c r="E3877" s="9"/>
      <c r="F3877" s="9"/>
      <c r="G3877" s="9"/>
      <c r="H3877" s="9"/>
      <c r="I3877" s="9"/>
      <c r="J3877" s="9"/>
      <c r="K3877" s="9"/>
      <c r="L3877" s="9"/>
      <c r="M3877" s="9"/>
      <c r="N3877" s="9"/>
    </row>
    <row r="3878" spans="1:14">
      <c r="A3878" s="9"/>
      <c r="B3878" s="9"/>
      <c r="C3878" s="9"/>
      <c r="D3878" s="9"/>
      <c r="E3878" s="9"/>
      <c r="F3878" s="9"/>
      <c r="G3878" s="9"/>
      <c r="H3878" s="9"/>
      <c r="I3878" s="9"/>
      <c r="J3878" s="9"/>
      <c r="K3878" s="9"/>
      <c r="L3878" s="9"/>
      <c r="M3878" s="9"/>
      <c r="N3878" s="9"/>
    </row>
    <row r="3879" spans="1:14">
      <c r="A3879" s="9"/>
      <c r="B3879" s="9"/>
      <c r="C3879" s="9"/>
      <c r="D3879" s="9"/>
      <c r="E3879" s="9"/>
      <c r="F3879" s="9"/>
      <c r="G3879" s="9"/>
      <c r="H3879" s="9"/>
      <c r="I3879" s="9"/>
      <c r="J3879" s="9"/>
      <c r="K3879" s="9"/>
      <c r="L3879" s="9"/>
      <c r="M3879" s="9"/>
      <c r="N3879" s="9"/>
    </row>
    <row r="3880" spans="1:14">
      <c r="A3880" s="9"/>
      <c r="B3880" s="9"/>
      <c r="C3880" s="9"/>
      <c r="D3880" s="9"/>
      <c r="E3880" s="9"/>
      <c r="F3880" s="9"/>
      <c r="G3880" s="9"/>
      <c r="H3880" s="9"/>
      <c r="I3880" s="9"/>
      <c r="J3880" s="9"/>
      <c r="K3880" s="9"/>
      <c r="L3880" s="9"/>
      <c r="M3880" s="9"/>
      <c r="N3880" s="9"/>
    </row>
    <row r="3881" spans="1:14">
      <c r="A3881" s="9"/>
      <c r="B3881" s="9"/>
      <c r="C3881" s="9"/>
      <c r="D3881" s="9"/>
      <c r="E3881" s="9"/>
      <c r="F3881" s="9"/>
      <c r="G3881" s="9"/>
      <c r="H3881" s="9"/>
      <c r="I3881" s="9"/>
      <c r="J3881" s="9"/>
      <c r="K3881" s="9"/>
      <c r="L3881" s="9"/>
      <c r="M3881" s="9"/>
      <c r="N3881" s="9"/>
    </row>
    <row r="3882" spans="1:14">
      <c r="A3882" s="9"/>
      <c r="B3882" s="9"/>
      <c r="C3882" s="9"/>
      <c r="D3882" s="9"/>
      <c r="E3882" s="9"/>
      <c r="F3882" s="9"/>
      <c r="G3882" s="9"/>
      <c r="H3882" s="9"/>
      <c r="I3882" s="9"/>
      <c r="J3882" s="9"/>
      <c r="K3882" s="9"/>
      <c r="L3882" s="9"/>
      <c r="M3882" s="9"/>
      <c r="N3882" s="9"/>
    </row>
    <row r="3883" spans="1:14">
      <c r="A3883" s="9"/>
      <c r="B3883" s="9"/>
      <c r="C3883" s="9"/>
      <c r="D3883" s="9"/>
      <c r="E3883" s="9"/>
      <c r="F3883" s="9"/>
      <c r="G3883" s="9"/>
      <c r="H3883" s="9"/>
      <c r="I3883" s="9"/>
      <c r="J3883" s="9"/>
      <c r="K3883" s="9"/>
      <c r="L3883" s="9"/>
      <c r="M3883" s="9"/>
      <c r="N3883" s="9"/>
    </row>
    <row r="3884" spans="1:14">
      <c r="A3884" s="9"/>
      <c r="B3884" s="9"/>
      <c r="C3884" s="9"/>
      <c r="D3884" s="9"/>
      <c r="E3884" s="9"/>
      <c r="F3884" s="9"/>
      <c r="G3884" s="9"/>
      <c r="H3884" s="9"/>
      <c r="I3884" s="9"/>
      <c r="J3884" s="9"/>
      <c r="K3884" s="9"/>
      <c r="L3884" s="9"/>
      <c r="M3884" s="9"/>
      <c r="N3884" s="9"/>
    </row>
    <row r="3885" spans="1:14">
      <c r="A3885" s="9"/>
      <c r="B3885" s="9"/>
      <c r="C3885" s="9"/>
      <c r="D3885" s="9"/>
      <c r="E3885" s="9"/>
      <c r="F3885" s="9"/>
      <c r="G3885" s="9"/>
      <c r="H3885" s="9"/>
      <c r="I3885" s="9"/>
      <c r="J3885" s="9"/>
      <c r="K3885" s="9"/>
      <c r="L3885" s="9"/>
      <c r="M3885" s="9"/>
      <c r="N3885" s="9"/>
    </row>
    <row r="3886" spans="1:14">
      <c r="A3886" s="9"/>
      <c r="B3886" s="9"/>
      <c r="C3886" s="9"/>
      <c r="D3886" s="9"/>
      <c r="E3886" s="9"/>
      <c r="F3886" s="9"/>
      <c r="G3886" s="9"/>
      <c r="H3886" s="9"/>
      <c r="I3886" s="9"/>
      <c r="J3886" s="9"/>
      <c r="K3886" s="9"/>
      <c r="L3886" s="9"/>
      <c r="M3886" s="9"/>
      <c r="N3886" s="9"/>
    </row>
    <row r="3887" spans="1:14">
      <c r="A3887" s="9"/>
      <c r="B3887" s="9"/>
      <c r="C3887" s="9"/>
      <c r="D3887" s="9"/>
      <c r="E3887" s="9"/>
      <c r="F3887" s="9"/>
      <c r="G3887" s="9"/>
      <c r="H3887" s="9"/>
      <c r="I3887" s="9"/>
      <c r="J3887" s="9"/>
      <c r="K3887" s="9"/>
      <c r="L3887" s="9"/>
      <c r="M3887" s="9"/>
      <c r="N3887" s="9"/>
    </row>
    <row r="3888" spans="1:14">
      <c r="A3888" s="9"/>
      <c r="B3888" s="9"/>
      <c r="C3888" s="9"/>
      <c r="D3888" s="9"/>
      <c r="E3888" s="9"/>
      <c r="F3888" s="9"/>
      <c r="G3888" s="9"/>
      <c r="H3888" s="9"/>
      <c r="I3888" s="9"/>
      <c r="J3888" s="9"/>
      <c r="K3888" s="9"/>
      <c r="L3888" s="9"/>
      <c r="M3888" s="9"/>
      <c r="N3888" s="9"/>
    </row>
    <row r="3889" spans="1:14">
      <c r="A3889" s="9"/>
      <c r="B3889" s="9"/>
      <c r="C3889" s="9"/>
      <c r="D3889" s="9"/>
      <c r="E3889" s="9"/>
      <c r="F3889" s="9"/>
      <c r="G3889" s="9"/>
      <c r="H3889" s="9"/>
      <c r="I3889" s="9"/>
      <c r="J3889" s="9"/>
      <c r="K3889" s="9"/>
      <c r="L3889" s="9"/>
      <c r="M3889" s="9"/>
      <c r="N3889" s="9"/>
    </row>
    <row r="3890" spans="1:14">
      <c r="A3890" s="9"/>
      <c r="B3890" s="9"/>
      <c r="C3890" s="9"/>
      <c r="D3890" s="9"/>
      <c r="E3890" s="9"/>
      <c r="F3890" s="9"/>
      <c r="G3890" s="9"/>
      <c r="H3890" s="9"/>
      <c r="I3890" s="9"/>
      <c r="J3890" s="9"/>
      <c r="K3890" s="9"/>
      <c r="L3890" s="9"/>
      <c r="M3890" s="9"/>
      <c r="N3890" s="9"/>
    </row>
    <row r="3891" spans="1:14">
      <c r="A3891" s="9"/>
      <c r="B3891" s="9"/>
      <c r="C3891" s="9"/>
      <c r="D3891" s="9"/>
      <c r="E3891" s="9"/>
      <c r="F3891" s="9"/>
      <c r="G3891" s="9"/>
      <c r="H3891" s="9"/>
      <c r="I3891" s="9"/>
      <c r="J3891" s="9"/>
      <c r="K3891" s="9"/>
      <c r="L3891" s="9"/>
      <c r="M3891" s="9"/>
      <c r="N3891" s="9"/>
    </row>
    <row r="3892" spans="1:14">
      <c r="A3892" s="9"/>
      <c r="B3892" s="9"/>
      <c r="C3892" s="9"/>
      <c r="D3892" s="9"/>
      <c r="E3892" s="9"/>
      <c r="F3892" s="9"/>
      <c r="G3892" s="9"/>
      <c r="H3892" s="9"/>
      <c r="I3892" s="9"/>
      <c r="J3892" s="9"/>
      <c r="K3892" s="9"/>
      <c r="L3892" s="9"/>
      <c r="M3892" s="9"/>
      <c r="N3892" s="9"/>
    </row>
    <row r="3893" spans="1:14">
      <c r="A3893" s="9"/>
      <c r="B3893" s="9"/>
      <c r="C3893" s="9"/>
      <c r="D3893" s="9"/>
      <c r="E3893" s="9"/>
      <c r="F3893" s="9"/>
      <c r="G3893" s="9"/>
      <c r="H3893" s="9"/>
      <c r="I3893" s="9"/>
      <c r="J3893" s="9"/>
      <c r="K3893" s="9"/>
      <c r="L3893" s="9"/>
      <c r="M3893" s="9"/>
      <c r="N3893" s="9"/>
    </row>
    <row r="3894" spans="1:14">
      <c r="A3894" s="9"/>
      <c r="B3894" s="9"/>
      <c r="C3894" s="9"/>
      <c r="D3894" s="9"/>
      <c r="E3894" s="9"/>
      <c r="F3894" s="9"/>
      <c r="G3894" s="9"/>
      <c r="H3894" s="9"/>
      <c r="I3894" s="9"/>
      <c r="J3894" s="9"/>
      <c r="K3894" s="9"/>
      <c r="L3894" s="9"/>
      <c r="M3894" s="9"/>
      <c r="N3894" s="9"/>
    </row>
    <row r="3895" spans="1:14">
      <c r="A3895" s="9"/>
      <c r="B3895" s="9"/>
      <c r="C3895" s="9"/>
      <c r="D3895" s="9"/>
      <c r="E3895" s="9"/>
      <c r="F3895" s="9"/>
      <c r="G3895" s="9"/>
      <c r="H3895" s="9"/>
      <c r="I3895" s="9"/>
      <c r="J3895" s="9"/>
      <c r="K3895" s="9"/>
      <c r="L3895" s="9"/>
      <c r="M3895" s="9"/>
      <c r="N3895" s="9"/>
    </row>
    <row r="3896" spans="1:14">
      <c r="A3896" s="9"/>
      <c r="B3896" s="9"/>
      <c r="C3896" s="9"/>
      <c r="D3896" s="9"/>
      <c r="E3896" s="9"/>
      <c r="F3896" s="9"/>
      <c r="G3896" s="9"/>
      <c r="H3896" s="9"/>
      <c r="I3896" s="9"/>
      <c r="J3896" s="9"/>
      <c r="K3896" s="9"/>
      <c r="L3896" s="9"/>
      <c r="M3896" s="9"/>
      <c r="N3896" s="9"/>
    </row>
    <row r="3897" spans="1:14">
      <c r="A3897" s="9"/>
      <c r="B3897" s="9"/>
      <c r="C3897" s="9"/>
      <c r="D3897" s="9"/>
      <c r="E3897" s="9"/>
      <c r="F3897" s="9"/>
      <c r="G3897" s="9"/>
      <c r="H3897" s="9"/>
      <c r="I3897" s="9"/>
      <c r="J3897" s="9"/>
      <c r="K3897" s="9"/>
      <c r="L3897" s="9"/>
      <c r="M3897" s="9"/>
      <c r="N3897" s="9"/>
    </row>
    <row r="3898" spans="1:14">
      <c r="A3898" s="9"/>
      <c r="B3898" s="9"/>
      <c r="C3898" s="9"/>
      <c r="D3898" s="9"/>
      <c r="E3898" s="9"/>
      <c r="F3898" s="9"/>
      <c r="G3898" s="9"/>
      <c r="H3898" s="9"/>
      <c r="I3898" s="9"/>
      <c r="J3898" s="9"/>
      <c r="K3898" s="9"/>
      <c r="L3898" s="9"/>
      <c r="M3898" s="9"/>
      <c r="N3898" s="9"/>
    </row>
    <row r="3899" spans="1:14">
      <c r="A3899" s="9"/>
      <c r="B3899" s="9"/>
      <c r="C3899" s="9"/>
      <c r="D3899" s="9"/>
      <c r="E3899" s="9"/>
      <c r="F3899" s="9"/>
      <c r="G3899" s="9"/>
      <c r="H3899" s="9"/>
      <c r="I3899" s="9"/>
      <c r="J3899" s="9"/>
      <c r="K3899" s="9"/>
      <c r="L3899" s="9"/>
      <c r="M3899" s="9"/>
      <c r="N3899" s="9"/>
    </row>
    <row r="3900" spans="1:14">
      <c r="A3900" s="9"/>
      <c r="B3900" s="9"/>
      <c r="C3900" s="9"/>
      <c r="D3900" s="9"/>
      <c r="E3900" s="9"/>
      <c r="F3900" s="9"/>
      <c r="G3900" s="9"/>
      <c r="H3900" s="9"/>
      <c r="I3900" s="9"/>
      <c r="J3900" s="9"/>
      <c r="K3900" s="9"/>
      <c r="L3900" s="9"/>
      <c r="M3900" s="9"/>
      <c r="N3900" s="9"/>
    </row>
    <row r="3901" spans="1:14">
      <c r="A3901" s="9"/>
      <c r="B3901" s="9"/>
      <c r="C3901" s="9"/>
      <c r="D3901" s="9"/>
      <c r="E3901" s="9"/>
      <c r="F3901" s="9"/>
      <c r="G3901" s="9"/>
      <c r="H3901" s="9"/>
      <c r="I3901" s="9"/>
      <c r="J3901" s="9"/>
      <c r="K3901" s="9"/>
      <c r="L3901" s="9"/>
      <c r="M3901" s="9"/>
      <c r="N3901" s="9"/>
    </row>
    <row r="3902" spans="1:14">
      <c r="A3902" s="9"/>
      <c r="B3902" s="9"/>
      <c r="C3902" s="9"/>
      <c r="D3902" s="9"/>
      <c r="E3902" s="9"/>
      <c r="F3902" s="9"/>
      <c r="G3902" s="9"/>
      <c r="H3902" s="9"/>
      <c r="I3902" s="9"/>
      <c r="J3902" s="9"/>
      <c r="K3902" s="9"/>
      <c r="L3902" s="9"/>
      <c r="M3902" s="9"/>
      <c r="N3902" s="9"/>
    </row>
    <row r="3903" spans="1:14">
      <c r="A3903" s="9"/>
      <c r="B3903" s="9"/>
      <c r="C3903" s="9"/>
      <c r="D3903" s="9"/>
      <c r="E3903" s="9"/>
      <c r="F3903" s="9"/>
      <c r="G3903" s="9"/>
      <c r="H3903" s="9"/>
      <c r="I3903" s="9"/>
      <c r="J3903" s="9"/>
      <c r="K3903" s="9"/>
      <c r="L3903" s="9"/>
      <c r="M3903" s="9"/>
      <c r="N3903" s="9"/>
    </row>
    <row r="3904" spans="1:14">
      <c r="A3904" s="9"/>
      <c r="B3904" s="9"/>
      <c r="C3904" s="9"/>
      <c r="D3904" s="9"/>
      <c r="E3904" s="9"/>
      <c r="F3904" s="9"/>
      <c r="G3904" s="9"/>
      <c r="H3904" s="9"/>
      <c r="I3904" s="9"/>
      <c r="J3904" s="9"/>
      <c r="K3904" s="9"/>
      <c r="L3904" s="9"/>
      <c r="M3904" s="9"/>
      <c r="N3904" s="9"/>
    </row>
    <row r="3905" spans="1:14">
      <c r="A3905" s="9"/>
      <c r="B3905" s="9"/>
      <c r="C3905" s="9"/>
      <c r="D3905" s="9"/>
      <c r="E3905" s="9"/>
      <c r="F3905" s="9"/>
      <c r="G3905" s="9"/>
      <c r="H3905" s="9"/>
      <c r="I3905" s="9"/>
      <c r="J3905" s="9"/>
      <c r="K3905" s="9"/>
      <c r="L3905" s="9"/>
      <c r="M3905" s="9"/>
      <c r="N3905" s="9"/>
    </row>
    <row r="3906" spans="1:14">
      <c r="A3906" s="9"/>
      <c r="B3906" s="9"/>
      <c r="C3906" s="9"/>
      <c r="D3906" s="9"/>
      <c r="E3906" s="9"/>
      <c r="F3906" s="9"/>
      <c r="G3906" s="9"/>
      <c r="H3906" s="9"/>
      <c r="I3906" s="9"/>
      <c r="J3906" s="9"/>
      <c r="K3906" s="9"/>
      <c r="L3906" s="9"/>
      <c r="M3906" s="9"/>
      <c r="N3906" s="9"/>
    </row>
    <row r="3907" spans="1:14">
      <c r="A3907" s="9"/>
      <c r="B3907" s="9"/>
      <c r="C3907" s="9"/>
      <c r="D3907" s="9"/>
      <c r="E3907" s="9"/>
      <c r="F3907" s="9"/>
      <c r="G3907" s="9"/>
      <c r="H3907" s="9"/>
      <c r="I3907" s="9"/>
      <c r="J3907" s="9"/>
      <c r="K3907" s="9"/>
      <c r="L3907" s="9"/>
      <c r="M3907" s="9"/>
      <c r="N3907" s="9"/>
    </row>
    <row r="3908" spans="1:14">
      <c r="A3908" s="9"/>
      <c r="B3908" s="9"/>
      <c r="C3908" s="9"/>
      <c r="D3908" s="9"/>
      <c r="E3908" s="9"/>
      <c r="F3908" s="9"/>
      <c r="G3908" s="9"/>
      <c r="H3908" s="9"/>
      <c r="I3908" s="9"/>
      <c r="J3908" s="9"/>
      <c r="K3908" s="9"/>
      <c r="L3908" s="9"/>
      <c r="M3908" s="9"/>
      <c r="N3908" s="9"/>
    </row>
    <row r="3909" spans="1:14">
      <c r="A3909" s="9"/>
      <c r="B3909" s="9"/>
      <c r="C3909" s="9"/>
      <c r="D3909" s="9"/>
      <c r="E3909" s="9"/>
      <c r="F3909" s="9"/>
      <c r="G3909" s="9"/>
      <c r="H3909" s="9"/>
      <c r="I3909" s="9"/>
      <c r="J3909" s="9"/>
      <c r="K3909" s="9"/>
      <c r="L3909" s="9"/>
      <c r="M3909" s="9"/>
      <c r="N3909" s="9"/>
    </row>
    <row r="3910" spans="1:14">
      <c r="A3910" s="9"/>
      <c r="B3910" s="9"/>
      <c r="C3910" s="9"/>
      <c r="D3910" s="9"/>
      <c r="E3910" s="9"/>
      <c r="F3910" s="9"/>
      <c r="G3910" s="9"/>
      <c r="H3910" s="9"/>
      <c r="I3910" s="9"/>
      <c r="J3910" s="9"/>
      <c r="K3910" s="9"/>
      <c r="L3910" s="9"/>
      <c r="M3910" s="9"/>
      <c r="N3910" s="9"/>
    </row>
    <row r="3911" spans="1:14">
      <c r="A3911" s="9"/>
      <c r="B3911" s="9"/>
      <c r="C3911" s="9"/>
      <c r="D3911" s="9"/>
      <c r="E3911" s="9"/>
      <c r="F3911" s="9"/>
      <c r="G3911" s="9"/>
      <c r="H3911" s="9"/>
      <c r="I3911" s="9"/>
      <c r="J3911" s="9"/>
      <c r="K3911" s="9"/>
      <c r="L3911" s="9"/>
      <c r="M3911" s="9"/>
      <c r="N3911" s="9"/>
    </row>
    <row r="3912" spans="1:14">
      <c r="A3912" s="9"/>
      <c r="B3912" s="9"/>
      <c r="C3912" s="9"/>
      <c r="D3912" s="9"/>
      <c r="E3912" s="9"/>
      <c r="F3912" s="9"/>
      <c r="G3912" s="9"/>
      <c r="H3912" s="9"/>
      <c r="I3912" s="9"/>
      <c r="J3912" s="9"/>
      <c r="K3912" s="9"/>
      <c r="L3912" s="9"/>
      <c r="M3912" s="9"/>
      <c r="N3912" s="9"/>
    </row>
    <row r="3913" spans="1:14">
      <c r="A3913" s="9"/>
      <c r="B3913" s="9"/>
      <c r="C3913" s="9"/>
      <c r="D3913" s="9"/>
      <c r="E3913" s="9"/>
      <c r="F3913" s="9"/>
      <c r="G3913" s="9"/>
      <c r="H3913" s="9"/>
      <c r="I3913" s="9"/>
      <c r="J3913" s="9"/>
      <c r="K3913" s="9"/>
      <c r="L3913" s="9"/>
      <c r="M3913" s="9"/>
      <c r="N3913" s="9"/>
    </row>
    <row r="3914" spans="1:14">
      <c r="A3914" s="9"/>
      <c r="B3914" s="9"/>
      <c r="C3914" s="9"/>
      <c r="D3914" s="9"/>
      <c r="E3914" s="9"/>
      <c r="F3914" s="9"/>
      <c r="G3914" s="9"/>
      <c r="H3914" s="9"/>
      <c r="I3914" s="9"/>
      <c r="J3914" s="9"/>
      <c r="K3914" s="9"/>
      <c r="L3914" s="9"/>
      <c r="M3914" s="9"/>
      <c r="N3914" s="9"/>
    </row>
    <row r="3915" spans="1:14">
      <c r="A3915" s="9"/>
      <c r="B3915" s="9"/>
      <c r="C3915" s="9"/>
      <c r="D3915" s="9"/>
      <c r="E3915" s="9"/>
      <c r="F3915" s="9"/>
      <c r="G3915" s="9"/>
      <c r="H3915" s="9"/>
      <c r="I3915" s="9"/>
      <c r="J3915" s="9"/>
      <c r="K3915" s="9"/>
      <c r="L3915" s="9"/>
      <c r="M3915" s="9"/>
      <c r="N3915" s="9"/>
    </row>
    <row r="3916" spans="1:14">
      <c r="A3916" s="9"/>
      <c r="B3916" s="9"/>
      <c r="C3916" s="9"/>
      <c r="D3916" s="9"/>
      <c r="E3916" s="9"/>
      <c r="F3916" s="9"/>
      <c r="G3916" s="9"/>
      <c r="H3916" s="9"/>
      <c r="I3916" s="9"/>
      <c r="J3916" s="9"/>
      <c r="K3916" s="9"/>
      <c r="L3916" s="9"/>
      <c r="M3916" s="9"/>
      <c r="N3916" s="9"/>
    </row>
    <row r="3917" spans="1:14">
      <c r="A3917" s="9"/>
      <c r="B3917" s="9"/>
      <c r="C3917" s="9"/>
      <c r="D3917" s="9"/>
      <c r="E3917" s="9"/>
      <c r="F3917" s="9"/>
      <c r="G3917" s="9"/>
      <c r="H3917" s="9"/>
      <c r="I3917" s="9"/>
      <c r="J3917" s="9"/>
      <c r="K3917" s="9"/>
      <c r="L3917" s="9"/>
      <c r="M3917" s="9"/>
      <c r="N3917" s="9"/>
    </row>
    <row r="3918" spans="1:14">
      <c r="A3918" s="9"/>
      <c r="B3918" s="9"/>
      <c r="C3918" s="9"/>
      <c r="D3918" s="9"/>
      <c r="E3918" s="9"/>
      <c r="F3918" s="9"/>
      <c r="G3918" s="9"/>
      <c r="H3918" s="9"/>
      <c r="I3918" s="9"/>
      <c r="J3918" s="9"/>
      <c r="K3918" s="9"/>
      <c r="L3918" s="9"/>
      <c r="M3918" s="9"/>
      <c r="N3918" s="9"/>
    </row>
    <row r="3919" spans="1:14">
      <c r="A3919" s="9"/>
      <c r="B3919" s="9"/>
      <c r="C3919" s="9"/>
      <c r="D3919" s="9"/>
      <c r="E3919" s="9"/>
      <c r="F3919" s="9"/>
      <c r="G3919" s="9"/>
      <c r="H3919" s="9"/>
      <c r="I3919" s="9"/>
      <c r="J3919" s="9"/>
      <c r="K3919" s="9"/>
      <c r="L3919" s="9"/>
      <c r="M3919" s="9"/>
      <c r="N3919" s="9"/>
    </row>
    <row r="3920" spans="1:14">
      <c r="A3920" s="9"/>
      <c r="B3920" s="9"/>
      <c r="C3920" s="9"/>
      <c r="D3920" s="9"/>
      <c r="E3920" s="9"/>
      <c r="F3920" s="9"/>
      <c r="G3920" s="9"/>
      <c r="H3920" s="9"/>
      <c r="I3920" s="9"/>
      <c r="J3920" s="9"/>
      <c r="K3920" s="9"/>
      <c r="L3920" s="9"/>
      <c r="M3920" s="9"/>
      <c r="N3920" s="9"/>
    </row>
    <row r="3921" spans="1:14">
      <c r="A3921" s="9"/>
      <c r="B3921" s="9"/>
      <c r="C3921" s="9"/>
      <c r="D3921" s="9"/>
      <c r="E3921" s="9"/>
      <c r="F3921" s="9"/>
      <c r="G3921" s="9"/>
      <c r="H3921" s="9"/>
      <c r="I3921" s="9"/>
      <c r="J3921" s="9"/>
      <c r="K3921" s="9"/>
      <c r="L3921" s="9"/>
      <c r="M3921" s="9"/>
      <c r="N3921" s="9"/>
    </row>
    <row r="3922" spans="1:14">
      <c r="A3922" s="9"/>
      <c r="B3922" s="9"/>
      <c r="C3922" s="9"/>
      <c r="D3922" s="9"/>
      <c r="E3922" s="9"/>
      <c r="F3922" s="9"/>
      <c r="G3922" s="9"/>
      <c r="H3922" s="9"/>
      <c r="I3922" s="9"/>
      <c r="J3922" s="9"/>
      <c r="K3922" s="9"/>
      <c r="L3922" s="9"/>
      <c r="M3922" s="9"/>
      <c r="N3922" s="9"/>
    </row>
    <row r="3923" spans="1:14">
      <c r="A3923" s="9"/>
      <c r="B3923" s="9"/>
      <c r="C3923" s="9"/>
      <c r="D3923" s="9"/>
      <c r="E3923" s="9"/>
      <c r="F3923" s="9"/>
      <c r="G3923" s="9"/>
      <c r="H3923" s="9"/>
      <c r="I3923" s="9"/>
      <c r="J3923" s="9"/>
      <c r="K3923" s="9"/>
      <c r="L3923" s="9"/>
      <c r="M3923" s="9"/>
      <c r="N3923" s="9"/>
    </row>
    <row r="3924" spans="1:14">
      <c r="A3924" s="9"/>
      <c r="B3924" s="9"/>
      <c r="C3924" s="9"/>
      <c r="D3924" s="9"/>
      <c r="E3924" s="9"/>
      <c r="F3924" s="9"/>
      <c r="G3924" s="9"/>
      <c r="H3924" s="9"/>
      <c r="I3924" s="9"/>
      <c r="J3924" s="9"/>
      <c r="K3924" s="9"/>
      <c r="L3924" s="9"/>
      <c r="M3924" s="9"/>
      <c r="N3924" s="9"/>
    </row>
    <row r="3925" spans="1:14">
      <c r="A3925" s="9"/>
      <c r="B3925" s="9"/>
      <c r="C3925" s="9"/>
      <c r="D3925" s="9"/>
      <c r="E3925" s="9"/>
      <c r="F3925" s="9"/>
      <c r="G3925" s="9"/>
      <c r="H3925" s="9"/>
      <c r="I3925" s="9"/>
      <c r="J3925" s="9"/>
      <c r="K3925" s="9"/>
      <c r="L3925" s="9"/>
      <c r="M3925" s="9"/>
      <c r="N3925" s="9"/>
    </row>
    <row r="3926" spans="1:14">
      <c r="A3926" s="9"/>
      <c r="B3926" s="9"/>
      <c r="C3926" s="9"/>
      <c r="D3926" s="9"/>
      <c r="E3926" s="9"/>
      <c r="F3926" s="9"/>
      <c r="G3926" s="9"/>
      <c r="H3926" s="9"/>
      <c r="I3926" s="9"/>
      <c r="J3926" s="9"/>
      <c r="K3926" s="9"/>
      <c r="L3926" s="9"/>
      <c r="M3926" s="9"/>
      <c r="N3926" s="9"/>
    </row>
    <row r="3927" spans="1:14">
      <c r="A3927" s="9"/>
      <c r="B3927" s="9"/>
      <c r="C3927" s="9"/>
      <c r="D3927" s="9"/>
      <c r="E3927" s="9"/>
      <c r="F3927" s="9"/>
      <c r="G3927" s="9"/>
      <c r="H3927" s="9"/>
      <c r="I3927" s="9"/>
      <c r="J3927" s="9"/>
      <c r="K3927" s="9"/>
      <c r="L3927" s="9"/>
      <c r="M3927" s="9"/>
      <c r="N3927" s="9"/>
    </row>
    <row r="3928" spans="1:14">
      <c r="A3928" s="9"/>
      <c r="B3928" s="9"/>
      <c r="C3928" s="9"/>
      <c r="D3928" s="9"/>
      <c r="E3928" s="9"/>
      <c r="F3928" s="9"/>
      <c r="G3928" s="9"/>
      <c r="H3928" s="9"/>
      <c r="I3928" s="9"/>
      <c r="J3928" s="9"/>
      <c r="K3928" s="9"/>
      <c r="L3928" s="9"/>
      <c r="M3928" s="9"/>
      <c r="N3928" s="9"/>
    </row>
    <row r="3929" spans="1:14">
      <c r="A3929" s="9"/>
      <c r="B3929" s="9"/>
      <c r="C3929" s="9"/>
      <c r="D3929" s="9"/>
      <c r="E3929" s="9"/>
      <c r="F3929" s="9"/>
      <c r="G3929" s="9"/>
      <c r="H3929" s="9"/>
      <c r="I3929" s="9"/>
      <c r="J3929" s="9"/>
      <c r="K3929" s="9"/>
      <c r="L3929" s="9"/>
      <c r="M3929" s="9"/>
      <c r="N3929" s="9"/>
    </row>
    <row r="3930" spans="1:14">
      <c r="A3930" s="9"/>
      <c r="B3930" s="9"/>
      <c r="C3930" s="9"/>
      <c r="D3930" s="9"/>
      <c r="E3930" s="9"/>
      <c r="F3930" s="9"/>
      <c r="G3930" s="9"/>
      <c r="H3930" s="9"/>
      <c r="I3930" s="9"/>
      <c r="J3930" s="9"/>
      <c r="K3930" s="9"/>
      <c r="L3930" s="9"/>
      <c r="M3930" s="9"/>
      <c r="N3930" s="9"/>
    </row>
    <row r="3931" spans="1:14">
      <c r="A3931" s="9"/>
      <c r="B3931" s="9"/>
      <c r="C3931" s="9"/>
      <c r="D3931" s="9"/>
      <c r="E3931" s="9"/>
      <c r="F3931" s="9"/>
      <c r="G3931" s="9"/>
      <c r="H3931" s="9"/>
      <c r="I3931" s="9"/>
      <c r="J3931" s="9"/>
      <c r="K3931" s="9"/>
      <c r="L3931" s="9"/>
      <c r="M3931" s="9"/>
      <c r="N3931" s="9"/>
    </row>
    <row r="3932" spans="1:14">
      <c r="A3932" s="9"/>
      <c r="B3932" s="9"/>
      <c r="C3932" s="9"/>
      <c r="D3932" s="9"/>
      <c r="E3932" s="9"/>
      <c r="F3932" s="9"/>
      <c r="G3932" s="9"/>
      <c r="H3932" s="9"/>
      <c r="I3932" s="9"/>
      <c r="J3932" s="9"/>
      <c r="K3932" s="9"/>
      <c r="L3932" s="9"/>
      <c r="M3932" s="9"/>
      <c r="N3932" s="9"/>
    </row>
    <row r="3933" spans="1:14">
      <c r="A3933" s="9"/>
      <c r="B3933" s="9"/>
      <c r="C3933" s="9"/>
      <c r="D3933" s="9"/>
      <c r="E3933" s="9"/>
      <c r="F3933" s="9"/>
      <c r="G3933" s="9"/>
      <c r="H3933" s="9"/>
      <c r="I3933" s="9"/>
      <c r="J3933" s="9"/>
      <c r="K3933" s="9"/>
      <c r="L3933" s="9"/>
      <c r="M3933" s="9"/>
      <c r="N3933" s="9"/>
    </row>
    <row r="3934" spans="1:14">
      <c r="A3934" s="9"/>
      <c r="B3934" s="9"/>
      <c r="C3934" s="9"/>
      <c r="D3934" s="9"/>
      <c r="E3934" s="9"/>
      <c r="F3934" s="9"/>
      <c r="G3934" s="9"/>
      <c r="H3934" s="9"/>
      <c r="I3934" s="9"/>
      <c r="J3934" s="9"/>
      <c r="K3934" s="9"/>
      <c r="L3934" s="9"/>
      <c r="M3934" s="9"/>
      <c r="N3934" s="9"/>
    </row>
    <row r="3935" spans="1:14">
      <c r="A3935" s="9"/>
      <c r="B3935" s="9"/>
      <c r="C3935" s="9"/>
      <c r="D3935" s="9"/>
      <c r="E3935" s="9"/>
      <c r="F3935" s="9"/>
      <c r="G3935" s="9"/>
      <c r="H3935" s="9"/>
      <c r="I3935" s="9"/>
      <c r="J3935" s="9"/>
      <c r="K3935" s="9"/>
      <c r="L3935" s="9"/>
      <c r="M3935" s="9"/>
      <c r="N3935" s="9"/>
    </row>
    <row r="3936" spans="1:14">
      <c r="A3936" s="9"/>
      <c r="B3936" s="9"/>
      <c r="C3936" s="9"/>
      <c r="D3936" s="9"/>
      <c r="E3936" s="9"/>
      <c r="F3936" s="9"/>
      <c r="G3936" s="9"/>
      <c r="H3936" s="9"/>
      <c r="I3936" s="9"/>
      <c r="J3936" s="9"/>
      <c r="K3936" s="9"/>
      <c r="L3936" s="9"/>
      <c r="M3936" s="9"/>
      <c r="N3936" s="9"/>
    </row>
    <row r="3937" spans="1:14">
      <c r="A3937" s="9"/>
      <c r="B3937" s="9"/>
      <c r="C3937" s="9"/>
      <c r="D3937" s="9"/>
      <c r="E3937" s="9"/>
      <c r="F3937" s="9"/>
      <c r="G3937" s="9"/>
      <c r="H3937" s="9"/>
      <c r="I3937" s="9"/>
      <c r="J3937" s="9"/>
      <c r="K3937" s="9"/>
      <c r="L3937" s="9"/>
      <c r="M3937" s="9"/>
      <c r="N3937" s="9"/>
    </row>
    <row r="3938" spans="1:14">
      <c r="A3938" s="9"/>
      <c r="B3938" s="9"/>
      <c r="C3938" s="9"/>
      <c r="D3938" s="9"/>
      <c r="E3938" s="9"/>
      <c r="F3938" s="9"/>
      <c r="G3938" s="9"/>
      <c r="H3938" s="9"/>
      <c r="I3938" s="9"/>
      <c r="J3938" s="9"/>
      <c r="K3938" s="9"/>
      <c r="L3938" s="9"/>
      <c r="M3938" s="9"/>
      <c r="N3938" s="9"/>
    </row>
    <row r="3939" spans="1:14">
      <c r="A3939" s="9"/>
      <c r="B3939" s="9"/>
      <c r="C3939" s="9"/>
      <c r="D3939" s="9"/>
      <c r="E3939" s="9"/>
      <c r="F3939" s="9"/>
      <c r="G3939" s="9"/>
      <c r="H3939" s="9"/>
      <c r="I3939" s="9"/>
      <c r="J3939" s="9"/>
      <c r="K3939" s="9"/>
      <c r="L3939" s="9"/>
      <c r="M3939" s="9"/>
      <c r="N3939" s="9"/>
    </row>
    <row r="3940" spans="1:14">
      <c r="A3940" s="9"/>
      <c r="B3940" s="9"/>
      <c r="C3940" s="9"/>
      <c r="D3940" s="9"/>
      <c r="E3940" s="9"/>
      <c r="F3940" s="9"/>
      <c r="G3940" s="9"/>
      <c r="H3940" s="9"/>
      <c r="I3940" s="9"/>
      <c r="J3940" s="9"/>
      <c r="K3940" s="9"/>
      <c r="L3940" s="9"/>
      <c r="M3940" s="9"/>
      <c r="N3940" s="9"/>
    </row>
    <row r="3941" spans="1:14">
      <c r="A3941" s="9"/>
      <c r="B3941" s="9"/>
      <c r="C3941" s="9"/>
      <c r="D3941" s="9"/>
      <c r="E3941" s="9"/>
      <c r="F3941" s="9"/>
      <c r="G3941" s="9"/>
      <c r="H3941" s="9"/>
      <c r="I3941" s="9"/>
      <c r="J3941" s="9"/>
      <c r="K3941" s="9"/>
      <c r="L3941" s="9"/>
      <c r="M3941" s="9"/>
      <c r="N3941" s="9"/>
    </row>
    <row r="3942" spans="1:14">
      <c r="A3942" s="9"/>
      <c r="B3942" s="9"/>
      <c r="C3942" s="9"/>
      <c r="D3942" s="9"/>
      <c r="E3942" s="9"/>
      <c r="F3942" s="9"/>
      <c r="G3942" s="9"/>
      <c r="H3942" s="9"/>
      <c r="I3942" s="9"/>
      <c r="J3942" s="9"/>
      <c r="K3942" s="9"/>
      <c r="L3942" s="9"/>
      <c r="M3942" s="9"/>
      <c r="N3942" s="9"/>
    </row>
    <row r="3943" spans="1:14">
      <c r="A3943" s="9"/>
      <c r="B3943" s="9"/>
      <c r="C3943" s="9"/>
      <c r="D3943" s="9"/>
      <c r="E3943" s="9"/>
      <c r="F3943" s="9"/>
      <c r="G3943" s="9"/>
      <c r="H3943" s="9"/>
      <c r="I3943" s="9"/>
      <c r="J3943" s="9"/>
      <c r="K3943" s="9"/>
      <c r="L3943" s="9"/>
      <c r="M3943" s="9"/>
      <c r="N3943" s="9"/>
    </row>
    <row r="3944" spans="1:14">
      <c r="A3944" s="9"/>
      <c r="B3944" s="9"/>
      <c r="C3944" s="9"/>
      <c r="D3944" s="9"/>
      <c r="E3944" s="9"/>
      <c r="F3944" s="9"/>
      <c r="G3944" s="9"/>
      <c r="H3944" s="9"/>
      <c r="I3944" s="9"/>
      <c r="J3944" s="9"/>
      <c r="K3944" s="9"/>
      <c r="L3944" s="9"/>
      <c r="M3944" s="9"/>
      <c r="N3944" s="9"/>
    </row>
    <row r="3945" spans="1:14">
      <c r="A3945" s="9"/>
      <c r="B3945" s="9"/>
      <c r="C3945" s="9"/>
      <c r="D3945" s="9"/>
      <c r="E3945" s="9"/>
      <c r="F3945" s="9"/>
      <c r="G3945" s="9"/>
      <c r="H3945" s="9"/>
      <c r="I3945" s="9"/>
      <c r="J3945" s="9"/>
      <c r="K3945" s="9"/>
      <c r="L3945" s="9"/>
      <c r="M3945" s="9"/>
      <c r="N3945" s="9"/>
    </row>
    <row r="3946" spans="1:14">
      <c r="A3946" s="9"/>
      <c r="B3946" s="9"/>
      <c r="C3946" s="9"/>
      <c r="D3946" s="9"/>
      <c r="E3946" s="9"/>
      <c r="F3946" s="9"/>
      <c r="G3946" s="9"/>
      <c r="H3946" s="9"/>
      <c r="I3946" s="9"/>
      <c r="J3946" s="9"/>
      <c r="K3946" s="9"/>
      <c r="L3946" s="9"/>
      <c r="M3946" s="9"/>
      <c r="N3946" s="9"/>
    </row>
    <row r="3947" spans="1:14">
      <c r="A3947" s="9"/>
      <c r="B3947" s="9"/>
      <c r="C3947" s="9"/>
      <c r="D3947" s="9"/>
      <c r="E3947" s="9"/>
      <c r="F3947" s="9"/>
      <c r="G3947" s="9"/>
      <c r="H3947" s="9"/>
      <c r="I3947" s="9"/>
      <c r="J3947" s="9"/>
      <c r="K3947" s="9"/>
      <c r="L3947" s="9"/>
      <c r="M3947" s="9"/>
      <c r="N3947" s="9"/>
    </row>
    <row r="3948" spans="1:14">
      <c r="A3948" s="9"/>
      <c r="B3948" s="9"/>
      <c r="C3948" s="9"/>
      <c r="D3948" s="9"/>
      <c r="E3948" s="9"/>
      <c r="F3948" s="9"/>
      <c r="G3948" s="9"/>
      <c r="H3948" s="9"/>
      <c r="I3948" s="9"/>
      <c r="J3948" s="9"/>
      <c r="K3948" s="9"/>
      <c r="L3948" s="9"/>
      <c r="M3948" s="9"/>
      <c r="N3948" s="9"/>
    </row>
    <row r="3949" spans="1:14">
      <c r="A3949" s="9"/>
      <c r="B3949" s="9"/>
      <c r="C3949" s="9"/>
      <c r="D3949" s="9"/>
      <c r="E3949" s="9"/>
      <c r="F3949" s="9"/>
      <c r="G3949" s="9"/>
      <c r="H3949" s="9"/>
      <c r="I3949" s="9"/>
      <c r="J3949" s="9"/>
      <c r="K3949" s="9"/>
      <c r="L3949" s="9"/>
      <c r="M3949" s="9"/>
      <c r="N3949" s="9"/>
    </row>
    <row r="3950" spans="1:14">
      <c r="A3950" s="9"/>
      <c r="B3950" s="9"/>
      <c r="C3950" s="9"/>
      <c r="D3950" s="9"/>
      <c r="E3950" s="9"/>
      <c r="F3950" s="9"/>
      <c r="G3950" s="9"/>
      <c r="H3950" s="9"/>
      <c r="I3950" s="9"/>
      <c r="J3950" s="9"/>
      <c r="K3950" s="9"/>
      <c r="L3950" s="9"/>
      <c r="M3950" s="9"/>
      <c r="N3950" s="9"/>
    </row>
    <row r="3951" spans="1:14">
      <c r="A3951" s="9"/>
      <c r="B3951" s="9"/>
      <c r="C3951" s="9"/>
      <c r="D3951" s="9"/>
      <c r="E3951" s="9"/>
      <c r="F3951" s="9"/>
      <c r="G3951" s="9"/>
      <c r="H3951" s="9"/>
      <c r="I3951" s="9"/>
      <c r="J3951" s="9"/>
      <c r="K3951" s="9"/>
      <c r="L3951" s="9"/>
      <c r="M3951" s="9"/>
      <c r="N3951" s="9"/>
    </row>
    <row r="3952" spans="1:14">
      <c r="A3952" s="9"/>
      <c r="B3952" s="9"/>
      <c r="C3952" s="9"/>
      <c r="D3952" s="9"/>
      <c r="E3952" s="9"/>
      <c r="F3952" s="9"/>
      <c r="G3952" s="9"/>
      <c r="H3952" s="9"/>
      <c r="I3952" s="9"/>
      <c r="J3952" s="9"/>
      <c r="K3952" s="9"/>
      <c r="L3952" s="9"/>
      <c r="M3952" s="9"/>
      <c r="N3952" s="9"/>
    </row>
    <row r="3953" spans="1:14">
      <c r="A3953" s="9"/>
      <c r="B3953" s="9"/>
      <c r="C3953" s="9"/>
      <c r="D3953" s="9"/>
      <c r="E3953" s="9"/>
      <c r="F3953" s="9"/>
      <c r="G3953" s="9"/>
      <c r="H3953" s="9"/>
      <c r="I3953" s="9"/>
      <c r="J3953" s="9"/>
      <c r="K3953" s="9"/>
      <c r="L3953" s="9"/>
      <c r="M3953" s="9"/>
      <c r="N3953" s="9"/>
    </row>
    <row r="3954" spans="1:14">
      <c r="A3954" s="9"/>
      <c r="B3954" s="9"/>
      <c r="C3954" s="9"/>
      <c r="D3954" s="9"/>
      <c r="E3954" s="9"/>
      <c r="F3954" s="9"/>
      <c r="G3954" s="9"/>
      <c r="H3954" s="9"/>
      <c r="I3954" s="9"/>
      <c r="J3954" s="9"/>
      <c r="K3954" s="9"/>
      <c r="L3954" s="9"/>
      <c r="M3954" s="9"/>
      <c r="N3954" s="9"/>
    </row>
    <row r="3955" spans="1:14">
      <c r="A3955" s="9"/>
      <c r="B3955" s="9"/>
      <c r="C3955" s="9"/>
      <c r="D3955" s="9"/>
      <c r="E3955" s="9"/>
      <c r="F3955" s="9"/>
      <c r="G3955" s="9"/>
      <c r="H3955" s="9"/>
      <c r="I3955" s="9"/>
      <c r="J3955" s="9"/>
      <c r="K3955" s="9"/>
      <c r="L3955" s="9"/>
      <c r="M3955" s="9"/>
      <c r="N3955" s="9"/>
    </row>
    <row r="3956" spans="1:14">
      <c r="A3956" s="9"/>
      <c r="B3956" s="9"/>
      <c r="C3956" s="9"/>
      <c r="D3956" s="9"/>
      <c r="E3956" s="9"/>
      <c r="F3956" s="9"/>
      <c r="G3956" s="9"/>
      <c r="H3956" s="9"/>
      <c r="I3956" s="9"/>
      <c r="J3956" s="9"/>
      <c r="K3956" s="9"/>
      <c r="L3956" s="9"/>
      <c r="M3956" s="9"/>
      <c r="N3956" s="9"/>
    </row>
    <row r="3957" spans="1:14">
      <c r="A3957" s="9"/>
      <c r="B3957" s="9"/>
      <c r="C3957" s="9"/>
      <c r="D3957" s="9"/>
      <c r="E3957" s="9"/>
      <c r="F3957" s="9"/>
      <c r="G3957" s="9"/>
      <c r="H3957" s="9"/>
      <c r="I3957" s="9"/>
      <c r="J3957" s="9"/>
      <c r="K3957" s="9"/>
      <c r="L3957" s="9"/>
      <c r="M3957" s="9"/>
      <c r="N3957" s="9"/>
    </row>
    <row r="3958" spans="1:14">
      <c r="A3958" s="9"/>
      <c r="B3958" s="9"/>
      <c r="C3958" s="9"/>
      <c r="D3958" s="9"/>
      <c r="E3958" s="9"/>
      <c r="F3958" s="9"/>
      <c r="G3958" s="9"/>
      <c r="H3958" s="9"/>
      <c r="I3958" s="9"/>
      <c r="J3958" s="9"/>
      <c r="K3958" s="9"/>
      <c r="L3958" s="9"/>
      <c r="M3958" s="9"/>
      <c r="N3958" s="9"/>
    </row>
    <row r="3959" spans="1:14">
      <c r="A3959" s="9"/>
      <c r="B3959" s="9"/>
      <c r="C3959" s="9"/>
      <c r="D3959" s="9"/>
      <c r="E3959" s="9"/>
      <c r="F3959" s="9"/>
      <c r="G3959" s="9"/>
      <c r="H3959" s="9"/>
      <c r="I3959" s="9"/>
      <c r="J3959" s="9"/>
      <c r="K3959" s="9"/>
      <c r="L3959" s="9"/>
      <c r="M3959" s="9"/>
      <c r="N3959" s="9"/>
    </row>
    <row r="3960" spans="1:14">
      <c r="A3960" s="9"/>
      <c r="B3960" s="9"/>
      <c r="C3960" s="9"/>
      <c r="D3960" s="9"/>
      <c r="E3960" s="9"/>
      <c r="F3960" s="9"/>
      <c r="G3960" s="9"/>
      <c r="H3960" s="9"/>
      <c r="I3960" s="9"/>
      <c r="J3960" s="9"/>
      <c r="K3960" s="9"/>
      <c r="L3960" s="9"/>
      <c r="M3960" s="9"/>
      <c r="N3960" s="9"/>
    </row>
    <row r="3961" spans="1:14">
      <c r="A3961" s="9"/>
      <c r="B3961" s="9"/>
      <c r="C3961" s="9"/>
      <c r="D3961" s="9"/>
      <c r="E3961" s="9"/>
      <c r="F3961" s="9"/>
      <c r="G3961" s="9"/>
      <c r="H3961" s="9"/>
      <c r="I3961" s="9"/>
      <c r="J3961" s="9"/>
      <c r="K3961" s="9"/>
      <c r="L3961" s="9"/>
      <c r="M3961" s="9"/>
      <c r="N3961" s="9"/>
    </row>
    <row r="3962" spans="1:14">
      <c r="A3962" s="9"/>
      <c r="B3962" s="9"/>
      <c r="C3962" s="9"/>
      <c r="D3962" s="9"/>
      <c r="E3962" s="9"/>
      <c r="F3962" s="9"/>
      <c r="G3962" s="9"/>
      <c r="H3962" s="9"/>
      <c r="I3962" s="9"/>
      <c r="J3962" s="9"/>
      <c r="K3962" s="9"/>
      <c r="L3962" s="9"/>
      <c r="M3962" s="9"/>
      <c r="N3962" s="9"/>
    </row>
    <row r="3963" spans="1:14">
      <c r="A3963" s="9"/>
      <c r="B3963" s="9"/>
      <c r="C3963" s="9"/>
      <c r="D3963" s="9"/>
      <c r="E3963" s="9"/>
      <c r="F3963" s="9"/>
      <c r="G3963" s="9"/>
      <c r="H3963" s="9"/>
      <c r="I3963" s="9"/>
      <c r="J3963" s="9"/>
      <c r="K3963" s="9"/>
      <c r="L3963" s="9"/>
      <c r="M3963" s="9"/>
      <c r="N3963" s="9"/>
    </row>
    <row r="3964" spans="1:14">
      <c r="A3964" s="9"/>
      <c r="B3964" s="9"/>
      <c r="C3964" s="9"/>
      <c r="D3964" s="9"/>
      <c r="E3964" s="9"/>
      <c r="F3964" s="9"/>
      <c r="G3964" s="9"/>
      <c r="H3964" s="9"/>
      <c r="I3964" s="9"/>
      <c r="J3964" s="9"/>
      <c r="K3964" s="9"/>
      <c r="L3964" s="9"/>
      <c r="M3964" s="9"/>
      <c r="N3964" s="9"/>
    </row>
    <row r="3965" spans="1:14">
      <c r="A3965" s="9"/>
      <c r="B3965" s="9"/>
      <c r="C3965" s="9"/>
      <c r="D3965" s="9"/>
      <c r="E3965" s="9"/>
      <c r="F3965" s="9"/>
      <c r="G3965" s="9"/>
      <c r="H3965" s="9"/>
      <c r="I3965" s="9"/>
      <c r="J3965" s="9"/>
      <c r="K3965" s="9"/>
      <c r="L3965" s="9"/>
      <c r="M3965" s="9"/>
      <c r="N3965" s="9"/>
    </row>
    <row r="3966" spans="1:14">
      <c r="A3966" s="9"/>
      <c r="B3966" s="9"/>
      <c r="C3966" s="9"/>
      <c r="D3966" s="9"/>
      <c r="E3966" s="9"/>
      <c r="F3966" s="9"/>
      <c r="G3966" s="9"/>
      <c r="H3966" s="9"/>
      <c r="I3966" s="9"/>
      <c r="J3966" s="9"/>
      <c r="K3966" s="9"/>
      <c r="L3966" s="9"/>
      <c r="M3966" s="9"/>
      <c r="N3966" s="9"/>
    </row>
    <row r="3967" spans="1:14">
      <c r="A3967" s="9"/>
      <c r="B3967" s="9"/>
      <c r="C3967" s="9"/>
      <c r="D3967" s="9"/>
      <c r="E3967" s="9"/>
      <c r="F3967" s="9"/>
      <c r="G3967" s="9"/>
      <c r="H3967" s="9"/>
      <c r="I3967" s="9"/>
      <c r="J3967" s="9"/>
      <c r="K3967" s="9"/>
      <c r="L3967" s="9"/>
      <c r="M3967" s="9"/>
      <c r="N3967" s="9"/>
    </row>
    <row r="3968" spans="1:14">
      <c r="A3968" s="9"/>
      <c r="B3968" s="9"/>
      <c r="C3968" s="9"/>
      <c r="D3968" s="9"/>
      <c r="E3968" s="9"/>
      <c r="F3968" s="9"/>
      <c r="G3968" s="9"/>
      <c r="H3968" s="9"/>
      <c r="I3968" s="9"/>
      <c r="J3968" s="9"/>
      <c r="K3968" s="9"/>
      <c r="L3968" s="9"/>
      <c r="M3968" s="9"/>
      <c r="N3968" s="9"/>
    </row>
    <row r="3969" spans="1:14">
      <c r="A3969" s="9"/>
      <c r="B3969" s="9"/>
      <c r="C3969" s="9"/>
      <c r="D3969" s="9"/>
      <c r="E3969" s="9"/>
      <c r="F3969" s="9"/>
      <c r="G3969" s="9"/>
      <c r="H3969" s="9"/>
      <c r="I3969" s="9"/>
      <c r="J3969" s="9"/>
      <c r="K3969" s="9"/>
      <c r="L3969" s="9"/>
      <c r="M3969" s="9"/>
      <c r="N3969" s="9"/>
    </row>
    <row r="3970" spans="1:14">
      <c r="A3970" s="9"/>
      <c r="B3970" s="9"/>
      <c r="C3970" s="9"/>
      <c r="D3970" s="9"/>
      <c r="E3970" s="9"/>
      <c r="F3970" s="9"/>
      <c r="G3970" s="9"/>
      <c r="H3970" s="9"/>
      <c r="I3970" s="9"/>
      <c r="J3970" s="9"/>
      <c r="K3970" s="9"/>
      <c r="L3970" s="9"/>
      <c r="M3970" s="9"/>
      <c r="N3970" s="9"/>
    </row>
    <row r="3971" spans="1:14">
      <c r="A3971" s="9"/>
      <c r="B3971" s="9"/>
      <c r="C3971" s="9"/>
      <c r="D3971" s="9"/>
      <c r="E3971" s="9"/>
      <c r="F3971" s="9"/>
      <c r="G3971" s="9"/>
      <c r="H3971" s="9"/>
      <c r="I3971" s="9"/>
      <c r="J3971" s="9"/>
      <c r="K3971" s="9"/>
      <c r="L3971" s="9"/>
      <c r="M3971" s="9"/>
      <c r="N3971" s="9"/>
    </row>
    <row r="3972" spans="1:14">
      <c r="A3972" s="9"/>
      <c r="B3972" s="9"/>
      <c r="C3972" s="9"/>
      <c r="D3972" s="9"/>
      <c r="E3972" s="9"/>
      <c r="F3972" s="9"/>
      <c r="G3972" s="9"/>
      <c r="H3972" s="9"/>
      <c r="I3972" s="9"/>
      <c r="J3972" s="9"/>
      <c r="K3972" s="9"/>
      <c r="L3972" s="9"/>
      <c r="M3972" s="9"/>
      <c r="N3972" s="9"/>
    </row>
    <row r="3973" spans="1:14">
      <c r="A3973" s="9"/>
      <c r="B3973" s="9"/>
      <c r="C3973" s="9"/>
      <c r="D3973" s="9"/>
      <c r="E3973" s="9"/>
      <c r="F3973" s="9"/>
      <c r="G3973" s="9"/>
      <c r="H3973" s="9"/>
      <c r="I3973" s="9"/>
      <c r="J3973" s="9"/>
      <c r="K3973" s="9"/>
      <c r="L3973" s="9"/>
      <c r="M3973" s="9"/>
      <c r="N3973" s="9"/>
    </row>
    <row r="3974" spans="1:14">
      <c r="A3974" s="9"/>
      <c r="B3974" s="9"/>
      <c r="C3974" s="9"/>
      <c r="D3974" s="9"/>
      <c r="E3974" s="9"/>
      <c r="F3974" s="9"/>
      <c r="G3974" s="9"/>
      <c r="H3974" s="9"/>
      <c r="I3974" s="9"/>
      <c r="J3974" s="9"/>
      <c r="K3974" s="9"/>
      <c r="L3974" s="9"/>
      <c r="M3974" s="9"/>
      <c r="N3974" s="9"/>
    </row>
    <row r="3975" spans="1:14">
      <c r="A3975" s="9"/>
      <c r="B3975" s="9"/>
      <c r="C3975" s="9"/>
      <c r="D3975" s="9"/>
      <c r="E3975" s="9"/>
      <c r="F3975" s="9"/>
      <c r="G3975" s="9"/>
      <c r="H3975" s="9"/>
      <c r="I3975" s="9"/>
      <c r="J3975" s="9"/>
      <c r="K3975" s="9"/>
      <c r="L3975" s="9"/>
      <c r="M3975" s="9"/>
      <c r="N3975" s="9"/>
    </row>
    <row r="3976" spans="1:14">
      <c r="A3976" s="9"/>
      <c r="B3976" s="9"/>
      <c r="C3976" s="9"/>
      <c r="D3976" s="9"/>
      <c r="E3976" s="9"/>
      <c r="F3976" s="9"/>
      <c r="G3976" s="9"/>
      <c r="H3976" s="9"/>
      <c r="I3976" s="9"/>
      <c r="J3976" s="9"/>
      <c r="K3976" s="9"/>
      <c r="L3976" s="9"/>
      <c r="M3976" s="9"/>
      <c r="N3976" s="9"/>
    </row>
    <row r="3977" spans="1:14">
      <c r="A3977" s="9"/>
      <c r="B3977" s="9"/>
      <c r="C3977" s="9"/>
      <c r="D3977" s="9"/>
      <c r="E3977" s="9"/>
      <c r="F3977" s="9"/>
      <c r="G3977" s="9"/>
      <c r="H3977" s="9"/>
      <c r="I3977" s="9"/>
      <c r="J3977" s="9"/>
      <c r="K3977" s="9"/>
      <c r="L3977" s="9"/>
      <c r="M3977" s="9"/>
      <c r="N3977" s="9"/>
    </row>
    <row r="3978" spans="1:14">
      <c r="A3978" s="9"/>
      <c r="B3978" s="9"/>
      <c r="C3978" s="9"/>
      <c r="D3978" s="9"/>
      <c r="E3978" s="9"/>
      <c r="F3978" s="9"/>
      <c r="G3978" s="9"/>
      <c r="H3978" s="9"/>
      <c r="I3978" s="9"/>
      <c r="J3978" s="9"/>
      <c r="K3978" s="9"/>
      <c r="L3978" s="9"/>
      <c r="M3978" s="9"/>
      <c r="N3978" s="9"/>
    </row>
    <row r="3979" spans="1:14">
      <c r="A3979" s="9"/>
      <c r="B3979" s="9"/>
      <c r="C3979" s="9"/>
      <c r="D3979" s="9"/>
      <c r="E3979" s="9"/>
      <c r="F3979" s="9"/>
      <c r="G3979" s="9"/>
      <c r="H3979" s="9"/>
      <c r="I3979" s="9"/>
      <c r="J3979" s="9"/>
      <c r="K3979" s="9"/>
      <c r="L3979" s="9"/>
      <c r="M3979" s="9"/>
      <c r="N3979" s="9"/>
    </row>
    <row r="3980" spans="1:14">
      <c r="A3980" s="9"/>
      <c r="B3980" s="9"/>
      <c r="C3980" s="9"/>
      <c r="D3980" s="9"/>
      <c r="E3980" s="9"/>
      <c r="F3980" s="9"/>
      <c r="G3980" s="9"/>
      <c r="H3980" s="9"/>
      <c r="I3980" s="9"/>
      <c r="J3980" s="9"/>
      <c r="K3980" s="9"/>
      <c r="L3980" s="9"/>
      <c r="M3980" s="9"/>
      <c r="N3980" s="9"/>
    </row>
    <row r="3981" spans="1:14">
      <c r="A3981" s="9"/>
      <c r="B3981" s="9"/>
      <c r="C3981" s="9"/>
      <c r="D3981" s="9"/>
      <c r="E3981" s="9"/>
      <c r="F3981" s="9"/>
      <c r="G3981" s="9"/>
      <c r="H3981" s="9"/>
      <c r="I3981" s="9"/>
      <c r="J3981" s="9"/>
      <c r="K3981" s="9"/>
      <c r="L3981" s="9"/>
      <c r="M3981" s="9"/>
      <c r="N3981" s="9"/>
    </row>
    <row r="3982" spans="1:14">
      <c r="A3982" s="9"/>
      <c r="B3982" s="9"/>
      <c r="C3982" s="9"/>
      <c r="D3982" s="9"/>
      <c r="E3982" s="9"/>
      <c r="F3982" s="9"/>
      <c r="G3982" s="9"/>
      <c r="H3982" s="9"/>
      <c r="I3982" s="9"/>
      <c r="J3982" s="9"/>
      <c r="K3982" s="9"/>
      <c r="L3982" s="9"/>
      <c r="M3982" s="9"/>
      <c r="N3982" s="9"/>
    </row>
    <row r="3983" spans="1:14">
      <c r="A3983" s="9"/>
      <c r="B3983" s="9"/>
      <c r="C3983" s="9"/>
      <c r="D3983" s="9"/>
      <c r="E3983" s="9"/>
      <c r="F3983" s="9"/>
      <c r="G3983" s="9"/>
      <c r="H3983" s="9"/>
      <c r="I3983" s="9"/>
      <c r="J3983" s="9"/>
      <c r="K3983" s="9"/>
      <c r="L3983" s="9"/>
      <c r="M3983" s="9"/>
      <c r="N3983" s="9"/>
    </row>
    <row r="3984" spans="1:14">
      <c r="A3984" s="9"/>
      <c r="B3984" s="9"/>
      <c r="C3984" s="9"/>
      <c r="D3984" s="9"/>
      <c r="E3984" s="9"/>
      <c r="F3984" s="9"/>
      <c r="G3984" s="9"/>
      <c r="H3984" s="9"/>
      <c r="I3984" s="9"/>
      <c r="J3984" s="9"/>
      <c r="K3984" s="9"/>
      <c r="L3984" s="9"/>
      <c r="M3984" s="9"/>
      <c r="N3984" s="9"/>
    </row>
    <row r="3985" spans="1:14">
      <c r="A3985" s="9"/>
      <c r="B3985" s="9"/>
      <c r="C3985" s="9"/>
      <c r="D3985" s="9"/>
      <c r="E3985" s="9"/>
      <c r="F3985" s="9"/>
      <c r="G3985" s="9"/>
      <c r="H3985" s="9"/>
      <c r="I3985" s="9"/>
      <c r="J3985" s="9"/>
      <c r="K3985" s="9"/>
      <c r="L3985" s="9"/>
      <c r="M3985" s="9"/>
      <c r="N3985" s="9"/>
    </row>
    <row r="3986" spans="1:14">
      <c r="A3986" s="9"/>
      <c r="B3986" s="9"/>
      <c r="C3986" s="9"/>
      <c r="D3986" s="9"/>
      <c r="E3986" s="9"/>
      <c r="F3986" s="9"/>
      <c r="G3986" s="9"/>
      <c r="H3986" s="9"/>
      <c r="I3986" s="9"/>
      <c r="J3986" s="9"/>
      <c r="K3986" s="9"/>
      <c r="L3986" s="9"/>
      <c r="M3986" s="9"/>
      <c r="N3986" s="9"/>
    </row>
    <row r="3987" spans="1:14">
      <c r="A3987" s="9"/>
      <c r="B3987" s="9"/>
      <c r="C3987" s="9"/>
      <c r="D3987" s="9"/>
      <c r="E3987" s="9"/>
      <c r="F3987" s="9"/>
      <c r="G3987" s="9"/>
      <c r="H3987" s="9"/>
      <c r="I3987" s="9"/>
      <c r="J3987" s="9"/>
      <c r="K3987" s="9"/>
      <c r="L3987" s="9"/>
      <c r="M3987" s="9"/>
      <c r="N3987" s="9"/>
    </row>
    <row r="3988" spans="1:14">
      <c r="A3988" s="9"/>
      <c r="B3988" s="9"/>
      <c r="C3988" s="9"/>
      <c r="D3988" s="9"/>
      <c r="E3988" s="9"/>
      <c r="F3988" s="9"/>
      <c r="G3988" s="9"/>
      <c r="H3988" s="9"/>
      <c r="I3988" s="9"/>
      <c r="J3988" s="9"/>
      <c r="K3988" s="9"/>
      <c r="L3988" s="9"/>
      <c r="M3988" s="9"/>
      <c r="N3988" s="9"/>
    </row>
    <row r="3989" spans="1:14">
      <c r="A3989" s="9"/>
      <c r="B3989" s="9"/>
      <c r="C3989" s="9"/>
      <c r="D3989" s="9"/>
      <c r="E3989" s="9"/>
      <c r="F3989" s="9"/>
      <c r="G3989" s="9"/>
      <c r="H3989" s="9"/>
      <c r="I3989" s="9"/>
      <c r="J3989" s="9"/>
      <c r="K3989" s="9"/>
      <c r="L3989" s="9"/>
      <c r="M3989" s="9"/>
      <c r="N3989" s="9"/>
    </row>
    <row r="3990" spans="1:14">
      <c r="A3990" s="9"/>
      <c r="B3990" s="9"/>
      <c r="C3990" s="9"/>
      <c r="D3990" s="9"/>
      <c r="E3990" s="9"/>
      <c r="F3990" s="9"/>
      <c r="G3990" s="9"/>
      <c r="H3990" s="9"/>
      <c r="I3990" s="9"/>
      <c r="J3990" s="9"/>
      <c r="K3990" s="9"/>
      <c r="L3990" s="9"/>
      <c r="M3990" s="9"/>
      <c r="N3990" s="9"/>
    </row>
    <row r="3991" spans="1:14">
      <c r="A3991" s="9"/>
      <c r="B3991" s="9"/>
      <c r="C3991" s="9"/>
      <c r="D3991" s="9"/>
      <c r="E3991" s="9"/>
      <c r="F3991" s="9"/>
      <c r="G3991" s="9"/>
      <c r="H3991" s="9"/>
      <c r="I3991" s="9"/>
      <c r="J3991" s="9"/>
      <c r="K3991" s="9"/>
      <c r="L3991" s="9"/>
      <c r="M3991" s="9"/>
      <c r="N3991" s="9"/>
    </row>
    <row r="3992" spans="1:14">
      <c r="A3992" s="9"/>
      <c r="B3992" s="9"/>
      <c r="C3992" s="9"/>
      <c r="D3992" s="9"/>
      <c r="E3992" s="9"/>
      <c r="F3992" s="9"/>
      <c r="G3992" s="9"/>
      <c r="H3992" s="9"/>
      <c r="I3992" s="9"/>
      <c r="J3992" s="9"/>
      <c r="K3992" s="9"/>
      <c r="L3992" s="9"/>
      <c r="M3992" s="9"/>
      <c r="N3992" s="9"/>
    </row>
    <row r="3993" spans="1:14">
      <c r="A3993" s="9"/>
      <c r="B3993" s="9"/>
      <c r="C3993" s="9"/>
      <c r="D3993" s="9"/>
      <c r="E3993" s="9"/>
      <c r="F3993" s="9"/>
      <c r="G3993" s="9"/>
      <c r="H3993" s="9"/>
      <c r="I3993" s="9"/>
      <c r="J3993" s="9"/>
      <c r="K3993" s="9"/>
      <c r="L3993" s="9"/>
      <c r="M3993" s="9"/>
      <c r="N3993" s="9"/>
    </row>
    <row r="3994" spans="1:14">
      <c r="A3994" s="9"/>
      <c r="B3994" s="9"/>
      <c r="C3994" s="9"/>
      <c r="D3994" s="9"/>
      <c r="E3994" s="9"/>
      <c r="F3994" s="9"/>
      <c r="G3994" s="9"/>
      <c r="H3994" s="9"/>
      <c r="I3994" s="9"/>
      <c r="J3994" s="9"/>
      <c r="K3994" s="9"/>
      <c r="L3994" s="9"/>
      <c r="M3994" s="9"/>
      <c r="N3994" s="9"/>
    </row>
    <row r="3995" spans="1:14">
      <c r="A3995" s="9"/>
      <c r="B3995" s="9"/>
      <c r="C3995" s="9"/>
      <c r="D3995" s="9"/>
      <c r="E3995" s="9"/>
      <c r="F3995" s="9"/>
      <c r="G3995" s="9"/>
      <c r="H3995" s="9"/>
      <c r="I3995" s="9"/>
      <c r="J3995" s="9"/>
      <c r="K3995" s="9"/>
      <c r="L3995" s="9"/>
      <c r="M3995" s="9"/>
      <c r="N3995" s="9"/>
    </row>
    <row r="3996" spans="1:14">
      <c r="A3996" s="9"/>
      <c r="B3996" s="9"/>
      <c r="C3996" s="9"/>
      <c r="D3996" s="9"/>
      <c r="E3996" s="9"/>
      <c r="F3996" s="9"/>
      <c r="G3996" s="9"/>
      <c r="H3996" s="9"/>
      <c r="I3996" s="9"/>
      <c r="J3996" s="9"/>
      <c r="K3996" s="9"/>
      <c r="L3996" s="9"/>
      <c r="M3996" s="9"/>
      <c r="N3996" s="9"/>
    </row>
    <row r="3997" spans="1:14">
      <c r="A3997" s="9"/>
      <c r="B3997" s="9"/>
      <c r="C3997" s="9"/>
      <c r="D3997" s="9"/>
      <c r="E3997" s="9"/>
      <c r="F3997" s="9"/>
      <c r="G3997" s="9"/>
      <c r="H3997" s="9"/>
      <c r="I3997" s="9"/>
      <c r="J3997" s="9"/>
      <c r="K3997" s="9"/>
      <c r="L3997" s="9"/>
      <c r="M3997" s="9"/>
      <c r="N3997" s="9"/>
    </row>
    <row r="3998" spans="1:14">
      <c r="A3998" s="9"/>
      <c r="B3998" s="9"/>
      <c r="C3998" s="9"/>
      <c r="D3998" s="9"/>
      <c r="E3998" s="9"/>
      <c r="F3998" s="9"/>
      <c r="G3998" s="9"/>
      <c r="H3998" s="9"/>
      <c r="I3998" s="9"/>
      <c r="J3998" s="9"/>
      <c r="K3998" s="9"/>
      <c r="L3998" s="9"/>
      <c r="M3998" s="9"/>
      <c r="N3998" s="9"/>
    </row>
    <row r="3999" spans="1:14">
      <c r="A3999" s="9"/>
      <c r="B3999" s="9"/>
      <c r="C3999" s="9"/>
      <c r="D3999" s="9"/>
      <c r="E3999" s="9"/>
      <c r="F3999" s="9"/>
      <c r="G3999" s="9"/>
      <c r="H3999" s="9"/>
      <c r="I3999" s="9"/>
      <c r="J3999" s="9"/>
      <c r="K3999" s="9"/>
      <c r="L3999" s="9"/>
      <c r="M3999" s="9"/>
      <c r="N3999" s="9"/>
    </row>
    <row r="4000" spans="1:14">
      <c r="A4000" s="9"/>
      <c r="B4000" s="9"/>
      <c r="C4000" s="9"/>
      <c r="D4000" s="9"/>
      <c r="E4000" s="9"/>
      <c r="F4000" s="9"/>
      <c r="G4000" s="9"/>
      <c r="H4000" s="9"/>
      <c r="I4000" s="9"/>
      <c r="J4000" s="9"/>
      <c r="K4000" s="9"/>
      <c r="L4000" s="9"/>
      <c r="M4000" s="9"/>
      <c r="N4000" s="9"/>
    </row>
    <row r="4001" spans="1:14">
      <c r="A4001" s="9"/>
      <c r="B4001" s="9"/>
      <c r="C4001" s="9"/>
      <c r="D4001" s="9"/>
      <c r="E4001" s="9"/>
      <c r="F4001" s="9"/>
      <c r="G4001" s="9"/>
      <c r="H4001" s="9"/>
      <c r="I4001" s="9"/>
      <c r="J4001" s="9"/>
      <c r="K4001" s="9"/>
      <c r="L4001" s="9"/>
      <c r="M4001" s="9"/>
      <c r="N4001" s="9"/>
    </row>
    <row r="4002" spans="1:14">
      <c r="A4002" s="9"/>
      <c r="B4002" s="9"/>
      <c r="C4002" s="9"/>
      <c r="D4002" s="9"/>
      <c r="E4002" s="9"/>
      <c r="F4002" s="9"/>
      <c r="G4002" s="9"/>
      <c r="H4002" s="9"/>
      <c r="I4002" s="9"/>
      <c r="J4002" s="9"/>
      <c r="K4002" s="9"/>
      <c r="L4002" s="9"/>
      <c r="M4002" s="9"/>
      <c r="N4002" s="9"/>
    </row>
    <row r="4003" spans="1:14">
      <c r="A4003" s="9"/>
      <c r="B4003" s="9"/>
      <c r="C4003" s="9"/>
      <c r="D4003" s="9"/>
      <c r="E4003" s="9"/>
      <c r="F4003" s="9"/>
      <c r="G4003" s="9"/>
      <c r="H4003" s="9"/>
      <c r="I4003" s="9"/>
      <c r="J4003" s="9"/>
      <c r="K4003" s="9"/>
      <c r="L4003" s="9"/>
      <c r="M4003" s="9"/>
      <c r="N4003" s="9"/>
    </row>
    <row r="4004" spans="1:14">
      <c r="A4004" s="9"/>
      <c r="B4004" s="9"/>
      <c r="C4004" s="9"/>
      <c r="D4004" s="9"/>
      <c r="E4004" s="9"/>
      <c r="F4004" s="9"/>
      <c r="G4004" s="9"/>
      <c r="H4004" s="9"/>
      <c r="I4004" s="9"/>
      <c r="J4004" s="9"/>
      <c r="K4004" s="9"/>
      <c r="L4004" s="9"/>
      <c r="M4004" s="9"/>
      <c r="N4004" s="9"/>
    </row>
    <row r="4005" spans="1:14">
      <c r="A4005" s="9"/>
      <c r="B4005" s="9"/>
      <c r="C4005" s="9"/>
      <c r="D4005" s="9"/>
      <c r="E4005" s="9"/>
      <c r="F4005" s="9"/>
      <c r="G4005" s="9"/>
      <c r="H4005" s="9"/>
      <c r="I4005" s="9"/>
      <c r="J4005" s="9"/>
      <c r="K4005" s="9"/>
      <c r="L4005" s="9"/>
      <c r="M4005" s="9"/>
      <c r="N4005" s="9"/>
    </row>
    <row r="4006" spans="1:14">
      <c r="A4006" s="9"/>
      <c r="B4006" s="9"/>
      <c r="C4006" s="9"/>
      <c r="D4006" s="9"/>
      <c r="E4006" s="9"/>
      <c r="F4006" s="9"/>
      <c r="G4006" s="9"/>
      <c r="H4006" s="9"/>
      <c r="I4006" s="9"/>
      <c r="J4006" s="9"/>
      <c r="K4006" s="9"/>
      <c r="L4006" s="9"/>
      <c r="M4006" s="9"/>
      <c r="N4006" s="9"/>
    </row>
    <row r="4007" spans="1:14">
      <c r="A4007" s="9"/>
      <c r="B4007" s="9"/>
      <c r="C4007" s="9"/>
      <c r="D4007" s="9"/>
      <c r="E4007" s="9"/>
      <c r="F4007" s="9"/>
      <c r="G4007" s="9"/>
      <c r="H4007" s="9"/>
      <c r="I4007" s="9"/>
      <c r="J4007" s="9"/>
      <c r="K4007" s="9"/>
      <c r="L4007" s="9"/>
      <c r="M4007" s="9"/>
      <c r="N4007" s="9"/>
    </row>
    <row r="4008" spans="1:14">
      <c r="A4008" s="9"/>
      <c r="B4008" s="9"/>
      <c r="C4008" s="9"/>
      <c r="D4008" s="9"/>
      <c r="E4008" s="9"/>
      <c r="F4008" s="9"/>
      <c r="G4008" s="9"/>
      <c r="H4008" s="9"/>
      <c r="I4008" s="9"/>
      <c r="J4008" s="9"/>
      <c r="K4008" s="9"/>
      <c r="L4008" s="9"/>
      <c r="M4008" s="9"/>
      <c r="N4008" s="9"/>
    </row>
    <row r="4009" spans="1:14">
      <c r="A4009" s="9"/>
      <c r="B4009" s="9"/>
      <c r="C4009" s="9"/>
      <c r="D4009" s="9"/>
      <c r="E4009" s="9"/>
      <c r="F4009" s="9"/>
      <c r="G4009" s="9"/>
      <c r="H4009" s="9"/>
      <c r="I4009" s="9"/>
      <c r="J4009" s="9"/>
      <c r="K4009" s="9"/>
      <c r="L4009" s="9"/>
      <c r="M4009" s="9"/>
      <c r="N4009" s="9"/>
    </row>
    <row r="4010" spans="1:14">
      <c r="A4010" s="9"/>
      <c r="B4010" s="9"/>
      <c r="C4010" s="9"/>
      <c r="D4010" s="9"/>
      <c r="E4010" s="9"/>
      <c r="F4010" s="9"/>
      <c r="G4010" s="9"/>
      <c r="H4010" s="9"/>
      <c r="I4010" s="9"/>
      <c r="J4010" s="9"/>
      <c r="K4010" s="9"/>
      <c r="L4010" s="9"/>
      <c r="M4010" s="9"/>
      <c r="N4010" s="9"/>
    </row>
    <row r="4011" spans="1:14">
      <c r="A4011" s="9"/>
      <c r="B4011" s="9"/>
      <c r="C4011" s="9"/>
      <c r="D4011" s="9"/>
      <c r="E4011" s="9"/>
      <c r="F4011" s="9"/>
      <c r="G4011" s="9"/>
      <c r="H4011" s="9"/>
      <c r="I4011" s="9"/>
      <c r="J4011" s="9"/>
      <c r="K4011" s="9"/>
      <c r="L4011" s="9"/>
      <c r="M4011" s="9"/>
      <c r="N4011" s="9"/>
    </row>
    <row r="4012" spans="1:14">
      <c r="A4012" s="9"/>
      <c r="B4012" s="9"/>
      <c r="C4012" s="9"/>
      <c r="D4012" s="9"/>
      <c r="E4012" s="9"/>
      <c r="F4012" s="9"/>
      <c r="G4012" s="9"/>
      <c r="H4012" s="9"/>
      <c r="I4012" s="9"/>
      <c r="J4012" s="9"/>
      <c r="K4012" s="9"/>
      <c r="L4012" s="9"/>
      <c r="M4012" s="9"/>
      <c r="N4012" s="9"/>
    </row>
    <row r="4013" spans="1:14">
      <c r="A4013" s="9"/>
      <c r="B4013" s="9"/>
      <c r="C4013" s="9"/>
      <c r="D4013" s="9"/>
      <c r="E4013" s="9"/>
      <c r="F4013" s="9"/>
      <c r="G4013" s="9"/>
      <c r="H4013" s="9"/>
      <c r="I4013" s="9"/>
      <c r="J4013" s="9"/>
      <c r="K4013" s="9"/>
      <c r="L4013" s="9"/>
      <c r="M4013" s="9"/>
      <c r="N4013" s="9"/>
    </row>
    <row r="4014" spans="1:14">
      <c r="A4014" s="9"/>
      <c r="B4014" s="9"/>
      <c r="C4014" s="9"/>
      <c r="D4014" s="9"/>
      <c r="E4014" s="9"/>
      <c r="F4014" s="9"/>
      <c r="G4014" s="9"/>
      <c r="H4014" s="9"/>
      <c r="I4014" s="9"/>
      <c r="J4014" s="9"/>
      <c r="K4014" s="9"/>
      <c r="L4014" s="9"/>
      <c r="M4014" s="9"/>
      <c r="N4014" s="9"/>
    </row>
    <row r="4015" spans="1:14">
      <c r="A4015" s="9"/>
      <c r="B4015" s="9"/>
      <c r="C4015" s="9"/>
      <c r="D4015" s="9"/>
      <c r="E4015" s="9"/>
      <c r="F4015" s="9"/>
      <c r="G4015" s="9"/>
      <c r="H4015" s="9"/>
      <c r="I4015" s="9"/>
      <c r="J4015" s="9"/>
      <c r="K4015" s="9"/>
      <c r="L4015" s="9"/>
      <c r="M4015" s="9"/>
      <c r="N4015" s="9"/>
    </row>
    <row r="4016" spans="1:14">
      <c r="A4016" s="9"/>
      <c r="B4016" s="9"/>
      <c r="C4016" s="9"/>
      <c r="D4016" s="9"/>
      <c r="E4016" s="9"/>
      <c r="F4016" s="9"/>
      <c r="G4016" s="9"/>
      <c r="H4016" s="9"/>
      <c r="I4016" s="9"/>
      <c r="J4016" s="9"/>
      <c r="K4016" s="9"/>
      <c r="L4016" s="9"/>
      <c r="M4016" s="9"/>
      <c r="N4016" s="9"/>
    </row>
    <row r="4017" spans="1:14">
      <c r="A4017" s="9"/>
      <c r="B4017" s="9"/>
      <c r="C4017" s="9"/>
      <c r="D4017" s="9"/>
      <c r="E4017" s="9"/>
      <c r="F4017" s="9"/>
      <c r="G4017" s="9"/>
      <c r="H4017" s="9"/>
      <c r="I4017" s="9"/>
      <c r="J4017" s="9"/>
      <c r="K4017" s="9"/>
      <c r="L4017" s="9"/>
      <c r="M4017" s="9"/>
      <c r="N4017" s="9"/>
    </row>
    <row r="4018" spans="1:14">
      <c r="A4018" s="9"/>
      <c r="B4018" s="9"/>
      <c r="C4018" s="9"/>
      <c r="D4018" s="9"/>
      <c r="E4018" s="9"/>
      <c r="F4018" s="9"/>
      <c r="G4018" s="9"/>
      <c r="H4018" s="9"/>
      <c r="I4018" s="9"/>
      <c r="J4018" s="9"/>
      <c r="K4018" s="9"/>
      <c r="L4018" s="9"/>
      <c r="M4018" s="9"/>
      <c r="N4018" s="9"/>
    </row>
    <row r="4019" spans="1:14">
      <c r="A4019" s="9"/>
      <c r="B4019" s="9"/>
      <c r="C4019" s="9"/>
      <c r="D4019" s="9"/>
      <c r="E4019" s="9"/>
      <c r="F4019" s="9"/>
      <c r="G4019" s="9"/>
      <c r="H4019" s="9"/>
      <c r="I4019" s="9"/>
      <c r="J4019" s="9"/>
      <c r="K4019" s="9"/>
      <c r="L4019" s="9"/>
      <c r="M4019" s="9"/>
      <c r="N4019" s="9"/>
    </row>
    <row r="4020" spans="1:14">
      <c r="A4020" s="9"/>
      <c r="B4020" s="9"/>
      <c r="C4020" s="9"/>
      <c r="D4020" s="9"/>
      <c r="E4020" s="9"/>
      <c r="F4020" s="9"/>
      <c r="G4020" s="9"/>
      <c r="H4020" s="9"/>
      <c r="I4020" s="9"/>
      <c r="J4020" s="9"/>
      <c r="K4020" s="9"/>
      <c r="L4020" s="9"/>
      <c r="M4020" s="9"/>
      <c r="N4020" s="9"/>
    </row>
    <row r="4021" spans="1:14">
      <c r="A4021" s="9"/>
      <c r="B4021" s="9"/>
      <c r="C4021" s="9"/>
      <c r="D4021" s="9"/>
      <c r="E4021" s="9"/>
      <c r="F4021" s="9"/>
      <c r="G4021" s="9"/>
      <c r="H4021" s="9"/>
      <c r="I4021" s="9"/>
      <c r="J4021" s="9"/>
      <c r="K4021" s="9"/>
      <c r="L4021" s="9"/>
      <c r="M4021" s="9"/>
      <c r="N4021" s="9"/>
    </row>
    <row r="4022" spans="1:14">
      <c r="A4022" s="9"/>
      <c r="B4022" s="9"/>
      <c r="C4022" s="9"/>
      <c r="D4022" s="9"/>
      <c r="E4022" s="9"/>
      <c r="F4022" s="9"/>
      <c r="G4022" s="9"/>
      <c r="H4022" s="9"/>
      <c r="I4022" s="9"/>
      <c r="J4022" s="9"/>
      <c r="K4022" s="9"/>
      <c r="L4022" s="9"/>
      <c r="M4022" s="9"/>
      <c r="N4022" s="9"/>
    </row>
    <row r="4023" spans="1:14">
      <c r="A4023" s="9"/>
      <c r="B4023" s="9"/>
      <c r="C4023" s="9"/>
      <c r="D4023" s="9"/>
      <c r="E4023" s="9"/>
      <c r="F4023" s="9"/>
      <c r="G4023" s="9"/>
      <c r="H4023" s="9"/>
      <c r="I4023" s="9"/>
      <c r="J4023" s="9"/>
      <c r="K4023" s="9"/>
      <c r="L4023" s="9"/>
      <c r="M4023" s="9"/>
      <c r="N4023" s="9"/>
    </row>
    <row r="4024" spans="1:14">
      <c r="A4024" s="9"/>
      <c r="B4024" s="9"/>
      <c r="C4024" s="9"/>
      <c r="D4024" s="9"/>
      <c r="E4024" s="9"/>
      <c r="F4024" s="9"/>
      <c r="G4024" s="9"/>
      <c r="H4024" s="9"/>
      <c r="I4024" s="9"/>
      <c r="J4024" s="9"/>
      <c r="K4024" s="9"/>
      <c r="L4024" s="9"/>
      <c r="M4024" s="9"/>
      <c r="N4024" s="9"/>
    </row>
    <row r="4025" spans="1:14">
      <c r="A4025" s="9"/>
      <c r="B4025" s="9"/>
      <c r="C4025" s="9"/>
      <c r="D4025" s="9"/>
      <c r="E4025" s="9"/>
      <c r="F4025" s="9"/>
      <c r="G4025" s="9"/>
      <c r="H4025" s="9"/>
      <c r="I4025" s="9"/>
      <c r="J4025" s="9"/>
      <c r="K4025" s="9"/>
      <c r="L4025" s="9"/>
      <c r="M4025" s="9"/>
      <c r="N4025" s="9"/>
    </row>
    <row r="4026" spans="1:14">
      <c r="A4026" s="9"/>
      <c r="B4026" s="9"/>
      <c r="C4026" s="9"/>
      <c r="D4026" s="9"/>
      <c r="E4026" s="9"/>
      <c r="F4026" s="9"/>
      <c r="G4026" s="9"/>
      <c r="H4026" s="9"/>
      <c r="I4026" s="9"/>
      <c r="J4026" s="9"/>
      <c r="K4026" s="9"/>
      <c r="L4026" s="9"/>
      <c r="M4026" s="9"/>
      <c r="N4026" s="9"/>
    </row>
    <row r="4027" spans="1:14">
      <c r="A4027" s="9"/>
      <c r="B4027" s="9"/>
      <c r="C4027" s="9"/>
      <c r="D4027" s="9"/>
      <c r="E4027" s="9"/>
      <c r="F4027" s="9"/>
      <c r="G4027" s="9"/>
      <c r="H4027" s="9"/>
      <c r="I4027" s="9"/>
      <c r="J4027" s="9"/>
      <c r="K4027" s="9"/>
      <c r="L4027" s="9"/>
      <c r="M4027" s="9"/>
      <c r="N4027" s="9"/>
    </row>
    <row r="4028" spans="1:14">
      <c r="A4028" s="9"/>
      <c r="B4028" s="9"/>
      <c r="C4028" s="9"/>
      <c r="D4028" s="9"/>
      <c r="E4028" s="9"/>
      <c r="F4028" s="9"/>
      <c r="G4028" s="9"/>
      <c r="H4028" s="9"/>
      <c r="I4028" s="9"/>
      <c r="J4028" s="9"/>
      <c r="K4028" s="9"/>
      <c r="L4028" s="9"/>
      <c r="M4028" s="9"/>
      <c r="N4028" s="9"/>
    </row>
    <row r="4029" spans="1:14">
      <c r="A4029" s="9"/>
      <c r="B4029" s="9"/>
      <c r="C4029" s="9"/>
      <c r="D4029" s="9"/>
      <c r="E4029" s="9"/>
      <c r="F4029" s="9"/>
      <c r="G4029" s="9"/>
      <c r="H4029" s="9"/>
      <c r="I4029" s="9"/>
      <c r="J4029" s="9"/>
      <c r="K4029" s="9"/>
      <c r="L4029" s="9"/>
      <c r="M4029" s="9"/>
      <c r="N4029" s="9"/>
    </row>
    <row r="4030" spans="1:14">
      <c r="A4030" s="9"/>
      <c r="B4030" s="9"/>
      <c r="C4030" s="9"/>
      <c r="D4030" s="9"/>
      <c r="E4030" s="9"/>
      <c r="F4030" s="9"/>
      <c r="G4030" s="9"/>
      <c r="H4030" s="9"/>
      <c r="I4030" s="9"/>
      <c r="J4030" s="9"/>
      <c r="K4030" s="9"/>
      <c r="L4030" s="9"/>
      <c r="M4030" s="9"/>
      <c r="N4030" s="9"/>
    </row>
    <row r="4031" spans="1:14">
      <c r="A4031" s="9"/>
      <c r="B4031" s="9"/>
      <c r="C4031" s="9"/>
      <c r="D4031" s="9"/>
      <c r="E4031" s="9"/>
      <c r="F4031" s="9"/>
      <c r="G4031" s="9"/>
      <c r="H4031" s="9"/>
      <c r="I4031" s="9"/>
      <c r="J4031" s="9"/>
      <c r="K4031" s="9"/>
      <c r="L4031" s="9"/>
      <c r="M4031" s="9"/>
      <c r="N4031" s="9"/>
    </row>
    <row r="4032" spans="1:14">
      <c r="A4032" s="9"/>
      <c r="B4032" s="9"/>
      <c r="C4032" s="9"/>
      <c r="D4032" s="9"/>
      <c r="E4032" s="9"/>
      <c r="F4032" s="9"/>
      <c r="G4032" s="9"/>
      <c r="H4032" s="9"/>
      <c r="I4032" s="9"/>
      <c r="J4032" s="9"/>
      <c r="K4032" s="9"/>
      <c r="L4032" s="9"/>
      <c r="M4032" s="9"/>
      <c r="N4032" s="9"/>
    </row>
    <row r="4033" spans="1:14">
      <c r="A4033" s="9"/>
      <c r="B4033" s="9"/>
      <c r="C4033" s="9"/>
      <c r="D4033" s="9"/>
      <c r="E4033" s="9"/>
      <c r="F4033" s="9"/>
      <c r="G4033" s="9"/>
      <c r="H4033" s="9"/>
      <c r="I4033" s="9"/>
      <c r="J4033" s="9"/>
      <c r="K4033" s="9"/>
      <c r="L4033" s="9"/>
      <c r="M4033" s="9"/>
      <c r="N4033" s="9"/>
    </row>
    <row r="4034" spans="1:14">
      <c r="A4034" s="9"/>
      <c r="B4034" s="9"/>
      <c r="C4034" s="9"/>
      <c r="D4034" s="9"/>
      <c r="E4034" s="9"/>
      <c r="F4034" s="9"/>
      <c r="G4034" s="9"/>
      <c r="H4034" s="9"/>
      <c r="I4034" s="9"/>
      <c r="J4034" s="9"/>
      <c r="K4034" s="9"/>
      <c r="L4034" s="9"/>
      <c r="M4034" s="9"/>
      <c r="N4034" s="9"/>
    </row>
    <row r="4035" spans="1:14">
      <c r="A4035" s="9"/>
      <c r="B4035" s="9"/>
      <c r="C4035" s="9"/>
      <c r="D4035" s="9"/>
      <c r="E4035" s="9"/>
      <c r="F4035" s="9"/>
      <c r="G4035" s="9"/>
      <c r="H4035" s="9"/>
      <c r="I4035" s="9"/>
      <c r="J4035" s="9"/>
      <c r="K4035" s="9"/>
      <c r="L4035" s="9"/>
      <c r="M4035" s="9"/>
      <c r="N4035" s="9"/>
    </row>
    <row r="4036" spans="1:14">
      <c r="A4036" s="9"/>
      <c r="B4036" s="9"/>
      <c r="C4036" s="9"/>
      <c r="D4036" s="9"/>
      <c r="E4036" s="9"/>
      <c r="F4036" s="9"/>
      <c r="G4036" s="9"/>
      <c r="H4036" s="9"/>
      <c r="I4036" s="9"/>
      <c r="J4036" s="9"/>
      <c r="K4036" s="9"/>
      <c r="L4036" s="9"/>
      <c r="M4036" s="9"/>
      <c r="N4036" s="9"/>
    </row>
    <row r="4037" spans="1:14">
      <c r="A4037" s="9"/>
      <c r="B4037" s="9"/>
      <c r="C4037" s="9"/>
      <c r="D4037" s="9"/>
      <c r="E4037" s="9"/>
      <c r="F4037" s="9"/>
      <c r="G4037" s="9"/>
      <c r="H4037" s="9"/>
      <c r="I4037" s="9"/>
      <c r="J4037" s="9"/>
      <c r="K4037" s="9"/>
      <c r="L4037" s="9"/>
      <c r="M4037" s="9"/>
      <c r="N4037" s="9"/>
    </row>
    <row r="4038" spans="1:14">
      <c r="A4038" s="9"/>
      <c r="B4038" s="9"/>
      <c r="C4038" s="9"/>
      <c r="D4038" s="9"/>
      <c r="E4038" s="9"/>
      <c r="F4038" s="9"/>
      <c r="G4038" s="9"/>
      <c r="H4038" s="9"/>
      <c r="I4038" s="9"/>
      <c r="J4038" s="9"/>
      <c r="K4038" s="9"/>
      <c r="L4038" s="9"/>
      <c r="M4038" s="9"/>
      <c r="N4038" s="9"/>
    </row>
    <row r="4039" spans="1:14">
      <c r="A4039" s="9"/>
      <c r="B4039" s="9"/>
      <c r="C4039" s="9"/>
      <c r="D4039" s="9"/>
      <c r="E4039" s="9"/>
      <c r="F4039" s="9"/>
      <c r="G4039" s="9"/>
      <c r="H4039" s="9"/>
      <c r="I4039" s="9"/>
      <c r="J4039" s="9"/>
      <c r="K4039" s="9"/>
      <c r="L4039" s="9"/>
      <c r="M4039" s="9"/>
      <c r="N4039" s="9"/>
    </row>
    <row r="4040" spans="1:14">
      <c r="A4040" s="9"/>
      <c r="B4040" s="9"/>
      <c r="C4040" s="9"/>
      <c r="D4040" s="9"/>
      <c r="E4040" s="9"/>
      <c r="F4040" s="9"/>
      <c r="G4040" s="9"/>
      <c r="H4040" s="9"/>
      <c r="I4040" s="9"/>
      <c r="J4040" s="9"/>
      <c r="K4040" s="9"/>
      <c r="L4040" s="9"/>
      <c r="M4040" s="9"/>
      <c r="N4040" s="9"/>
    </row>
    <row r="4041" spans="1:14">
      <c r="A4041" s="9"/>
      <c r="B4041" s="9"/>
      <c r="C4041" s="9"/>
      <c r="D4041" s="9"/>
      <c r="E4041" s="9"/>
      <c r="F4041" s="9"/>
      <c r="G4041" s="9"/>
      <c r="H4041" s="9"/>
      <c r="I4041" s="9"/>
      <c r="J4041" s="9"/>
      <c r="K4041" s="9"/>
      <c r="L4041" s="9"/>
      <c r="M4041" s="9"/>
      <c r="N4041" s="9"/>
    </row>
    <row r="4042" spans="1:14">
      <c r="A4042" s="9"/>
      <c r="B4042" s="9"/>
      <c r="C4042" s="9"/>
      <c r="D4042" s="9"/>
      <c r="E4042" s="9"/>
      <c r="F4042" s="9"/>
      <c r="G4042" s="9"/>
      <c r="H4042" s="9"/>
      <c r="I4042" s="9"/>
      <c r="J4042" s="9"/>
      <c r="K4042" s="9"/>
      <c r="L4042" s="9"/>
      <c r="M4042" s="9"/>
      <c r="N4042" s="9"/>
    </row>
    <row r="4043" spans="1:14">
      <c r="A4043" s="9"/>
      <c r="B4043" s="9"/>
      <c r="C4043" s="9"/>
      <c r="D4043" s="9"/>
      <c r="E4043" s="9"/>
      <c r="F4043" s="9"/>
      <c r="G4043" s="9"/>
      <c r="H4043" s="9"/>
      <c r="I4043" s="9"/>
      <c r="J4043" s="9"/>
      <c r="K4043" s="9"/>
      <c r="L4043" s="9"/>
      <c r="M4043" s="9"/>
      <c r="N4043" s="9"/>
    </row>
    <row r="4044" spans="1:14">
      <c r="A4044" s="9"/>
      <c r="B4044" s="9"/>
      <c r="C4044" s="9"/>
      <c r="D4044" s="9"/>
      <c r="E4044" s="9"/>
      <c r="F4044" s="9"/>
      <c r="G4044" s="9"/>
      <c r="H4044" s="9"/>
      <c r="I4044" s="9"/>
      <c r="J4044" s="9"/>
      <c r="K4044" s="9"/>
      <c r="L4044" s="9"/>
      <c r="M4044" s="9"/>
      <c r="N4044" s="9"/>
    </row>
    <row r="4045" spans="1:14">
      <c r="A4045" s="9"/>
      <c r="B4045" s="9"/>
      <c r="C4045" s="9"/>
      <c r="D4045" s="9"/>
      <c r="E4045" s="9"/>
      <c r="F4045" s="9"/>
      <c r="G4045" s="9"/>
      <c r="H4045" s="9"/>
      <c r="I4045" s="9"/>
      <c r="J4045" s="9"/>
      <c r="K4045" s="9"/>
      <c r="L4045" s="9"/>
      <c r="M4045" s="9"/>
      <c r="N4045" s="9"/>
    </row>
    <row r="4046" spans="1:14">
      <c r="A4046" s="9"/>
      <c r="B4046" s="9"/>
      <c r="C4046" s="9"/>
      <c r="D4046" s="9"/>
      <c r="E4046" s="9"/>
      <c r="F4046" s="9"/>
      <c r="G4046" s="9"/>
      <c r="H4046" s="9"/>
      <c r="I4046" s="9"/>
      <c r="J4046" s="9"/>
      <c r="K4046" s="9"/>
      <c r="L4046" s="9"/>
      <c r="M4046" s="9"/>
      <c r="N4046" s="9"/>
    </row>
    <row r="4047" spans="1:14">
      <c r="A4047" s="9"/>
      <c r="B4047" s="9"/>
      <c r="C4047" s="9"/>
      <c r="D4047" s="9"/>
      <c r="E4047" s="9"/>
      <c r="F4047" s="9"/>
      <c r="G4047" s="9"/>
      <c r="H4047" s="9"/>
      <c r="I4047" s="9"/>
      <c r="J4047" s="9"/>
      <c r="K4047" s="9"/>
      <c r="L4047" s="9"/>
      <c r="M4047" s="9"/>
      <c r="N4047" s="9"/>
    </row>
    <row r="4048" spans="1:14">
      <c r="A4048" s="9"/>
      <c r="B4048" s="9"/>
      <c r="C4048" s="9"/>
      <c r="D4048" s="9"/>
      <c r="E4048" s="9"/>
      <c r="F4048" s="9"/>
      <c r="G4048" s="9"/>
      <c r="H4048" s="9"/>
      <c r="I4048" s="9"/>
      <c r="J4048" s="9"/>
      <c r="K4048" s="9"/>
      <c r="L4048" s="9"/>
      <c r="M4048" s="9"/>
      <c r="N4048" s="9"/>
    </row>
    <row r="4049" spans="1:14">
      <c r="A4049" s="9"/>
      <c r="B4049" s="9"/>
      <c r="C4049" s="9"/>
      <c r="D4049" s="9"/>
      <c r="E4049" s="9"/>
      <c r="F4049" s="9"/>
      <c r="G4049" s="9"/>
      <c r="H4049" s="9"/>
      <c r="I4049" s="9"/>
      <c r="J4049" s="9"/>
      <c r="K4049" s="9"/>
      <c r="L4049" s="9"/>
      <c r="M4049" s="9"/>
      <c r="N4049" s="9"/>
    </row>
    <row r="4050" spans="1:14">
      <c r="A4050" s="9"/>
      <c r="B4050" s="9"/>
      <c r="C4050" s="9"/>
      <c r="D4050" s="9"/>
      <c r="E4050" s="9"/>
      <c r="F4050" s="9"/>
      <c r="G4050" s="9"/>
      <c r="H4050" s="9"/>
      <c r="I4050" s="9"/>
      <c r="J4050" s="9"/>
      <c r="K4050" s="9"/>
      <c r="L4050" s="9"/>
      <c r="M4050" s="9"/>
      <c r="N4050" s="9"/>
    </row>
    <row r="4051" spans="1:14">
      <c r="A4051" s="9"/>
      <c r="B4051" s="9"/>
      <c r="C4051" s="9"/>
      <c r="D4051" s="9"/>
      <c r="E4051" s="9"/>
      <c r="F4051" s="9"/>
      <c r="G4051" s="9"/>
      <c r="H4051" s="9"/>
      <c r="I4051" s="9"/>
      <c r="J4051" s="9"/>
      <c r="K4051" s="9"/>
      <c r="L4051" s="9"/>
      <c r="M4051" s="9"/>
      <c r="N4051" s="9"/>
    </row>
    <row r="4052" spans="1:14">
      <c r="A4052" s="9"/>
      <c r="B4052" s="9"/>
      <c r="C4052" s="9"/>
      <c r="D4052" s="9"/>
      <c r="E4052" s="9"/>
      <c r="F4052" s="9"/>
      <c r="G4052" s="9"/>
      <c r="H4052" s="9"/>
      <c r="I4052" s="9"/>
      <c r="J4052" s="9"/>
      <c r="K4052" s="9"/>
      <c r="L4052" s="9"/>
      <c r="M4052" s="9"/>
      <c r="N4052" s="9"/>
    </row>
    <row r="4053" spans="1:14">
      <c r="A4053" s="9"/>
      <c r="B4053" s="9"/>
      <c r="C4053" s="9"/>
      <c r="D4053" s="9"/>
      <c r="E4053" s="9"/>
      <c r="F4053" s="9"/>
      <c r="G4053" s="9"/>
      <c r="H4053" s="9"/>
      <c r="I4053" s="9"/>
      <c r="J4053" s="9"/>
      <c r="K4053" s="9"/>
      <c r="L4053" s="9"/>
      <c r="M4053" s="9"/>
      <c r="N4053" s="9"/>
    </row>
    <row r="4054" spans="1:14">
      <c r="A4054" s="9"/>
      <c r="B4054" s="9"/>
      <c r="C4054" s="9"/>
      <c r="D4054" s="9"/>
      <c r="E4054" s="9"/>
      <c r="F4054" s="9"/>
      <c r="G4054" s="9"/>
      <c r="H4054" s="9"/>
      <c r="I4054" s="9"/>
      <c r="J4054" s="9"/>
      <c r="K4054" s="9"/>
      <c r="L4054" s="9"/>
      <c r="M4054" s="9"/>
      <c r="N4054" s="9"/>
    </row>
    <row r="4055" spans="1:14">
      <c r="A4055" s="9"/>
      <c r="B4055" s="9"/>
      <c r="C4055" s="9"/>
      <c r="D4055" s="9"/>
      <c r="E4055" s="9"/>
      <c r="F4055" s="9"/>
      <c r="G4055" s="9"/>
      <c r="H4055" s="9"/>
      <c r="I4055" s="9"/>
      <c r="J4055" s="9"/>
      <c r="K4055" s="9"/>
      <c r="L4055" s="9"/>
      <c r="M4055" s="9"/>
      <c r="N4055" s="9"/>
    </row>
    <row r="4056" spans="1:14">
      <c r="A4056" s="9"/>
      <c r="B4056" s="9"/>
      <c r="C4056" s="9"/>
      <c r="D4056" s="9"/>
      <c r="E4056" s="9"/>
      <c r="F4056" s="9"/>
      <c r="G4056" s="9"/>
      <c r="H4056" s="9"/>
      <c r="I4056" s="9"/>
      <c r="J4056" s="9"/>
      <c r="K4056" s="9"/>
      <c r="L4056" s="9"/>
      <c r="M4056" s="9"/>
      <c r="N4056" s="9"/>
    </row>
    <row r="4057" spans="1:14">
      <c r="A4057" s="9"/>
      <c r="B4057" s="9"/>
      <c r="C4057" s="9"/>
      <c r="D4057" s="9"/>
      <c r="E4057" s="9"/>
      <c r="F4057" s="9"/>
      <c r="G4057" s="9"/>
      <c r="H4057" s="9"/>
      <c r="I4057" s="9"/>
      <c r="J4057" s="9"/>
      <c r="K4057" s="9"/>
      <c r="L4057" s="9"/>
      <c r="M4057" s="9"/>
      <c r="N4057" s="9"/>
    </row>
    <row r="4058" spans="1:14">
      <c r="A4058" s="9"/>
      <c r="B4058" s="9"/>
      <c r="C4058" s="9"/>
      <c r="D4058" s="9"/>
      <c r="E4058" s="9"/>
      <c r="F4058" s="9"/>
      <c r="G4058" s="9"/>
      <c r="H4058" s="9"/>
      <c r="I4058" s="9"/>
      <c r="J4058" s="9"/>
      <c r="K4058" s="9"/>
      <c r="L4058" s="9"/>
      <c r="M4058" s="9"/>
      <c r="N4058" s="9"/>
    </row>
    <row r="4059" spans="1:14">
      <c r="A4059" s="9"/>
      <c r="B4059" s="9"/>
      <c r="C4059" s="9"/>
      <c r="D4059" s="9"/>
      <c r="E4059" s="9"/>
      <c r="F4059" s="9"/>
      <c r="G4059" s="9"/>
      <c r="H4059" s="9"/>
      <c r="I4059" s="9"/>
      <c r="J4059" s="9"/>
      <c r="K4059" s="9"/>
      <c r="L4059" s="9"/>
      <c r="M4059" s="9"/>
      <c r="N4059" s="9"/>
    </row>
    <row r="4060" spans="1:14">
      <c r="A4060" s="9"/>
      <c r="B4060" s="9"/>
      <c r="C4060" s="9"/>
      <c r="D4060" s="9"/>
      <c r="E4060" s="9"/>
      <c r="F4060" s="9"/>
      <c r="G4060" s="9"/>
      <c r="H4060" s="9"/>
      <c r="I4060" s="9"/>
      <c r="J4060" s="9"/>
      <c r="K4060" s="9"/>
      <c r="L4060" s="9"/>
      <c r="M4060" s="9"/>
      <c r="N4060" s="9"/>
    </row>
    <row r="4061" spans="1:14">
      <c r="A4061" s="9"/>
      <c r="B4061" s="9"/>
      <c r="C4061" s="9"/>
      <c r="D4061" s="9"/>
      <c r="E4061" s="9"/>
      <c r="F4061" s="9"/>
      <c r="G4061" s="9"/>
      <c r="H4061" s="9"/>
      <c r="I4061" s="9"/>
      <c r="J4061" s="9"/>
      <c r="K4061" s="9"/>
      <c r="L4061" s="9"/>
      <c r="M4061" s="9"/>
      <c r="N4061" s="9"/>
    </row>
    <row r="4062" spans="1:14">
      <c r="A4062" s="9"/>
      <c r="B4062" s="9"/>
      <c r="C4062" s="9"/>
      <c r="D4062" s="9"/>
      <c r="E4062" s="9"/>
      <c r="F4062" s="9"/>
      <c r="G4062" s="9"/>
      <c r="H4062" s="9"/>
      <c r="I4062" s="9"/>
      <c r="J4062" s="9"/>
      <c r="K4062" s="9"/>
      <c r="L4062" s="9"/>
      <c r="M4062" s="9"/>
      <c r="N4062" s="9"/>
    </row>
    <row r="4063" spans="1:14">
      <c r="A4063" s="9"/>
      <c r="B4063" s="9"/>
      <c r="C4063" s="9"/>
      <c r="D4063" s="9"/>
      <c r="E4063" s="9"/>
      <c r="F4063" s="9"/>
      <c r="G4063" s="9"/>
      <c r="H4063" s="9"/>
      <c r="I4063" s="9"/>
      <c r="J4063" s="9"/>
      <c r="K4063" s="9"/>
      <c r="L4063" s="9"/>
      <c r="M4063" s="9"/>
      <c r="N4063" s="9"/>
    </row>
    <row r="4064" spans="1:14">
      <c r="A4064" s="9"/>
      <c r="B4064" s="9"/>
      <c r="C4064" s="9"/>
      <c r="D4064" s="9"/>
      <c r="E4064" s="9"/>
      <c r="F4064" s="9"/>
      <c r="G4064" s="9"/>
      <c r="H4064" s="9"/>
      <c r="I4064" s="9"/>
      <c r="J4064" s="9"/>
      <c r="K4064" s="9"/>
      <c r="L4064" s="9"/>
      <c r="M4064" s="9"/>
      <c r="N4064" s="9"/>
    </row>
    <row r="4065" spans="1:14">
      <c r="A4065" s="9"/>
      <c r="B4065" s="9"/>
      <c r="C4065" s="9"/>
      <c r="D4065" s="9"/>
      <c r="E4065" s="9"/>
      <c r="F4065" s="9"/>
      <c r="G4065" s="9"/>
      <c r="H4065" s="9"/>
      <c r="I4065" s="9"/>
      <c r="J4065" s="9"/>
      <c r="K4065" s="9"/>
      <c r="L4065" s="9"/>
      <c r="M4065" s="9"/>
      <c r="N4065" s="9"/>
    </row>
    <row r="4066" spans="1:14">
      <c r="A4066" s="9"/>
      <c r="B4066" s="9"/>
      <c r="C4066" s="9"/>
      <c r="D4066" s="9"/>
      <c r="E4066" s="9"/>
      <c r="F4066" s="9"/>
      <c r="G4066" s="9"/>
      <c r="H4066" s="9"/>
      <c r="I4066" s="9"/>
      <c r="J4066" s="9"/>
      <c r="K4066" s="9"/>
      <c r="L4066" s="9"/>
      <c r="M4066" s="9"/>
      <c r="N4066" s="9"/>
    </row>
    <row r="4067" spans="1:14">
      <c r="A4067" s="9"/>
      <c r="B4067" s="9"/>
      <c r="C4067" s="9"/>
      <c r="D4067" s="9"/>
      <c r="E4067" s="9"/>
      <c r="F4067" s="9"/>
      <c r="G4067" s="9"/>
      <c r="H4067" s="9"/>
      <c r="I4067" s="9"/>
      <c r="J4067" s="9"/>
      <c r="K4067" s="9"/>
      <c r="L4067" s="9"/>
      <c r="M4067" s="9"/>
      <c r="N4067" s="9"/>
    </row>
    <row r="4068" spans="1:14">
      <c r="A4068" s="9"/>
      <c r="B4068" s="9"/>
      <c r="C4068" s="9"/>
      <c r="D4068" s="9"/>
      <c r="E4068" s="9"/>
      <c r="F4068" s="9"/>
      <c r="G4068" s="9"/>
      <c r="H4068" s="9"/>
      <c r="I4068" s="9"/>
      <c r="J4068" s="9"/>
      <c r="K4068" s="9"/>
      <c r="L4068" s="9"/>
      <c r="M4068" s="9"/>
      <c r="N4068" s="9"/>
    </row>
    <row r="4069" spans="1:14">
      <c r="A4069" s="9"/>
      <c r="B4069" s="9"/>
      <c r="C4069" s="9"/>
      <c r="D4069" s="9"/>
      <c r="E4069" s="9"/>
      <c r="F4069" s="9"/>
      <c r="G4069" s="9"/>
      <c r="H4069" s="9"/>
      <c r="I4069" s="9"/>
      <c r="J4069" s="9"/>
      <c r="K4069" s="9"/>
      <c r="L4069" s="9"/>
      <c r="M4069" s="9"/>
      <c r="N4069" s="9"/>
    </row>
    <row r="4070" spans="1:14">
      <c r="A4070" s="9"/>
      <c r="B4070" s="9"/>
      <c r="C4070" s="9"/>
      <c r="D4070" s="9"/>
      <c r="E4070" s="9"/>
      <c r="F4070" s="9"/>
      <c r="G4070" s="9"/>
      <c r="H4070" s="9"/>
      <c r="I4070" s="9"/>
      <c r="J4070" s="9"/>
      <c r="K4070" s="9"/>
      <c r="L4070" s="9"/>
      <c r="M4070" s="9"/>
      <c r="N4070" s="9"/>
    </row>
    <row r="4071" spans="1:14">
      <c r="A4071" s="9"/>
      <c r="B4071" s="9"/>
      <c r="C4071" s="9"/>
      <c r="D4071" s="9"/>
      <c r="E4071" s="9"/>
      <c r="F4071" s="9"/>
      <c r="G4071" s="9"/>
      <c r="H4071" s="9"/>
      <c r="I4071" s="9"/>
      <c r="J4071" s="9"/>
      <c r="K4071" s="9"/>
      <c r="L4071" s="9"/>
      <c r="M4071" s="9"/>
      <c r="N4071" s="9"/>
    </row>
    <row r="4072" spans="1:14">
      <c r="A4072" s="9"/>
      <c r="B4072" s="9"/>
      <c r="C4072" s="9"/>
      <c r="D4072" s="9"/>
      <c r="E4072" s="9"/>
      <c r="F4072" s="9"/>
      <c r="G4072" s="9"/>
      <c r="H4072" s="9"/>
      <c r="I4072" s="9"/>
      <c r="J4072" s="9"/>
      <c r="K4072" s="9"/>
      <c r="L4072" s="9"/>
      <c r="M4072" s="9"/>
      <c r="N4072" s="9"/>
    </row>
    <row r="4073" spans="1:14">
      <c r="A4073" s="9"/>
      <c r="B4073" s="9"/>
      <c r="C4073" s="9"/>
      <c r="D4073" s="9"/>
      <c r="E4073" s="9"/>
      <c r="F4073" s="9"/>
      <c r="G4073" s="9"/>
      <c r="H4073" s="9"/>
      <c r="I4073" s="9"/>
      <c r="J4073" s="9"/>
      <c r="K4073" s="9"/>
      <c r="L4073" s="9"/>
      <c r="M4073" s="9"/>
      <c r="N4073" s="9"/>
    </row>
    <row r="4074" spans="1:14">
      <c r="A4074" s="9"/>
      <c r="B4074" s="9"/>
      <c r="C4074" s="9"/>
      <c r="D4074" s="9"/>
      <c r="E4074" s="9"/>
      <c r="F4074" s="9"/>
      <c r="G4074" s="9"/>
      <c r="H4074" s="9"/>
      <c r="I4074" s="9"/>
      <c r="J4074" s="9"/>
      <c r="K4074" s="9"/>
      <c r="L4074" s="9"/>
      <c r="M4074" s="9"/>
      <c r="N4074" s="9"/>
    </row>
    <row r="4075" spans="1:14">
      <c r="A4075" s="9"/>
      <c r="B4075" s="9"/>
      <c r="C4075" s="9"/>
      <c r="D4075" s="9"/>
      <c r="E4075" s="9"/>
      <c r="F4075" s="9"/>
      <c r="G4075" s="9"/>
      <c r="H4075" s="9"/>
      <c r="I4075" s="9"/>
      <c r="J4075" s="9"/>
      <c r="K4075" s="9"/>
      <c r="L4075" s="9"/>
      <c r="M4075" s="9"/>
      <c r="N4075" s="9"/>
    </row>
    <row r="4076" spans="1:14">
      <c r="A4076" s="9"/>
      <c r="B4076" s="9"/>
      <c r="C4076" s="9"/>
      <c r="D4076" s="9"/>
      <c r="E4076" s="9"/>
      <c r="F4076" s="9"/>
      <c r="G4076" s="9"/>
      <c r="H4076" s="9"/>
      <c r="I4076" s="9"/>
      <c r="J4076" s="9"/>
      <c r="K4076" s="9"/>
      <c r="L4076" s="9"/>
      <c r="M4076" s="9"/>
      <c r="N4076" s="9"/>
    </row>
    <row r="4077" spans="1:14">
      <c r="A4077" s="9"/>
      <c r="B4077" s="9"/>
      <c r="C4077" s="9"/>
      <c r="D4077" s="9"/>
      <c r="E4077" s="9"/>
      <c r="F4077" s="9"/>
      <c r="G4077" s="9"/>
      <c r="H4077" s="9"/>
      <c r="I4077" s="9"/>
      <c r="J4077" s="9"/>
      <c r="K4077" s="9"/>
      <c r="L4077" s="9"/>
      <c r="M4077" s="9"/>
      <c r="N4077" s="9"/>
    </row>
    <row r="4078" spans="1:14">
      <c r="A4078" s="9"/>
      <c r="B4078" s="9"/>
      <c r="C4078" s="9"/>
      <c r="D4078" s="9"/>
      <c r="E4078" s="9"/>
      <c r="F4078" s="9"/>
      <c r="G4078" s="9"/>
      <c r="H4078" s="9"/>
      <c r="I4078" s="9"/>
      <c r="J4078" s="9"/>
      <c r="K4078" s="9"/>
      <c r="L4078" s="9"/>
      <c r="M4078" s="9"/>
      <c r="N4078" s="9"/>
    </row>
    <row r="4079" spans="1:14">
      <c r="A4079" s="9"/>
      <c r="B4079" s="9"/>
      <c r="C4079" s="9"/>
      <c r="D4079" s="9"/>
      <c r="E4079" s="9"/>
      <c r="F4079" s="9"/>
      <c r="G4079" s="9"/>
      <c r="H4079" s="9"/>
      <c r="I4079" s="9"/>
      <c r="J4079" s="9"/>
      <c r="K4079" s="9"/>
      <c r="L4079" s="9"/>
      <c r="M4079" s="9"/>
      <c r="N4079" s="9"/>
    </row>
    <row r="4080" spans="1:14">
      <c r="A4080" s="9"/>
      <c r="B4080" s="9"/>
      <c r="C4080" s="9"/>
      <c r="D4080" s="9"/>
      <c r="E4080" s="9"/>
      <c r="F4080" s="9"/>
      <c r="G4080" s="9"/>
      <c r="H4080" s="9"/>
      <c r="I4080" s="9"/>
      <c r="J4080" s="9"/>
      <c r="K4080" s="9"/>
      <c r="L4080" s="9"/>
      <c r="M4080" s="9"/>
      <c r="N4080" s="9"/>
    </row>
    <row r="4081" spans="1:14">
      <c r="A4081" s="9"/>
      <c r="B4081" s="9"/>
      <c r="C4081" s="9"/>
      <c r="D4081" s="9"/>
      <c r="E4081" s="9"/>
      <c r="F4081" s="9"/>
      <c r="G4081" s="9"/>
      <c r="H4081" s="9"/>
      <c r="I4081" s="9"/>
      <c r="J4081" s="9"/>
      <c r="K4081" s="9"/>
      <c r="L4081" s="9"/>
      <c r="M4081" s="9"/>
      <c r="N4081" s="9"/>
    </row>
    <row r="4082" spans="1:14">
      <c r="A4082" s="9"/>
      <c r="B4082" s="9"/>
      <c r="C4082" s="9"/>
      <c r="D4082" s="9"/>
      <c r="E4082" s="9"/>
      <c r="F4082" s="9"/>
      <c r="G4082" s="9"/>
      <c r="H4082" s="9"/>
      <c r="I4082" s="9"/>
      <c r="J4082" s="9"/>
      <c r="K4082" s="9"/>
      <c r="L4082" s="9"/>
      <c r="M4082" s="9"/>
      <c r="N4082" s="9"/>
    </row>
    <row r="4083" spans="1:14">
      <c r="A4083" s="9"/>
      <c r="B4083" s="9"/>
      <c r="C4083" s="9"/>
      <c r="D4083" s="9"/>
      <c r="E4083" s="9"/>
      <c r="F4083" s="9"/>
      <c r="G4083" s="9"/>
      <c r="H4083" s="9"/>
      <c r="I4083" s="9"/>
      <c r="J4083" s="9"/>
      <c r="K4083" s="9"/>
      <c r="L4083" s="9"/>
      <c r="M4083" s="9"/>
      <c r="N4083" s="9"/>
    </row>
    <row r="4084" spans="1:14">
      <c r="A4084" s="9"/>
      <c r="B4084" s="9"/>
      <c r="C4084" s="9"/>
      <c r="D4084" s="9"/>
      <c r="E4084" s="9"/>
      <c r="F4084" s="9"/>
      <c r="G4084" s="9"/>
      <c r="H4084" s="9"/>
      <c r="I4084" s="9"/>
      <c r="J4084" s="9"/>
      <c r="K4084" s="9"/>
      <c r="L4084" s="9"/>
      <c r="M4084" s="9"/>
      <c r="N4084" s="9"/>
    </row>
    <row r="4085" spans="1:14">
      <c r="A4085" s="9"/>
      <c r="B4085" s="9"/>
      <c r="C4085" s="9"/>
      <c r="D4085" s="9"/>
      <c r="E4085" s="9"/>
      <c r="F4085" s="9"/>
      <c r="G4085" s="9"/>
      <c r="H4085" s="9"/>
      <c r="I4085" s="9"/>
      <c r="J4085" s="9"/>
      <c r="K4085" s="9"/>
      <c r="L4085" s="9"/>
      <c r="M4085" s="9"/>
      <c r="N4085" s="9"/>
    </row>
    <row r="4086" spans="1:14">
      <c r="A4086" s="9"/>
      <c r="B4086" s="9"/>
      <c r="C4086" s="9"/>
      <c r="D4086" s="9"/>
      <c r="E4086" s="9"/>
      <c r="F4086" s="9"/>
      <c r="G4086" s="9"/>
      <c r="H4086" s="9"/>
      <c r="I4086" s="9"/>
      <c r="J4086" s="9"/>
      <c r="K4086" s="9"/>
      <c r="L4086" s="9"/>
      <c r="M4086" s="9"/>
      <c r="N4086" s="9"/>
    </row>
    <row r="4087" spans="1:14">
      <c r="A4087" s="9"/>
      <c r="B4087" s="9"/>
      <c r="C4087" s="9"/>
      <c r="D4087" s="9"/>
      <c r="E4087" s="9"/>
      <c r="F4087" s="9"/>
      <c r="G4087" s="9"/>
      <c r="H4087" s="9"/>
      <c r="I4087" s="9"/>
      <c r="J4087" s="9"/>
      <c r="K4087" s="9"/>
      <c r="L4087" s="9"/>
      <c r="M4087" s="9"/>
      <c r="N4087" s="9"/>
    </row>
    <row r="4088" spans="1:14">
      <c r="A4088" s="9"/>
      <c r="B4088" s="9"/>
      <c r="C4088" s="9"/>
      <c r="D4088" s="9"/>
      <c r="E4088" s="9"/>
      <c r="F4088" s="9"/>
      <c r="G4088" s="9"/>
      <c r="H4088" s="9"/>
      <c r="I4088" s="9"/>
      <c r="J4088" s="9"/>
      <c r="K4088" s="9"/>
      <c r="L4088" s="9"/>
      <c r="M4088" s="9"/>
      <c r="N4088" s="9"/>
    </row>
    <row r="4089" spans="1:14">
      <c r="A4089" s="9"/>
      <c r="B4089" s="9"/>
      <c r="C4089" s="9"/>
      <c r="D4089" s="9"/>
      <c r="E4089" s="9"/>
      <c r="F4089" s="9"/>
      <c r="G4089" s="9"/>
      <c r="H4089" s="9"/>
      <c r="I4089" s="9"/>
      <c r="J4089" s="9"/>
      <c r="K4089" s="9"/>
      <c r="L4089" s="9"/>
      <c r="M4089" s="9"/>
      <c r="N4089" s="9"/>
    </row>
    <row r="4090" spans="1:14">
      <c r="A4090" s="9"/>
      <c r="B4090" s="9"/>
      <c r="C4090" s="9"/>
      <c r="D4090" s="9"/>
      <c r="E4090" s="9"/>
      <c r="F4090" s="9"/>
      <c r="G4090" s="9"/>
      <c r="H4090" s="9"/>
      <c r="I4090" s="9"/>
      <c r="J4090" s="9"/>
      <c r="K4090" s="9"/>
      <c r="L4090" s="9"/>
      <c r="M4090" s="9"/>
      <c r="N4090" s="9"/>
    </row>
    <row r="4091" spans="1:14">
      <c r="A4091" s="9"/>
      <c r="B4091" s="9"/>
      <c r="C4091" s="9"/>
      <c r="D4091" s="9"/>
      <c r="E4091" s="9"/>
      <c r="F4091" s="9"/>
      <c r="G4091" s="9"/>
      <c r="H4091" s="9"/>
      <c r="I4091" s="9"/>
      <c r="J4091" s="9"/>
      <c r="K4091" s="9"/>
      <c r="L4091" s="9"/>
      <c r="M4091" s="9"/>
      <c r="N4091" s="9"/>
    </row>
    <row r="4092" spans="1:14">
      <c r="A4092" s="9"/>
      <c r="B4092" s="9"/>
      <c r="C4092" s="9"/>
      <c r="D4092" s="9"/>
      <c r="E4092" s="9"/>
      <c r="F4092" s="9"/>
      <c r="G4092" s="9"/>
      <c r="H4092" s="9"/>
      <c r="I4092" s="9"/>
      <c r="J4092" s="9"/>
      <c r="K4092" s="9"/>
      <c r="L4092" s="9"/>
      <c r="M4092" s="9"/>
      <c r="N4092" s="9"/>
    </row>
    <row r="4093" spans="1:14">
      <c r="A4093" s="9"/>
      <c r="B4093" s="9"/>
      <c r="C4093" s="9"/>
      <c r="D4093" s="9"/>
      <c r="E4093" s="9"/>
      <c r="F4093" s="9"/>
      <c r="G4093" s="9"/>
      <c r="H4093" s="9"/>
      <c r="I4093" s="9"/>
      <c r="J4093" s="9"/>
      <c r="K4093" s="9"/>
      <c r="L4093" s="9"/>
      <c r="M4093" s="9"/>
      <c r="N4093" s="9"/>
    </row>
    <row r="4094" spans="1:14">
      <c r="A4094" s="9"/>
      <c r="B4094" s="9"/>
      <c r="C4094" s="9"/>
      <c r="D4094" s="9"/>
      <c r="E4094" s="9"/>
      <c r="F4094" s="9"/>
      <c r="G4094" s="9"/>
      <c r="H4094" s="9"/>
      <c r="I4094" s="9"/>
      <c r="J4094" s="9"/>
      <c r="K4094" s="9"/>
      <c r="L4094" s="9"/>
      <c r="M4094" s="9"/>
      <c r="N4094" s="9"/>
    </row>
    <row r="4095" spans="1:14">
      <c r="A4095" s="9"/>
      <c r="B4095" s="9"/>
      <c r="C4095" s="9"/>
      <c r="D4095" s="9"/>
      <c r="E4095" s="9"/>
      <c r="F4095" s="9"/>
      <c r="G4095" s="9"/>
      <c r="H4095" s="9"/>
      <c r="I4095" s="9"/>
      <c r="J4095" s="9"/>
      <c r="K4095" s="9"/>
      <c r="L4095" s="9"/>
      <c r="M4095" s="9"/>
      <c r="N4095" s="9"/>
    </row>
    <row r="4096" spans="1:14">
      <c r="A4096" s="9"/>
      <c r="B4096" s="9"/>
      <c r="C4096" s="9"/>
      <c r="D4096" s="9"/>
      <c r="E4096" s="9"/>
      <c r="F4096" s="9"/>
      <c r="G4096" s="9"/>
      <c r="H4096" s="9"/>
      <c r="I4096" s="9"/>
      <c r="J4096" s="9"/>
      <c r="K4096" s="9"/>
      <c r="L4096" s="9"/>
      <c r="M4096" s="9"/>
      <c r="N4096" s="9"/>
    </row>
    <row r="4097" spans="1:14">
      <c r="A4097" s="9"/>
      <c r="B4097" s="9"/>
      <c r="C4097" s="9"/>
      <c r="D4097" s="9"/>
      <c r="E4097" s="9"/>
      <c r="F4097" s="9"/>
      <c r="G4097" s="9"/>
      <c r="H4097" s="9"/>
      <c r="I4097" s="9"/>
      <c r="J4097" s="9"/>
      <c r="K4097" s="9"/>
      <c r="L4097" s="9"/>
      <c r="M4097" s="9"/>
      <c r="N4097" s="9"/>
    </row>
    <row r="4098" spans="1:14">
      <c r="A4098" s="9"/>
      <c r="B4098" s="9"/>
      <c r="C4098" s="9"/>
      <c r="D4098" s="9"/>
      <c r="E4098" s="9"/>
      <c r="F4098" s="9"/>
      <c r="G4098" s="9"/>
      <c r="H4098" s="9"/>
      <c r="I4098" s="9"/>
      <c r="J4098" s="9"/>
      <c r="K4098" s="9"/>
      <c r="L4098" s="9"/>
      <c r="M4098" s="9"/>
      <c r="N4098" s="9"/>
    </row>
    <row r="4099" spans="1:14">
      <c r="A4099" s="9"/>
      <c r="B4099" s="9"/>
      <c r="C4099" s="9"/>
      <c r="D4099" s="9"/>
      <c r="E4099" s="9"/>
      <c r="F4099" s="9"/>
      <c r="G4099" s="9"/>
      <c r="H4099" s="9"/>
      <c r="I4099" s="9"/>
      <c r="J4099" s="9"/>
      <c r="K4099" s="9"/>
      <c r="L4099" s="9"/>
      <c r="M4099" s="9"/>
      <c r="N4099" s="9"/>
    </row>
    <row r="4100" spans="1:14">
      <c r="A4100" s="9"/>
      <c r="B4100" s="9"/>
      <c r="C4100" s="9"/>
      <c r="D4100" s="9"/>
      <c r="E4100" s="9"/>
      <c r="F4100" s="9"/>
      <c r="G4100" s="9"/>
      <c r="H4100" s="9"/>
      <c r="I4100" s="9"/>
      <c r="J4100" s="9"/>
      <c r="K4100" s="9"/>
      <c r="L4100" s="9"/>
      <c r="M4100" s="9"/>
      <c r="N4100" s="9"/>
    </row>
    <row r="4101" spans="1:14">
      <c r="A4101" s="9"/>
      <c r="B4101" s="9"/>
      <c r="C4101" s="9"/>
      <c r="D4101" s="9"/>
      <c r="E4101" s="9"/>
      <c r="F4101" s="9"/>
      <c r="G4101" s="9"/>
      <c r="H4101" s="9"/>
      <c r="I4101" s="9"/>
      <c r="J4101" s="9"/>
      <c r="K4101" s="9"/>
      <c r="L4101" s="9"/>
      <c r="M4101" s="9"/>
      <c r="N4101" s="9"/>
    </row>
    <row r="4102" spans="1:14">
      <c r="A4102" s="9"/>
      <c r="B4102" s="9"/>
      <c r="C4102" s="9"/>
      <c r="D4102" s="9"/>
      <c r="E4102" s="9"/>
      <c r="F4102" s="9"/>
      <c r="G4102" s="9"/>
      <c r="H4102" s="9"/>
      <c r="I4102" s="9"/>
      <c r="J4102" s="9"/>
      <c r="K4102" s="9"/>
      <c r="L4102" s="9"/>
      <c r="M4102" s="9"/>
      <c r="N4102" s="9"/>
    </row>
    <row r="4103" spans="1:14">
      <c r="A4103" s="9"/>
      <c r="B4103" s="9"/>
      <c r="C4103" s="9"/>
      <c r="D4103" s="9"/>
      <c r="E4103" s="9"/>
      <c r="F4103" s="9"/>
      <c r="G4103" s="9"/>
      <c r="H4103" s="9"/>
      <c r="I4103" s="9"/>
      <c r="J4103" s="9"/>
      <c r="K4103" s="9"/>
      <c r="L4103" s="9"/>
      <c r="M4103" s="9"/>
      <c r="N4103" s="9"/>
    </row>
    <row r="4104" spans="1:14">
      <c r="A4104" s="9"/>
      <c r="B4104" s="9"/>
      <c r="C4104" s="9"/>
      <c r="D4104" s="9"/>
      <c r="E4104" s="9"/>
      <c r="F4104" s="9"/>
      <c r="G4104" s="9"/>
      <c r="H4104" s="9"/>
      <c r="I4104" s="9"/>
      <c r="J4104" s="9"/>
      <c r="K4104" s="9"/>
      <c r="L4104" s="9"/>
      <c r="M4104" s="9"/>
      <c r="N4104" s="9"/>
    </row>
    <row r="4105" spans="1:14">
      <c r="A4105" s="9"/>
      <c r="B4105" s="9"/>
      <c r="C4105" s="9"/>
      <c r="D4105" s="9"/>
      <c r="E4105" s="9"/>
      <c r="F4105" s="9"/>
      <c r="G4105" s="9"/>
      <c r="H4105" s="9"/>
      <c r="I4105" s="9"/>
      <c r="J4105" s="9"/>
      <c r="K4105" s="9"/>
      <c r="L4105" s="9"/>
      <c r="M4105" s="9"/>
      <c r="N4105" s="9"/>
    </row>
    <row r="4106" spans="1:14">
      <c r="A4106" s="9"/>
      <c r="B4106" s="9"/>
      <c r="C4106" s="9"/>
      <c r="D4106" s="9"/>
      <c r="E4106" s="9"/>
      <c r="F4106" s="9"/>
      <c r="G4106" s="9"/>
      <c r="H4106" s="9"/>
      <c r="I4106" s="9"/>
      <c r="J4106" s="9"/>
      <c r="K4106" s="9"/>
      <c r="L4106" s="9"/>
      <c r="M4106" s="9"/>
      <c r="N4106" s="9"/>
    </row>
    <row r="4107" spans="1:14">
      <c r="A4107" s="9"/>
      <c r="B4107" s="9"/>
      <c r="C4107" s="9"/>
      <c r="D4107" s="9"/>
      <c r="E4107" s="9"/>
      <c r="F4107" s="9"/>
      <c r="G4107" s="9"/>
      <c r="H4107" s="9"/>
      <c r="I4107" s="9"/>
      <c r="J4107" s="9"/>
      <c r="K4107" s="9"/>
      <c r="L4107" s="9"/>
      <c r="M4107" s="9"/>
      <c r="N4107" s="9"/>
    </row>
    <row r="4108" spans="1:14">
      <c r="A4108" s="9"/>
      <c r="B4108" s="9"/>
      <c r="C4108" s="9"/>
      <c r="D4108" s="9"/>
      <c r="E4108" s="9"/>
      <c r="F4108" s="9"/>
      <c r="G4108" s="9"/>
      <c r="H4108" s="9"/>
      <c r="I4108" s="9"/>
      <c r="J4108" s="9"/>
      <c r="K4108" s="9"/>
      <c r="L4108" s="9"/>
      <c r="M4108" s="9"/>
      <c r="N4108" s="9"/>
    </row>
    <row r="4109" spans="1:14">
      <c r="A4109" s="9"/>
      <c r="B4109" s="9"/>
      <c r="C4109" s="9"/>
      <c r="D4109" s="9"/>
      <c r="E4109" s="9"/>
      <c r="F4109" s="9"/>
      <c r="G4109" s="9"/>
      <c r="H4109" s="9"/>
      <c r="I4109" s="9"/>
      <c r="J4109" s="9"/>
      <c r="K4109" s="9"/>
      <c r="L4109" s="9"/>
      <c r="M4109" s="9"/>
      <c r="N4109" s="9"/>
    </row>
    <row r="4110" spans="1:14">
      <c r="A4110" s="9"/>
      <c r="B4110" s="9"/>
      <c r="C4110" s="9"/>
      <c r="D4110" s="9"/>
      <c r="E4110" s="9"/>
      <c r="F4110" s="9"/>
      <c r="G4110" s="9"/>
      <c r="H4110" s="9"/>
      <c r="I4110" s="9"/>
      <c r="J4110" s="9"/>
      <c r="K4110" s="9"/>
      <c r="L4110" s="9"/>
      <c r="M4110" s="9"/>
      <c r="N4110" s="9"/>
    </row>
    <row r="4111" spans="1:14">
      <c r="A4111" s="9"/>
      <c r="B4111" s="9"/>
      <c r="C4111" s="9"/>
      <c r="D4111" s="9"/>
      <c r="E4111" s="9"/>
      <c r="F4111" s="9"/>
      <c r="G4111" s="9"/>
      <c r="H4111" s="9"/>
      <c r="I4111" s="9"/>
      <c r="J4111" s="9"/>
      <c r="K4111" s="9"/>
      <c r="L4111" s="9"/>
      <c r="M4111" s="9"/>
      <c r="N4111" s="9"/>
    </row>
    <row r="4112" spans="1:14">
      <c r="A4112" s="9"/>
      <c r="B4112" s="9"/>
      <c r="C4112" s="9"/>
      <c r="D4112" s="9"/>
      <c r="E4112" s="9"/>
      <c r="F4112" s="9"/>
      <c r="G4112" s="9"/>
      <c r="H4112" s="9"/>
      <c r="I4112" s="9"/>
      <c r="J4112" s="9"/>
      <c r="K4112" s="9"/>
      <c r="L4112" s="9"/>
      <c r="M4112" s="9"/>
      <c r="N4112" s="9"/>
    </row>
    <row r="4113" spans="1:14">
      <c r="A4113" s="9"/>
      <c r="B4113" s="9"/>
      <c r="C4113" s="9"/>
      <c r="D4113" s="9"/>
      <c r="E4113" s="9"/>
      <c r="F4113" s="9"/>
      <c r="G4113" s="9"/>
      <c r="H4113" s="9"/>
      <c r="I4113" s="9"/>
      <c r="J4113" s="9"/>
      <c r="K4113" s="9"/>
      <c r="L4113" s="9"/>
      <c r="M4113" s="9"/>
      <c r="N4113" s="9"/>
    </row>
    <row r="4114" spans="1:14">
      <c r="A4114" s="9"/>
      <c r="B4114" s="9"/>
      <c r="C4114" s="9"/>
      <c r="D4114" s="9"/>
      <c r="E4114" s="9"/>
      <c r="F4114" s="9"/>
      <c r="G4114" s="9"/>
      <c r="H4114" s="9"/>
      <c r="I4114" s="9"/>
      <c r="J4114" s="9"/>
      <c r="K4114" s="9"/>
      <c r="L4114" s="9"/>
      <c r="M4114" s="9"/>
      <c r="N4114" s="9"/>
    </row>
    <row r="4115" spans="1:14">
      <c r="A4115" s="9"/>
      <c r="B4115" s="9"/>
      <c r="C4115" s="9"/>
      <c r="D4115" s="9"/>
      <c r="E4115" s="9"/>
      <c r="F4115" s="9"/>
      <c r="G4115" s="9"/>
      <c r="H4115" s="9"/>
      <c r="I4115" s="9"/>
      <c r="J4115" s="9"/>
      <c r="K4115" s="9"/>
      <c r="L4115" s="9"/>
      <c r="M4115" s="9"/>
      <c r="N4115" s="9"/>
    </row>
    <row r="4116" spans="1:14">
      <c r="A4116" s="9"/>
      <c r="B4116" s="9"/>
      <c r="C4116" s="9"/>
      <c r="D4116" s="9"/>
      <c r="E4116" s="9"/>
      <c r="F4116" s="9"/>
      <c r="G4116" s="9"/>
      <c r="H4116" s="9"/>
      <c r="I4116" s="9"/>
      <c r="J4116" s="9"/>
      <c r="K4116" s="9"/>
      <c r="L4116" s="9"/>
      <c r="M4116" s="9"/>
      <c r="N4116" s="9"/>
    </row>
    <row r="4117" spans="1:14">
      <c r="A4117" s="9"/>
      <c r="B4117" s="9"/>
      <c r="C4117" s="9"/>
      <c r="D4117" s="9"/>
      <c r="E4117" s="9"/>
      <c r="F4117" s="9"/>
      <c r="G4117" s="9"/>
      <c r="H4117" s="9"/>
      <c r="I4117" s="9"/>
      <c r="J4117" s="9"/>
      <c r="K4117" s="9"/>
      <c r="L4117" s="9"/>
      <c r="M4117" s="9"/>
      <c r="N4117" s="9"/>
    </row>
    <row r="4118" spans="1:14">
      <c r="A4118" s="9"/>
      <c r="B4118" s="9"/>
      <c r="C4118" s="9"/>
      <c r="D4118" s="9"/>
      <c r="E4118" s="9"/>
      <c r="F4118" s="9"/>
      <c r="G4118" s="9"/>
      <c r="H4118" s="9"/>
      <c r="I4118" s="9"/>
      <c r="J4118" s="9"/>
      <c r="K4118" s="9"/>
      <c r="L4118" s="9"/>
      <c r="M4118" s="9"/>
      <c r="N4118" s="9"/>
    </row>
    <row r="4119" spans="1:14">
      <c r="A4119" s="9"/>
      <c r="B4119" s="9"/>
      <c r="C4119" s="9"/>
      <c r="D4119" s="9"/>
      <c r="E4119" s="9"/>
      <c r="F4119" s="9"/>
      <c r="G4119" s="9"/>
      <c r="H4119" s="9"/>
      <c r="I4119" s="9"/>
      <c r="J4119" s="9"/>
      <c r="K4119" s="9"/>
      <c r="L4119" s="9"/>
      <c r="M4119" s="9"/>
      <c r="N4119" s="9"/>
    </row>
    <row r="4120" spans="1:14">
      <c r="A4120" s="9"/>
      <c r="B4120" s="9"/>
      <c r="C4120" s="9"/>
      <c r="D4120" s="9"/>
      <c r="E4120" s="9"/>
      <c r="F4120" s="9"/>
      <c r="G4120" s="9"/>
      <c r="H4120" s="9"/>
      <c r="I4120" s="9"/>
      <c r="J4120" s="9"/>
      <c r="K4120" s="9"/>
      <c r="L4120" s="9"/>
      <c r="M4120" s="9"/>
      <c r="N4120" s="9"/>
    </row>
    <row r="4121" spans="1:14">
      <c r="A4121" s="9"/>
      <c r="B4121" s="9"/>
      <c r="C4121" s="9"/>
      <c r="D4121" s="9"/>
      <c r="E4121" s="9"/>
      <c r="F4121" s="9"/>
      <c r="G4121" s="9"/>
      <c r="H4121" s="9"/>
      <c r="I4121" s="9"/>
      <c r="J4121" s="9"/>
      <c r="K4121" s="9"/>
      <c r="L4121" s="9"/>
      <c r="M4121" s="9"/>
      <c r="N4121" s="9"/>
    </row>
    <row r="4122" spans="1:14">
      <c r="A4122" s="9"/>
      <c r="B4122" s="9"/>
      <c r="C4122" s="9"/>
      <c r="D4122" s="9"/>
      <c r="E4122" s="9"/>
      <c r="F4122" s="9"/>
      <c r="G4122" s="9"/>
      <c r="H4122" s="9"/>
      <c r="I4122" s="9"/>
      <c r="J4122" s="9"/>
      <c r="K4122" s="9"/>
      <c r="L4122" s="9"/>
      <c r="M4122" s="9"/>
      <c r="N4122" s="9"/>
    </row>
    <row r="4123" spans="1:14">
      <c r="A4123" s="9"/>
      <c r="B4123" s="9"/>
      <c r="C4123" s="9"/>
      <c r="D4123" s="9"/>
      <c r="E4123" s="9"/>
      <c r="F4123" s="9"/>
      <c r="G4123" s="9"/>
      <c r="H4123" s="9"/>
      <c r="I4123" s="9"/>
      <c r="J4123" s="9"/>
      <c r="K4123" s="9"/>
      <c r="L4123" s="9"/>
      <c r="M4123" s="9"/>
      <c r="N4123" s="9"/>
    </row>
    <row r="4124" spans="1:14">
      <c r="A4124" s="9"/>
      <c r="B4124" s="9"/>
      <c r="C4124" s="9"/>
      <c r="D4124" s="9"/>
      <c r="E4124" s="9"/>
      <c r="F4124" s="9"/>
      <c r="G4124" s="9"/>
      <c r="H4124" s="9"/>
      <c r="I4124" s="9"/>
      <c r="J4124" s="9"/>
      <c r="K4124" s="9"/>
      <c r="L4124" s="9"/>
      <c r="M4124" s="9"/>
      <c r="N4124" s="9"/>
    </row>
    <row r="4125" spans="1:14">
      <c r="A4125" s="9"/>
      <c r="B4125" s="9"/>
      <c r="C4125" s="9"/>
      <c r="D4125" s="9"/>
      <c r="E4125" s="9"/>
      <c r="F4125" s="9"/>
      <c r="G4125" s="9"/>
      <c r="H4125" s="9"/>
      <c r="I4125" s="9"/>
      <c r="J4125" s="9"/>
      <c r="K4125" s="9"/>
      <c r="L4125" s="9"/>
      <c r="M4125" s="9"/>
      <c r="N4125" s="9"/>
    </row>
    <row r="4126" spans="1:14">
      <c r="A4126" s="9"/>
      <c r="B4126" s="9"/>
      <c r="C4126" s="9"/>
      <c r="D4126" s="9"/>
      <c r="E4126" s="9"/>
      <c r="F4126" s="9"/>
      <c r="G4126" s="9"/>
      <c r="H4126" s="9"/>
      <c r="I4126" s="9"/>
      <c r="J4126" s="9"/>
      <c r="K4126" s="9"/>
      <c r="L4126" s="9"/>
      <c r="M4126" s="9"/>
      <c r="N4126" s="9"/>
    </row>
    <row r="4127" spans="1:14">
      <c r="A4127" s="9"/>
      <c r="B4127" s="9"/>
      <c r="C4127" s="9"/>
      <c r="D4127" s="9"/>
      <c r="E4127" s="9"/>
      <c r="F4127" s="9"/>
      <c r="G4127" s="9"/>
      <c r="H4127" s="9"/>
      <c r="I4127" s="9"/>
      <c r="J4127" s="9"/>
      <c r="K4127" s="9"/>
      <c r="L4127" s="9"/>
      <c r="M4127" s="9"/>
      <c r="N4127" s="9"/>
    </row>
    <row r="4128" spans="1:14">
      <c r="A4128" s="9"/>
      <c r="B4128" s="9"/>
      <c r="C4128" s="9"/>
      <c r="D4128" s="9"/>
      <c r="E4128" s="9"/>
      <c r="F4128" s="9"/>
      <c r="G4128" s="9"/>
      <c r="H4128" s="9"/>
      <c r="I4128" s="9"/>
      <c r="J4128" s="9"/>
      <c r="K4128" s="9"/>
      <c r="L4128" s="9"/>
      <c r="M4128" s="9"/>
      <c r="N4128" s="9"/>
    </row>
    <row r="4129" spans="1:14">
      <c r="A4129" s="9"/>
      <c r="B4129" s="9"/>
      <c r="C4129" s="9"/>
      <c r="D4129" s="9"/>
      <c r="E4129" s="9"/>
      <c r="F4129" s="9"/>
      <c r="G4129" s="9"/>
      <c r="H4129" s="9"/>
      <c r="I4129" s="9"/>
      <c r="J4129" s="9"/>
      <c r="K4129" s="9"/>
      <c r="L4129" s="9"/>
      <c r="M4129" s="9"/>
      <c r="N4129" s="9"/>
    </row>
    <row r="4130" spans="1:14">
      <c r="A4130" s="9"/>
      <c r="B4130" s="9"/>
      <c r="C4130" s="9"/>
      <c r="D4130" s="9"/>
      <c r="E4130" s="9"/>
      <c r="F4130" s="9"/>
      <c r="G4130" s="9"/>
      <c r="H4130" s="9"/>
      <c r="I4130" s="9"/>
      <c r="J4130" s="9"/>
      <c r="K4130" s="9"/>
      <c r="L4130" s="9"/>
      <c r="M4130" s="9"/>
      <c r="N4130" s="9"/>
    </row>
    <row r="4131" spans="1:14">
      <c r="A4131" s="9"/>
      <c r="B4131" s="9"/>
      <c r="C4131" s="9"/>
      <c r="D4131" s="9"/>
      <c r="E4131" s="9"/>
      <c r="F4131" s="9"/>
      <c r="G4131" s="9"/>
      <c r="H4131" s="9"/>
      <c r="I4131" s="9"/>
      <c r="J4131" s="9"/>
      <c r="K4131" s="9"/>
      <c r="L4131" s="9"/>
      <c r="M4131" s="9"/>
      <c r="N4131" s="9"/>
    </row>
    <row r="4132" spans="1:14">
      <c r="A4132" s="9"/>
      <c r="B4132" s="9"/>
      <c r="C4132" s="9"/>
      <c r="D4132" s="9"/>
      <c r="E4132" s="9"/>
      <c r="F4132" s="9"/>
      <c r="G4132" s="9"/>
      <c r="H4132" s="9"/>
      <c r="I4132" s="9"/>
      <c r="J4132" s="9"/>
      <c r="K4132" s="9"/>
      <c r="L4132" s="9"/>
      <c r="M4132" s="9"/>
      <c r="N4132" s="9"/>
    </row>
    <row r="4133" spans="1:14">
      <c r="A4133" s="9"/>
      <c r="B4133" s="9"/>
      <c r="C4133" s="9"/>
      <c r="D4133" s="9"/>
      <c r="E4133" s="9"/>
      <c r="F4133" s="9"/>
      <c r="G4133" s="9"/>
      <c r="H4133" s="9"/>
      <c r="I4133" s="9"/>
      <c r="J4133" s="9"/>
      <c r="K4133" s="9"/>
      <c r="L4133" s="9"/>
      <c r="M4133" s="9"/>
      <c r="N4133" s="9"/>
    </row>
    <row r="4134" spans="1:14">
      <c r="A4134" s="9"/>
      <c r="B4134" s="9"/>
      <c r="C4134" s="9"/>
      <c r="D4134" s="9"/>
      <c r="E4134" s="9"/>
      <c r="F4134" s="9"/>
      <c r="G4134" s="9"/>
      <c r="H4134" s="9"/>
      <c r="I4134" s="9"/>
      <c r="J4134" s="9"/>
      <c r="K4134" s="9"/>
      <c r="L4134" s="9"/>
      <c r="M4134" s="9"/>
      <c r="N4134" s="9"/>
    </row>
    <row r="4135" spans="1:14">
      <c r="A4135" s="9"/>
      <c r="B4135" s="9"/>
      <c r="C4135" s="9"/>
      <c r="D4135" s="9"/>
      <c r="E4135" s="9"/>
      <c r="F4135" s="9"/>
      <c r="G4135" s="9"/>
      <c r="H4135" s="9"/>
      <c r="I4135" s="9"/>
      <c r="J4135" s="9"/>
      <c r="K4135" s="9"/>
      <c r="L4135" s="9"/>
      <c r="M4135" s="9"/>
      <c r="N4135" s="9"/>
    </row>
    <row r="4136" spans="1:14">
      <c r="A4136" s="9"/>
      <c r="B4136" s="9"/>
      <c r="C4136" s="9"/>
      <c r="D4136" s="9"/>
      <c r="E4136" s="9"/>
      <c r="F4136" s="9"/>
      <c r="G4136" s="9"/>
      <c r="H4136" s="9"/>
      <c r="I4136" s="9"/>
      <c r="J4136" s="9"/>
      <c r="K4136" s="9"/>
      <c r="L4136" s="9"/>
      <c r="M4136" s="9"/>
      <c r="N4136" s="9"/>
    </row>
    <row r="4137" spans="1:14">
      <c r="A4137" s="9"/>
      <c r="B4137" s="9"/>
      <c r="C4137" s="9"/>
      <c r="D4137" s="9"/>
      <c r="E4137" s="9"/>
      <c r="F4137" s="9"/>
      <c r="G4137" s="9"/>
      <c r="H4137" s="9"/>
      <c r="I4137" s="9"/>
      <c r="J4137" s="9"/>
      <c r="K4137" s="9"/>
      <c r="L4137" s="9"/>
      <c r="M4137" s="9"/>
      <c r="N4137" s="9"/>
    </row>
    <row r="4138" spans="1:14">
      <c r="A4138" s="9"/>
      <c r="B4138" s="9"/>
      <c r="C4138" s="9"/>
      <c r="D4138" s="9"/>
      <c r="E4138" s="9"/>
      <c r="F4138" s="9"/>
      <c r="G4138" s="9"/>
      <c r="H4138" s="9"/>
      <c r="I4138" s="9"/>
      <c r="J4138" s="9"/>
      <c r="K4138" s="9"/>
      <c r="L4138" s="9"/>
      <c r="M4138" s="9"/>
      <c r="N4138" s="9"/>
    </row>
    <row r="4139" spans="1:14">
      <c r="A4139" s="9"/>
      <c r="B4139" s="9"/>
      <c r="C4139" s="9"/>
      <c r="D4139" s="9"/>
      <c r="E4139" s="9"/>
      <c r="F4139" s="9"/>
      <c r="G4139" s="9"/>
      <c r="H4139" s="9"/>
      <c r="I4139" s="9"/>
      <c r="J4139" s="9"/>
      <c r="K4139" s="9"/>
      <c r="L4139" s="9"/>
      <c r="M4139" s="9"/>
      <c r="N4139" s="9"/>
    </row>
    <row r="4140" spans="1:14">
      <c r="A4140" s="9"/>
      <c r="B4140" s="9"/>
      <c r="C4140" s="9"/>
      <c r="D4140" s="9"/>
      <c r="E4140" s="9"/>
      <c r="F4140" s="9"/>
      <c r="G4140" s="9"/>
      <c r="H4140" s="9"/>
      <c r="I4140" s="9"/>
      <c r="J4140" s="9"/>
      <c r="K4140" s="9"/>
      <c r="L4140" s="9"/>
      <c r="M4140" s="9"/>
      <c r="N4140" s="9"/>
    </row>
    <row r="4141" spans="1:14">
      <c r="A4141" s="9"/>
      <c r="B4141" s="9"/>
      <c r="C4141" s="9"/>
      <c r="D4141" s="9"/>
      <c r="E4141" s="9"/>
      <c r="F4141" s="9"/>
      <c r="G4141" s="9"/>
      <c r="H4141" s="9"/>
      <c r="I4141" s="9"/>
      <c r="J4141" s="9"/>
      <c r="K4141" s="9"/>
      <c r="L4141" s="9"/>
      <c r="M4141" s="9"/>
      <c r="N4141" s="9"/>
    </row>
    <row r="4142" spans="1:14">
      <c r="A4142" s="9"/>
      <c r="B4142" s="9"/>
      <c r="C4142" s="9"/>
      <c r="D4142" s="9"/>
      <c r="E4142" s="9"/>
      <c r="F4142" s="9"/>
      <c r="G4142" s="9"/>
      <c r="H4142" s="9"/>
      <c r="I4142" s="9"/>
      <c r="J4142" s="9"/>
      <c r="K4142" s="9"/>
      <c r="L4142" s="9"/>
      <c r="M4142" s="9"/>
      <c r="N4142" s="9"/>
    </row>
    <row r="4143" spans="1:14">
      <c r="A4143" s="9"/>
      <c r="B4143" s="9"/>
      <c r="C4143" s="9"/>
      <c r="D4143" s="9"/>
      <c r="E4143" s="9"/>
      <c r="F4143" s="9"/>
      <c r="G4143" s="9"/>
      <c r="H4143" s="9"/>
      <c r="I4143" s="9"/>
      <c r="J4143" s="9"/>
      <c r="K4143" s="9"/>
      <c r="L4143" s="9"/>
      <c r="M4143" s="9"/>
      <c r="N4143" s="9"/>
    </row>
    <row r="4144" spans="1:14">
      <c r="A4144" s="9"/>
      <c r="B4144" s="9"/>
      <c r="C4144" s="9"/>
      <c r="D4144" s="9"/>
      <c r="E4144" s="9"/>
      <c r="F4144" s="9"/>
      <c r="G4144" s="9"/>
      <c r="H4144" s="9"/>
      <c r="I4144" s="9"/>
      <c r="J4144" s="9"/>
      <c r="K4144" s="9"/>
      <c r="L4144" s="9"/>
      <c r="M4144" s="9"/>
      <c r="N4144" s="9"/>
    </row>
    <row r="4145" spans="1:14">
      <c r="A4145" s="9"/>
      <c r="B4145" s="9"/>
      <c r="C4145" s="9"/>
      <c r="D4145" s="9"/>
      <c r="E4145" s="9"/>
      <c r="F4145" s="9"/>
      <c r="G4145" s="9"/>
      <c r="H4145" s="9"/>
      <c r="I4145" s="9"/>
      <c r="J4145" s="9"/>
      <c r="K4145" s="9"/>
      <c r="L4145" s="9"/>
      <c r="M4145" s="9"/>
      <c r="N4145" s="9"/>
    </row>
    <row r="4146" spans="1:14">
      <c r="A4146" s="9"/>
      <c r="B4146" s="9"/>
      <c r="C4146" s="9"/>
      <c r="D4146" s="9"/>
      <c r="E4146" s="9"/>
      <c r="F4146" s="9"/>
      <c r="G4146" s="9"/>
      <c r="H4146" s="9"/>
      <c r="I4146" s="9"/>
      <c r="J4146" s="9"/>
      <c r="K4146" s="9"/>
      <c r="L4146" s="9"/>
      <c r="M4146" s="9"/>
      <c r="N4146" s="9"/>
    </row>
    <row r="4147" spans="1:14">
      <c r="A4147" s="9"/>
      <c r="B4147" s="9"/>
      <c r="C4147" s="9"/>
      <c r="D4147" s="9"/>
      <c r="E4147" s="9"/>
      <c r="F4147" s="9"/>
      <c r="G4147" s="9"/>
      <c r="H4147" s="9"/>
      <c r="I4147" s="9"/>
      <c r="J4147" s="9"/>
      <c r="K4147" s="9"/>
      <c r="L4147" s="9"/>
      <c r="M4147" s="9"/>
      <c r="N4147" s="9"/>
    </row>
    <row r="4148" spans="1:14">
      <c r="A4148" s="9"/>
      <c r="B4148" s="9"/>
      <c r="C4148" s="9"/>
      <c r="D4148" s="9"/>
      <c r="E4148" s="9"/>
      <c r="F4148" s="9"/>
      <c r="G4148" s="9"/>
      <c r="H4148" s="9"/>
      <c r="I4148" s="9"/>
      <c r="J4148" s="9"/>
      <c r="K4148" s="9"/>
      <c r="L4148" s="9"/>
      <c r="M4148" s="9"/>
      <c r="N4148" s="9"/>
    </row>
    <row r="4149" spans="1:14">
      <c r="A4149" s="9"/>
      <c r="B4149" s="9"/>
      <c r="C4149" s="9"/>
      <c r="D4149" s="9"/>
      <c r="E4149" s="9"/>
      <c r="F4149" s="9"/>
      <c r="G4149" s="9"/>
      <c r="H4149" s="9"/>
      <c r="I4149" s="9"/>
      <c r="J4149" s="9"/>
      <c r="K4149" s="9"/>
      <c r="L4149" s="9"/>
      <c r="M4149" s="9"/>
      <c r="N4149" s="9"/>
    </row>
    <row r="4150" spans="1:14">
      <c r="A4150" s="9"/>
      <c r="B4150" s="9"/>
      <c r="C4150" s="9"/>
      <c r="D4150" s="9"/>
      <c r="E4150" s="9"/>
      <c r="F4150" s="9"/>
      <c r="G4150" s="9"/>
      <c r="H4150" s="9"/>
      <c r="I4150" s="9"/>
      <c r="J4150" s="9"/>
      <c r="K4150" s="9"/>
      <c r="L4150" s="9"/>
      <c r="M4150" s="9"/>
      <c r="N4150" s="9"/>
    </row>
    <row r="4151" spans="1:14">
      <c r="A4151" s="9"/>
      <c r="B4151" s="9"/>
      <c r="C4151" s="9"/>
      <c r="D4151" s="9"/>
      <c r="E4151" s="9"/>
      <c r="F4151" s="9"/>
      <c r="G4151" s="9"/>
      <c r="H4151" s="9"/>
      <c r="I4151" s="9"/>
      <c r="J4151" s="9"/>
      <c r="K4151" s="9"/>
      <c r="L4151" s="9"/>
      <c r="M4151" s="9"/>
      <c r="N4151" s="9"/>
    </row>
    <row r="4152" spans="1:14">
      <c r="A4152" s="9"/>
      <c r="B4152" s="9"/>
      <c r="C4152" s="9"/>
      <c r="D4152" s="9"/>
      <c r="E4152" s="9"/>
      <c r="F4152" s="9"/>
      <c r="G4152" s="9"/>
      <c r="H4152" s="9"/>
      <c r="I4152" s="9"/>
      <c r="J4152" s="9"/>
      <c r="K4152" s="9"/>
      <c r="L4152" s="9"/>
      <c r="M4152" s="9"/>
      <c r="N4152" s="9"/>
    </row>
    <row r="4153" spans="1:14">
      <c r="A4153" s="9"/>
      <c r="B4153" s="9"/>
      <c r="C4153" s="9"/>
      <c r="D4153" s="9"/>
      <c r="E4153" s="9"/>
      <c r="F4153" s="9"/>
      <c r="G4153" s="9"/>
      <c r="H4153" s="9"/>
      <c r="I4153" s="9"/>
      <c r="J4153" s="9"/>
      <c r="K4153" s="9"/>
      <c r="L4153" s="9"/>
      <c r="M4153" s="9"/>
      <c r="N4153" s="9"/>
    </row>
    <row r="4154" spans="1:14">
      <c r="A4154" s="9"/>
      <c r="B4154" s="9"/>
      <c r="C4154" s="9"/>
      <c r="D4154" s="9"/>
      <c r="E4154" s="9"/>
      <c r="F4154" s="9"/>
      <c r="G4154" s="9"/>
      <c r="H4154" s="9"/>
      <c r="I4154" s="9"/>
      <c r="J4154" s="9"/>
      <c r="K4154" s="9"/>
      <c r="L4154" s="9"/>
      <c r="M4154" s="9"/>
      <c r="N4154" s="9"/>
    </row>
    <row r="4155" spans="1:14">
      <c r="A4155" s="9"/>
      <c r="B4155" s="9"/>
      <c r="C4155" s="9"/>
      <c r="D4155" s="9"/>
      <c r="E4155" s="9"/>
      <c r="F4155" s="9"/>
      <c r="G4155" s="9"/>
      <c r="H4155" s="9"/>
      <c r="I4155" s="9"/>
      <c r="J4155" s="9"/>
      <c r="K4155" s="9"/>
      <c r="L4155" s="9"/>
      <c r="M4155" s="9"/>
      <c r="N4155" s="9"/>
    </row>
    <row r="4156" spans="1:14">
      <c r="A4156" s="9"/>
      <c r="B4156" s="9"/>
      <c r="C4156" s="9"/>
      <c r="D4156" s="9"/>
      <c r="E4156" s="9"/>
      <c r="F4156" s="9"/>
      <c r="G4156" s="9"/>
      <c r="H4156" s="9"/>
      <c r="I4156" s="9"/>
      <c r="J4156" s="9"/>
      <c r="K4156" s="9"/>
      <c r="L4156" s="9"/>
      <c r="M4156" s="9"/>
      <c r="N4156" s="9"/>
    </row>
    <row r="4157" spans="1:14">
      <c r="A4157" s="9"/>
      <c r="B4157" s="9"/>
      <c r="C4157" s="9"/>
      <c r="D4157" s="9"/>
      <c r="E4157" s="9"/>
      <c r="F4157" s="9"/>
      <c r="G4157" s="9"/>
      <c r="H4157" s="9"/>
      <c r="I4157" s="9"/>
      <c r="J4157" s="9"/>
      <c r="K4157" s="9"/>
      <c r="L4157" s="9"/>
      <c r="M4157" s="9"/>
      <c r="N4157" s="9"/>
    </row>
    <row r="4158" spans="1:14">
      <c r="A4158" s="9"/>
      <c r="B4158" s="9"/>
      <c r="C4158" s="9"/>
      <c r="D4158" s="9"/>
      <c r="E4158" s="9"/>
      <c r="F4158" s="9"/>
      <c r="G4158" s="9"/>
      <c r="H4158" s="9"/>
      <c r="I4158" s="9"/>
      <c r="J4158" s="9"/>
      <c r="K4158" s="9"/>
      <c r="L4158" s="9"/>
      <c r="M4158" s="9"/>
      <c r="N4158" s="9"/>
    </row>
    <row r="4159" spans="1:14">
      <c r="A4159" s="9"/>
      <c r="B4159" s="9"/>
      <c r="C4159" s="9"/>
      <c r="D4159" s="9"/>
      <c r="E4159" s="9"/>
      <c r="F4159" s="9"/>
      <c r="G4159" s="9"/>
      <c r="H4159" s="9"/>
      <c r="I4159" s="9"/>
      <c r="J4159" s="9"/>
      <c r="K4159" s="9"/>
      <c r="L4159" s="9"/>
      <c r="M4159" s="9"/>
      <c r="N4159" s="9"/>
    </row>
    <row r="4160" spans="1:14">
      <c r="A4160" s="9"/>
      <c r="B4160" s="9"/>
      <c r="C4160" s="9"/>
      <c r="D4160" s="9"/>
      <c r="E4160" s="9"/>
      <c r="F4160" s="9"/>
      <c r="G4160" s="9"/>
      <c r="H4160" s="9"/>
      <c r="I4160" s="9"/>
      <c r="J4160" s="9"/>
      <c r="K4160" s="9"/>
      <c r="L4160" s="9"/>
      <c r="M4160" s="9"/>
      <c r="N4160" s="9"/>
    </row>
    <row r="4161" spans="1:14">
      <c r="A4161" s="9"/>
      <c r="B4161" s="9"/>
      <c r="C4161" s="9"/>
      <c r="D4161" s="9"/>
      <c r="E4161" s="9"/>
      <c r="F4161" s="9"/>
      <c r="G4161" s="9"/>
      <c r="H4161" s="9"/>
      <c r="I4161" s="9"/>
      <c r="J4161" s="9"/>
      <c r="K4161" s="9"/>
      <c r="L4161" s="9"/>
      <c r="M4161" s="9"/>
      <c r="N4161" s="9"/>
    </row>
    <row r="4162" spans="1:14">
      <c r="A4162" s="9"/>
      <c r="B4162" s="9"/>
      <c r="C4162" s="9"/>
      <c r="D4162" s="9"/>
      <c r="E4162" s="9"/>
      <c r="F4162" s="9"/>
      <c r="G4162" s="9"/>
      <c r="H4162" s="9"/>
      <c r="I4162" s="9"/>
      <c r="J4162" s="9"/>
      <c r="K4162" s="9"/>
      <c r="L4162" s="9"/>
      <c r="M4162" s="9"/>
      <c r="N4162" s="9"/>
    </row>
  </sheetData>
  <autoFilter ref="A1:O3163"/>
  <conditionalFormatting sqref="A1:N1">
    <cfRule type="cellIs" dxfId="7" priority="15" operator="notEqual">
      <formula>-13.345</formula>
    </cfRule>
  </conditionalFormatting>
  <conditionalFormatting sqref="A2:A3163">
    <cfRule type="cellIs" dxfId="0" priority="1" operator="notEqual">
      <formula>"None"</formula>
    </cfRule>
  </conditionalFormatting>
  <conditionalFormatting sqref="B2:B3163">
    <cfRule type="cellIs" dxfId="1" priority="2" operator="notEqual">
      <formula>"None"</formula>
    </cfRule>
  </conditionalFormatting>
  <conditionalFormatting sqref="C2:C3163">
    <cfRule type="cellIs" dxfId="0" priority="3" operator="notEqual">
      <formula>"None"</formula>
    </cfRule>
  </conditionalFormatting>
  <conditionalFormatting sqref="D2:D3163">
    <cfRule type="cellIs" dxfId="2" priority="4" operator="notEqual">
      <formula>"None"</formula>
    </cfRule>
  </conditionalFormatting>
  <conditionalFormatting sqref="E2:E3163">
    <cfRule type="cellIs" dxfId="3" priority="5" operator="notEqual">
      <formula>"None"</formula>
    </cfRule>
  </conditionalFormatting>
  <conditionalFormatting sqref="F2:F3163">
    <cfRule type="cellIs" dxfId="3" priority="6" operator="notEqual">
      <formula>"None"</formula>
    </cfRule>
  </conditionalFormatting>
  <conditionalFormatting sqref="G2:G3163">
    <cfRule type="cellIs" dxfId="3" priority="7" operator="notEqual">
      <formula>"None"</formula>
    </cfRule>
  </conditionalFormatting>
  <conditionalFormatting sqref="H2:H3163">
    <cfRule type="cellIs" dxfId="2" priority="8" operator="notEqual">
      <formula>"None"</formula>
    </cfRule>
  </conditionalFormatting>
  <conditionalFormatting sqref="I2:I3163">
    <cfRule type="cellIs" dxfId="4" priority="9" operator="notEqual">
      <formula>"None"</formula>
    </cfRule>
  </conditionalFormatting>
  <conditionalFormatting sqref="J2:J3163">
    <cfRule type="cellIs" dxfId="5" priority="10" operator="notEqual">
      <formula>"None"</formula>
    </cfRule>
  </conditionalFormatting>
  <conditionalFormatting sqref="K2:K3163">
    <cfRule type="cellIs" dxfId="3" priority="11" operator="notEqual">
      <formula>"None"</formula>
    </cfRule>
  </conditionalFormatting>
  <conditionalFormatting sqref="L2:L3163">
    <cfRule type="cellIs" dxfId="6" priority="12" operator="notEqual">
      <formula>"None"</formula>
    </cfRule>
  </conditionalFormatting>
  <conditionalFormatting sqref="M2:M3163">
    <cfRule type="cellIs" dxfId="2" priority="13" operator="notEqual">
      <formula>"None"</formula>
    </cfRule>
  </conditionalFormatting>
  <conditionalFormatting sqref="N2:N3163">
    <cfRule type="cellIs" dxfId="2" priority="14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16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  <col min="9" max="9" width="25.7109375" customWidth="1"/>
  </cols>
  <sheetData>
    <row r="1" spans="1:9">
      <c r="A1" s="8" t="s">
        <v>13</v>
      </c>
      <c r="B1" s="8" t="s">
        <v>0</v>
      </c>
      <c r="C1" s="8" t="s">
        <v>3188</v>
      </c>
      <c r="D1" s="8" t="s">
        <v>3189</v>
      </c>
      <c r="E1" s="8" t="s">
        <v>3190</v>
      </c>
      <c r="F1" s="8" t="s">
        <v>3191</v>
      </c>
      <c r="G1" s="8" t="s">
        <v>3192</v>
      </c>
      <c r="H1" s="8" t="s">
        <v>3193</v>
      </c>
      <c r="I1" s="8" t="s">
        <v>3194</v>
      </c>
    </row>
    <row r="2" spans="1:9">
      <c r="A2" s="8" t="s">
        <v>14</v>
      </c>
      <c r="B2">
        <f>HYPERLINK("https://www.suredividend.com/sure-analysis-research-database/","Agilent Technologies Inc.")</f>
        <v>0</v>
      </c>
      <c r="C2">
        <v>-0.058681956537127</v>
      </c>
      <c r="D2">
        <v>-0.107922703628818</v>
      </c>
      <c r="E2">
        <v>0.036845519529934</v>
      </c>
      <c r="F2">
        <v>-0.041961896048038</v>
      </c>
      <c r="G2">
        <v>0.148860254255957</v>
      </c>
      <c r="H2">
        <v>0.04604221926454501</v>
      </c>
      <c r="I2">
        <v>0.9816616571269331</v>
      </c>
    </row>
    <row r="3" spans="1:9">
      <c r="A3" s="8" t="s">
        <v>15</v>
      </c>
      <c r="B3">
        <f>HYPERLINK("https://www.suredividend.com/sure-analysis-research-database/","Alcoa Corp")</f>
        <v>0</v>
      </c>
      <c r="C3">
        <v>0.09154751073270501</v>
      </c>
      <c r="D3">
        <v>0.372933970970718</v>
      </c>
      <c r="E3">
        <v>0.6502888308000121</v>
      </c>
      <c r="F3">
        <v>0.21053410267791</v>
      </c>
      <c r="G3">
        <v>0.172733865951158</v>
      </c>
      <c r="H3">
        <v>-0.361336089272444</v>
      </c>
      <c r="I3">
        <v>0.9612261138863051</v>
      </c>
    </row>
    <row r="4" spans="1:9">
      <c r="A4" s="8" t="s">
        <v>16</v>
      </c>
      <c r="B4">
        <f>HYPERLINK("https://www.suredividend.com/sure-analysis-research-database/","Ares Acquisition Corporation")</f>
        <v>0</v>
      </c>
      <c r="C4">
        <v>0.002788104089219</v>
      </c>
      <c r="D4">
        <v>0.014097744360902</v>
      </c>
      <c r="E4">
        <v>0.039499036608863</v>
      </c>
      <c r="F4">
        <v>0.07149950347567001</v>
      </c>
      <c r="G4">
        <v>0.08116232464929801</v>
      </c>
      <c r="H4">
        <v>0.09877800407331901</v>
      </c>
      <c r="I4">
        <v>0.09321175278622</v>
      </c>
    </row>
    <row r="5" spans="1:9">
      <c r="A5" s="8" t="s">
        <v>17</v>
      </c>
      <c r="B5">
        <f>HYPERLINK("https://www.suredividend.com/sure-analysis-research-database/","American Airlines Group Inc")</f>
        <v>0</v>
      </c>
      <c r="C5">
        <v>-0.19298245614035</v>
      </c>
      <c r="D5">
        <v>-0.228187919463087</v>
      </c>
      <c r="E5">
        <v>-0.173256649892163</v>
      </c>
      <c r="F5">
        <v>-0.163027656477438</v>
      </c>
      <c r="G5">
        <v>-0.241424802110818</v>
      </c>
      <c r="H5">
        <v>-0.310964649490713</v>
      </c>
      <c r="I5">
        <v>-0.6241707245334811</v>
      </c>
    </row>
    <row r="6" spans="1:9">
      <c r="A6" s="8" t="s">
        <v>18</v>
      </c>
      <c r="B6">
        <f>HYPERLINK("https://www.suredividend.com/sure-analysis-research-database/","Atlantic American Corp.")</f>
        <v>0</v>
      </c>
      <c r="C6">
        <v>0.011363636363636</v>
      </c>
      <c r="D6">
        <v>-0.353197674418604</v>
      </c>
      <c r="E6">
        <v>-0.05675374913889</v>
      </c>
      <c r="F6">
        <v>-0.260828038702711</v>
      </c>
      <c r="G6">
        <v>-0.147346234910902</v>
      </c>
      <c r="H6">
        <v>-0.369107535266179</v>
      </c>
      <c r="I6">
        <v>-0.237393427873698</v>
      </c>
    </row>
    <row r="7" spans="1:9">
      <c r="A7" s="8" t="s">
        <v>19</v>
      </c>
      <c r="B7">
        <f>HYPERLINK("https://www.suredividend.com/sure-analysis-research-database/","Aarons Company Inc (The)")</f>
        <v>0</v>
      </c>
      <c r="C7">
        <v>0.101648351648351</v>
      </c>
      <c r="D7">
        <v>0.137362793204186</v>
      </c>
      <c r="E7">
        <v>-0.209828861936806</v>
      </c>
      <c r="F7">
        <v>-0.24942911690937</v>
      </c>
      <c r="G7">
        <v>-0.422934400161175</v>
      </c>
      <c r="H7">
        <v>-0.545547269883723</v>
      </c>
      <c r="I7">
        <v>-0.697358490566037</v>
      </c>
    </row>
    <row r="8" spans="1:9">
      <c r="A8" s="8" t="s">
        <v>20</v>
      </c>
      <c r="B8">
        <f>HYPERLINK("https://www.suredividend.com/sure-analysis-research-database/","Applied Optoelectronics Inc")</f>
        <v>0</v>
      </c>
      <c r="C8">
        <v>-0.095197255574614</v>
      </c>
      <c r="D8">
        <v>-0.289083557951482</v>
      </c>
      <c r="E8">
        <v>-0.402604756511891</v>
      </c>
      <c r="F8">
        <v>-0.453933747412008</v>
      </c>
      <c r="G8">
        <v>2.878676470588235</v>
      </c>
      <c r="H8">
        <v>3.606986899563319</v>
      </c>
      <c r="I8">
        <v>0.110526315789473</v>
      </c>
    </row>
    <row r="9" spans="1:9">
      <c r="A9" s="8" t="s">
        <v>21</v>
      </c>
      <c r="B9">
        <f>HYPERLINK("https://www.suredividend.com/sure-analysis-research-database/","AAON Inc.")</f>
        <v>0</v>
      </c>
      <c r="C9">
        <v>-0.080430111922091</v>
      </c>
      <c r="D9">
        <v>-0.109706780771942</v>
      </c>
      <c r="E9">
        <v>0.107167134714818</v>
      </c>
      <c r="F9">
        <v>-0.022329298070733</v>
      </c>
      <c r="G9">
        <v>0.14047719758502</v>
      </c>
      <c r="H9">
        <v>0.9744492715464281</v>
      </c>
      <c r="I9">
        <v>1.282787924911212</v>
      </c>
    </row>
    <row r="10" spans="1:9">
      <c r="A10" s="8" t="s">
        <v>22</v>
      </c>
      <c r="B10">
        <f>HYPERLINK("https://www.suredividend.com/sure-analysis-research-database/","Advance Auto Parts Inc")</f>
        <v>0</v>
      </c>
      <c r="C10">
        <v>-0.133270701919205</v>
      </c>
      <c r="D10">
        <v>-0.120687002424986</v>
      </c>
      <c r="E10">
        <v>0.156524838063241</v>
      </c>
      <c r="F10">
        <v>0.06594217370995001</v>
      </c>
      <c r="G10">
        <v>0.000993553527115</v>
      </c>
      <c r="H10">
        <v>-0.634337197951654</v>
      </c>
      <c r="I10">
        <v>-0.545284598469683</v>
      </c>
    </row>
    <row r="11" spans="1:9">
      <c r="A11" s="8" t="s">
        <v>23</v>
      </c>
      <c r="B11">
        <f>HYPERLINK("https://www.suredividend.com/sure-analysis-AAPL/","Apple Inc")</f>
        <v>0</v>
      </c>
      <c r="C11">
        <v>0.082370429171501</v>
      </c>
      <c r="D11">
        <v>0.168191305936896</v>
      </c>
      <c r="E11">
        <v>0.018832014580024</v>
      </c>
      <c r="F11">
        <v>0.028039383896921</v>
      </c>
      <c r="G11">
        <v>0.119033342521732</v>
      </c>
      <c r="H11">
        <v>0.347773288774922</v>
      </c>
      <c r="I11">
        <v>3.319799905657272</v>
      </c>
    </row>
    <row r="12" spans="1:9">
      <c r="A12" s="8" t="s">
        <v>24</v>
      </c>
      <c r="B12">
        <f>HYPERLINK("https://www.suredividend.com/sure-analysis-AAT/","American Assets Trust Inc")</f>
        <v>0</v>
      </c>
      <c r="C12">
        <v>-0.012995634315113</v>
      </c>
      <c r="D12">
        <v>0.036894257126529</v>
      </c>
      <c r="E12">
        <v>0.028199857848127</v>
      </c>
      <c r="F12">
        <v>-0.018848556227172</v>
      </c>
      <c r="G12">
        <v>0.118430331872391</v>
      </c>
      <c r="H12">
        <v>-0.262146495454326</v>
      </c>
      <c r="I12">
        <v>-0.429404459226804</v>
      </c>
    </row>
    <row r="13" spans="1:9">
      <c r="A13" s="8" t="s">
        <v>25</v>
      </c>
      <c r="B13">
        <f>HYPERLINK("https://www.suredividend.com/sure-analysis-research-database/","Atlas Air Worldwide Holdings Inc.")</f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 s="8" t="s">
        <v>26</v>
      </c>
      <c r="B14">
        <f>HYPERLINK("https://www.suredividend.com/sure-analysis-ABBV/","Abbvie Inc")</f>
        <v>0</v>
      </c>
      <c r="C14">
        <v>0.042263918794217</v>
      </c>
      <c r="D14">
        <v>-0.052986792010924</v>
      </c>
      <c r="E14">
        <v>0.166695933917989</v>
      </c>
      <c r="F14">
        <v>0.113996229692845</v>
      </c>
      <c r="G14">
        <v>0.291553141823847</v>
      </c>
      <c r="H14">
        <v>0.227940094614154</v>
      </c>
      <c r="I14">
        <v>1.745537812320726</v>
      </c>
    </row>
    <row r="15" spans="1:9">
      <c r="A15" s="8" t="s">
        <v>27</v>
      </c>
      <c r="B15">
        <f>HYPERLINK("https://www.suredividend.com/sure-analysis-research-database/","Ameris Bancorp")</f>
        <v>0</v>
      </c>
      <c r="C15">
        <v>-0.038787878787878</v>
      </c>
      <c r="D15">
        <v>0.00667733008353</v>
      </c>
      <c r="E15">
        <v>0.028977013458015</v>
      </c>
      <c r="F15">
        <v>-0.097311285316415</v>
      </c>
      <c r="G15">
        <v>0.332690982628521</v>
      </c>
      <c r="H15">
        <v>0.08067593349686501</v>
      </c>
      <c r="I15">
        <v>0.426532668137772</v>
      </c>
    </row>
    <row r="16" spans="1:9">
      <c r="A16" s="8" t="s">
        <v>28</v>
      </c>
      <c r="B16">
        <f>HYPERLINK("https://www.suredividend.com/sure-analysis-research-database/","Abeona Therapeutics Inc")</f>
        <v>0</v>
      </c>
      <c r="C16">
        <v>-0.06359649122807</v>
      </c>
      <c r="D16">
        <v>-0.482424242424242</v>
      </c>
      <c r="E16">
        <v>-0.101052631578947</v>
      </c>
      <c r="F16">
        <v>-0.147704590818363</v>
      </c>
      <c r="G16">
        <v>0.06749999999999901</v>
      </c>
      <c r="H16">
        <v>26.24952137843012</v>
      </c>
      <c r="I16">
        <v>-0.194339622641509</v>
      </c>
    </row>
    <row r="17" spans="1:9">
      <c r="A17" s="8" t="s">
        <v>29</v>
      </c>
      <c r="B17">
        <f>HYPERLINK("https://www.suredividend.com/sure-analysis-research-database/","Asbury Automotive Group Inc")</f>
        <v>0</v>
      </c>
      <c r="C17">
        <v>0.06803465572275401</v>
      </c>
      <c r="D17">
        <v>0.114537235308113</v>
      </c>
      <c r="E17">
        <v>0.08530651962374301</v>
      </c>
      <c r="F17">
        <v>0.041116593323554</v>
      </c>
      <c r="G17">
        <v>0.017905258583224</v>
      </c>
      <c r="H17">
        <v>0.253384705945309</v>
      </c>
      <c r="I17">
        <v>2.004746632456703</v>
      </c>
    </row>
    <row r="18" spans="1:9">
      <c r="A18" s="8" t="s">
        <v>30</v>
      </c>
      <c r="B18">
        <f>HYPERLINK("https://www.suredividend.com/sure-analysis-research-database/","ARCA biopharma Inc")</f>
        <v>0</v>
      </c>
      <c r="C18">
        <v>-0.003039513677811</v>
      </c>
      <c r="D18">
        <v>1.012269938650307</v>
      </c>
      <c r="E18">
        <v>0.7990346643264591</v>
      </c>
      <c r="F18">
        <v>0.929411764705882</v>
      </c>
      <c r="G18">
        <v>0.561904761904761</v>
      </c>
      <c r="H18">
        <v>0.389830508474576</v>
      </c>
      <c r="I18">
        <v>-0.5506849315068491</v>
      </c>
    </row>
    <row r="19" spans="1:9">
      <c r="A19" s="8" t="s">
        <v>31</v>
      </c>
      <c r="B19">
        <f>HYPERLINK("https://www.suredividend.com/sure-analysis-ABM/","ABM Industries Inc.")</f>
        <v>0</v>
      </c>
      <c r="C19">
        <v>0.151186440677966</v>
      </c>
      <c r="D19">
        <v>0.18104485605581</v>
      </c>
      <c r="E19">
        <v>0.180234888521787</v>
      </c>
      <c r="F19">
        <v>0.1478531270773</v>
      </c>
      <c r="G19">
        <v>0.08029469523134901</v>
      </c>
      <c r="H19">
        <v>0.058176877983522</v>
      </c>
      <c r="I19">
        <v>0.427802630251253</v>
      </c>
    </row>
    <row r="20" spans="1:9">
      <c r="A20" s="8" t="s">
        <v>32</v>
      </c>
      <c r="B20">
        <f>HYPERLINK("https://www.suredividend.com/sure-analysis-research-database/","Abiomed Inc.")</f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>
      <c r="A21" s="8" t="s">
        <v>33</v>
      </c>
      <c r="B21">
        <f>HYPERLINK("https://www.suredividend.com/sure-analysis-ABR/","Arbor Realty Trust Inc.")</f>
        <v>0</v>
      </c>
      <c r="C21">
        <v>0.034770429445035</v>
      </c>
      <c r="D21">
        <v>0.07885539188304901</v>
      </c>
      <c r="E21">
        <v>0.054964262305315</v>
      </c>
      <c r="F21">
        <v>-0.05205959684487201</v>
      </c>
      <c r="G21">
        <v>0.074457009798857</v>
      </c>
      <c r="H21">
        <v>0.08438469990936701</v>
      </c>
      <c r="I21">
        <v>0.840657844578772</v>
      </c>
    </row>
    <row r="22" spans="1:9">
      <c r="A22" s="8" t="s">
        <v>34</v>
      </c>
      <c r="B22">
        <f>HYPERLINK("https://www.suredividend.com/sure-analysis-ABT/","Abbott Laboratories")</f>
        <v>0</v>
      </c>
      <c r="C22">
        <v>0.013280587736648</v>
      </c>
      <c r="D22">
        <v>-0.105908830625489</v>
      </c>
      <c r="E22">
        <v>0.044073731520292</v>
      </c>
      <c r="F22">
        <v>-0.01302933389113</v>
      </c>
      <c r="G22">
        <v>0.079687956330747</v>
      </c>
      <c r="H22">
        <v>-0.043234114155563</v>
      </c>
      <c r="I22">
        <v>0.4505396714105611</v>
      </c>
    </row>
    <row r="23" spans="1:9">
      <c r="A23" s="8" t="s">
        <v>35</v>
      </c>
      <c r="B23">
        <f>HYPERLINK("https://www.suredividend.com/sure-analysis-research-database/","Allegiance Bancshares Inc")</f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 s="8" t="s">
        <v>36</v>
      </c>
      <c r="B24">
        <f>HYPERLINK("https://www.suredividend.com/sure-analysis-research-database/","Associated Capital Group Inc")</f>
        <v>0</v>
      </c>
      <c r="C24">
        <v>0.06567071272953601</v>
      </c>
      <c r="D24">
        <v>0.02026221692491</v>
      </c>
      <c r="E24">
        <v>0.019047619047618</v>
      </c>
      <c r="F24">
        <v>-0.041164939792775</v>
      </c>
      <c r="G24">
        <v>-0.04917941740023801</v>
      </c>
      <c r="H24">
        <v>-0.138297684930024</v>
      </c>
      <c r="I24">
        <v>-0.06943878244326601</v>
      </c>
    </row>
    <row r="25" spans="1:9">
      <c r="A25" s="8" t="s">
        <v>37</v>
      </c>
      <c r="B25">
        <f>HYPERLINK("https://www.suredividend.com/sure-analysis-research-database/","Arcosa Inc")</f>
        <v>0</v>
      </c>
      <c r="C25">
        <v>-0.04803642572566801</v>
      </c>
      <c r="D25">
        <v>-0.02367326734985</v>
      </c>
      <c r="E25">
        <v>0.079743226912629</v>
      </c>
      <c r="F25">
        <v>0.0132388629141</v>
      </c>
      <c r="G25">
        <v>0.139539415146349</v>
      </c>
      <c r="H25">
        <v>0.546675839824822</v>
      </c>
      <c r="I25">
        <v>1.223415653505541</v>
      </c>
    </row>
    <row r="26" spans="1:9">
      <c r="A26" s="8" t="s">
        <v>38</v>
      </c>
      <c r="B26">
        <f>HYPERLINK("https://www.suredividend.com/sure-analysis-research-database/","Acadia Pharmaceuticals Inc")</f>
        <v>0</v>
      </c>
      <c r="C26">
        <v>-0.136811594202898</v>
      </c>
      <c r="D26">
        <v>-0.3669217687074821</v>
      </c>
      <c r="E26">
        <v>-0.316659017898118</v>
      </c>
      <c r="F26">
        <v>-0.524433088470137</v>
      </c>
      <c r="G26">
        <v>-0.395452699959399</v>
      </c>
      <c r="H26">
        <v>-0.185002736726874</v>
      </c>
      <c r="I26">
        <v>-0.42376160990712</v>
      </c>
    </row>
    <row r="27" spans="1:9">
      <c r="A27" s="8" t="s">
        <v>39</v>
      </c>
      <c r="B27">
        <f>HYPERLINK("https://www.suredividend.com/sure-analysis-research-database/","Atlantic Capital Bancshares Inc")</f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>
      <c r="A28" s="8" t="s">
        <v>40</v>
      </c>
      <c r="B28">
        <f>HYPERLINK("https://www.suredividend.com/sure-analysis-research-database/","American Campus Communities Inc.")</f>
        <v>0</v>
      </c>
      <c r="C28">
        <v>0.007857032814666001</v>
      </c>
      <c r="D28">
        <v>0.016154085119602</v>
      </c>
      <c r="E28">
        <v>0.255180353031466</v>
      </c>
      <c r="F28">
        <v>0.152219016721442</v>
      </c>
      <c r="G28">
        <v>0.3726596907633971</v>
      </c>
      <c r="H28">
        <v>0.9934182460844661</v>
      </c>
      <c r="I28">
        <v>0.706730392949758</v>
      </c>
    </row>
    <row r="29" spans="1:9">
      <c r="A29" s="8" t="s">
        <v>41</v>
      </c>
      <c r="B29">
        <f>HYPERLINK("https://www.suredividend.com/sure-analysis-research-database/","Acco Brands Corporation")</f>
        <v>0</v>
      </c>
      <c r="C29">
        <v>0.025132275132275</v>
      </c>
      <c r="D29">
        <v>-0.058269570335491</v>
      </c>
      <c r="E29">
        <v>-0.06515634129332601</v>
      </c>
      <c r="F29">
        <v>-0.160488812159371</v>
      </c>
      <c r="G29">
        <v>-0.025808225635385</v>
      </c>
      <c r="H29">
        <v>-0.251919219341508</v>
      </c>
      <c r="I29">
        <v>-0.197242138313884</v>
      </c>
    </row>
    <row r="30" spans="1:9">
      <c r="A30" s="8" t="s">
        <v>42</v>
      </c>
      <c r="B30">
        <f>HYPERLINK("https://www.suredividend.com/sure-analysis-research-database/","Acer Therapeutics Inc")</f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>
      <c r="A31" s="8" t="s">
        <v>43</v>
      </c>
      <c r="B31">
        <f>HYPERLINK("https://www.suredividend.com/sure-analysis-research-database/","Arch Capital Group Ltd")</f>
        <v>0</v>
      </c>
      <c r="C31">
        <v>0.024030139496996</v>
      </c>
      <c r="D31">
        <v>0.146881058273463</v>
      </c>
      <c r="E31">
        <v>0.283763083992851</v>
      </c>
      <c r="F31">
        <v>0.35411337013599</v>
      </c>
      <c r="G31">
        <v>0.411508771929824</v>
      </c>
      <c r="H31">
        <v>1.120835090679038</v>
      </c>
      <c r="I31">
        <v>1.821829405162738</v>
      </c>
    </row>
    <row r="32" spans="1:9">
      <c r="A32" s="8" t="s">
        <v>44</v>
      </c>
      <c r="B32">
        <f>HYPERLINK("https://www.suredividend.com/sure-analysis-research-database/","Acadia Healthcare Company Inc")</f>
        <v>0</v>
      </c>
      <c r="C32">
        <v>0.029512086608334</v>
      </c>
      <c r="D32">
        <v>-0.170212765957446</v>
      </c>
      <c r="E32">
        <v>-0.035565434843012</v>
      </c>
      <c r="F32">
        <v>-0.107253086419753</v>
      </c>
      <c r="G32">
        <v>0.011363636363636</v>
      </c>
      <c r="H32">
        <v>-0.024177677818386</v>
      </c>
      <c r="I32">
        <v>1.047183721616043</v>
      </c>
    </row>
    <row r="33" spans="1:9">
      <c r="A33" s="8" t="s">
        <v>45</v>
      </c>
      <c r="B33">
        <f>HYPERLINK("https://www.suredividend.com/sure-analysis-research-database/","Achison Inc")</f>
        <v>0</v>
      </c>
      <c r="C33">
        <v>-0.216633663366336</v>
      </c>
      <c r="D33">
        <v>0.014098948987439</v>
      </c>
      <c r="E33">
        <v>2.516444444444444</v>
      </c>
      <c r="F33">
        <v>2.956</v>
      </c>
      <c r="G33">
        <v>2.87843137254902</v>
      </c>
      <c r="H33">
        <v>0.5513725490196071</v>
      </c>
      <c r="I33">
        <v>0.5513725490196071</v>
      </c>
    </row>
    <row r="34" spans="1:9">
      <c r="A34" s="8" t="s">
        <v>46</v>
      </c>
      <c r="B34">
        <f>HYPERLINK("https://www.suredividend.com/sure-analysis-research-database/","Achieve Life Sciences Inc.")</f>
        <v>0</v>
      </c>
      <c r="C34">
        <v>0.124735729386892</v>
      </c>
      <c r="D34">
        <v>0.214611872146118</v>
      </c>
      <c r="E34">
        <v>-0.04316546762589901</v>
      </c>
      <c r="F34">
        <v>0.29126213592233</v>
      </c>
      <c r="G34">
        <v>-0.113333333333333</v>
      </c>
      <c r="H34">
        <v>-0.195158850226928</v>
      </c>
      <c r="I34">
        <v>-0.9273224043715841</v>
      </c>
    </row>
    <row r="35" spans="1:9">
      <c r="A35" s="8" t="s">
        <v>47</v>
      </c>
      <c r="B35">
        <f>HYPERLINK("https://www.suredividend.com/sure-analysis-research-database/","Acacia Communications Inc")</f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>
      <c r="A36" s="8" t="s">
        <v>48</v>
      </c>
      <c r="B36">
        <f>HYPERLINK("https://www.suredividend.com/sure-analysis-research-database/","ACI Worldwide Inc")</f>
        <v>0</v>
      </c>
      <c r="C36">
        <v>-0.027034559643255</v>
      </c>
      <c r="D36">
        <v>0.107902253252935</v>
      </c>
      <c r="E36">
        <v>0.272694130514035</v>
      </c>
      <c r="F36">
        <v>0.140849673202614</v>
      </c>
      <c r="G36">
        <v>0.446147473073736</v>
      </c>
      <c r="H36">
        <v>0.230091613812543</v>
      </c>
      <c r="I36">
        <v>0.079468150896722</v>
      </c>
    </row>
    <row r="37" spans="1:9">
      <c r="A37" s="8" t="s">
        <v>49</v>
      </c>
      <c r="B37">
        <f>HYPERLINK("https://www.suredividend.com/sure-analysis-research-database/","Axcelis Technologies Inc")</f>
        <v>0</v>
      </c>
      <c r="C37">
        <v>0.123034061292351</v>
      </c>
      <c r="D37">
        <v>0.05335918401753301</v>
      </c>
      <c r="E37">
        <v>0.018834080717488</v>
      </c>
      <c r="F37">
        <v>-0.036471586089906</v>
      </c>
      <c r="G37">
        <v>-0.267096774193548</v>
      </c>
      <c r="H37">
        <v>0.9635449402891261</v>
      </c>
      <c r="I37">
        <v>7.314038589487691</v>
      </c>
    </row>
    <row r="38" spans="1:9">
      <c r="A38" s="8" t="s">
        <v>50</v>
      </c>
      <c r="B38">
        <f>HYPERLINK("https://www.suredividend.com/sure-analysis-research-database/","AECOM")</f>
        <v>0</v>
      </c>
      <c r="C38">
        <v>-0.07880609834657501</v>
      </c>
      <c r="D38">
        <v>-0.05083035749844</v>
      </c>
      <c r="E38">
        <v>-0.057799291482637</v>
      </c>
      <c r="F38">
        <v>-0.067279783452369</v>
      </c>
      <c r="G38">
        <v>0.04210568506303</v>
      </c>
      <c r="H38">
        <v>0.212095526689411</v>
      </c>
      <c r="I38">
        <v>1.619855327802527</v>
      </c>
    </row>
    <row r="39" spans="1:9">
      <c r="A39" s="8" t="s">
        <v>51</v>
      </c>
      <c r="B39">
        <f>HYPERLINK("https://www.suredividend.com/sure-analysis-research-database/","ACM Research Inc")</f>
        <v>0</v>
      </c>
      <c r="C39">
        <v>-0.180021953896816</v>
      </c>
      <c r="D39">
        <v>-0.262828947368421</v>
      </c>
      <c r="E39">
        <v>0.390198511166252</v>
      </c>
      <c r="F39">
        <v>0.146878198567041</v>
      </c>
      <c r="G39">
        <v>1.055963302752293</v>
      </c>
      <c r="H39">
        <v>0.4841059602649</v>
      </c>
      <c r="I39">
        <v>2.641948222904783</v>
      </c>
    </row>
    <row r="40" spans="1:9">
      <c r="A40" s="8" t="s">
        <v>52</v>
      </c>
      <c r="B40">
        <f>HYPERLINK("https://www.suredividend.com/sure-analysis-ACN/","Accenture plc")</f>
        <v>0</v>
      </c>
      <c r="C40">
        <v>-0.07165389815232101</v>
      </c>
      <c r="D40">
        <v>-0.25172092511579</v>
      </c>
      <c r="E40">
        <v>-0.132874113405874</v>
      </c>
      <c r="F40">
        <v>-0.171941805080728</v>
      </c>
      <c r="G40">
        <v>-0.058489541692688</v>
      </c>
      <c r="H40">
        <v>-0.029270000269273</v>
      </c>
      <c r="I40">
        <v>0.689816686529629</v>
      </c>
    </row>
    <row r="41" spans="1:9">
      <c r="A41" s="8" t="s">
        <v>53</v>
      </c>
      <c r="B41">
        <f>HYPERLINK("https://www.suredividend.com/sure-analysis-research-database/","ACNB Corp.")</f>
        <v>0</v>
      </c>
      <c r="C41">
        <v>-0.017189669712321</v>
      </c>
      <c r="D41">
        <v>-0.09894984057225301</v>
      </c>
      <c r="E41">
        <v>-0.195235795911797</v>
      </c>
      <c r="F41">
        <v>-0.28153760223604</v>
      </c>
      <c r="G41">
        <v>-0.09565623267889901</v>
      </c>
      <c r="H41">
        <v>0.074627693502315</v>
      </c>
      <c r="I41">
        <v>0.115553332445688</v>
      </c>
    </row>
    <row r="42" spans="1:9">
      <c r="A42" s="8" t="s">
        <v>54</v>
      </c>
      <c r="B42">
        <f>HYPERLINK("https://www.suredividend.com/sure-analysis-research-database/","Acorda Therapeutics Inc")</f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>
      <c r="A43" s="8" t="s">
        <v>55</v>
      </c>
      <c r="B43">
        <f>HYPERLINK("https://www.suredividend.com/sure-analysis-ACRE/","Ares Commercial Real Estate Corp")</f>
        <v>0</v>
      </c>
      <c r="C43">
        <v>0.023357664233576</v>
      </c>
      <c r="D43">
        <v>-0.023989529816354</v>
      </c>
      <c r="E43">
        <v>-0.252752875462365</v>
      </c>
      <c r="F43">
        <v>-0.300028957432574</v>
      </c>
      <c r="G43">
        <v>-0.201112288739216</v>
      </c>
      <c r="H43">
        <v>-0.403586986114892</v>
      </c>
      <c r="I43">
        <v>-0.262671841637478</v>
      </c>
    </row>
    <row r="44" spans="1:9">
      <c r="A44" s="8" t="s">
        <v>56</v>
      </c>
      <c r="B44">
        <f>HYPERLINK("https://www.suredividend.com/sure-analysis-research-database/","Aclaris Therapeutics Inc")</f>
        <v>0</v>
      </c>
      <c r="C44">
        <v>-0.246268656716418</v>
      </c>
      <c r="D44">
        <v>-0.251851851851851</v>
      </c>
      <c r="E44">
        <v>0.01</v>
      </c>
      <c r="F44">
        <v>-0.038095238095238</v>
      </c>
      <c r="G44">
        <v>-0.892324093816631</v>
      </c>
      <c r="H44">
        <v>-0.9345430978613091</v>
      </c>
      <c r="I44">
        <v>-0.7869198312236281</v>
      </c>
    </row>
    <row r="45" spans="1:9">
      <c r="A45" s="8" t="s">
        <v>57</v>
      </c>
      <c r="B45">
        <f>HYPERLINK("https://www.suredividend.com/sure-analysis-research-database/","Acacia Research Corp")</f>
        <v>0</v>
      </c>
      <c r="C45">
        <v>-0.00383877159309</v>
      </c>
      <c r="D45">
        <v>0.294264339152119</v>
      </c>
      <c r="E45">
        <v>0.369393139841688</v>
      </c>
      <c r="F45">
        <v>0.323979591836734</v>
      </c>
      <c r="G45">
        <v>0.125813449023861</v>
      </c>
      <c r="H45">
        <v>0.128260869565217</v>
      </c>
      <c r="I45">
        <v>0.6634615384615381</v>
      </c>
    </row>
    <row r="46" spans="1:9">
      <c r="A46" s="8" t="s">
        <v>58</v>
      </c>
      <c r="B46">
        <f>HYPERLINK("https://www.suredividend.com/sure-analysis-research-database/","Acme United Corp.")</f>
        <v>0</v>
      </c>
      <c r="C46">
        <v>-0.150291715285881</v>
      </c>
      <c r="D46">
        <v>-0.08106143587620901</v>
      </c>
      <c r="E46">
        <v>-0.08822733965722701</v>
      </c>
      <c r="F46">
        <v>-0.138432851713905</v>
      </c>
      <c r="G46">
        <v>0.4811590547593571</v>
      </c>
      <c r="H46">
        <v>0.158145186429248</v>
      </c>
      <c r="I46">
        <v>0.8942428751287621</v>
      </c>
    </row>
    <row r="47" spans="1:9">
      <c r="A47" s="8" t="s">
        <v>59</v>
      </c>
      <c r="B47">
        <f>HYPERLINK("https://www.suredividend.com/sure-analysis-research-database/","Adobe Inc")</f>
        <v>0</v>
      </c>
      <c r="C47">
        <v>-0.0545229244114</v>
      </c>
      <c r="D47">
        <v>-0.16295590245306</v>
      </c>
      <c r="E47">
        <v>-0.235470941883767</v>
      </c>
      <c r="F47">
        <v>-0.21986255447536</v>
      </c>
      <c r="G47">
        <v>0.112617135207496</v>
      </c>
      <c r="H47">
        <v>0.073854459877255</v>
      </c>
      <c r="I47">
        <v>0.6732456140350871</v>
      </c>
    </row>
    <row r="48" spans="1:9">
      <c r="A48" s="8" t="s">
        <v>60</v>
      </c>
      <c r="B48">
        <f>HYPERLINK("https://www.suredividend.com/sure-analysis-ADC/","Agree Realty Corp.")</f>
        <v>0</v>
      </c>
      <c r="C48">
        <v>0.03724234323477101</v>
      </c>
      <c r="D48">
        <v>0.08314055852147301</v>
      </c>
      <c r="E48">
        <v>0.03464670579655901</v>
      </c>
      <c r="F48">
        <v>-0.007556527892287001</v>
      </c>
      <c r="G48">
        <v>-0.02167826573874</v>
      </c>
      <c r="H48">
        <v>-0.068880037031622</v>
      </c>
      <c r="I48">
        <v>0.138316111221767</v>
      </c>
    </row>
    <row r="49" spans="1:9">
      <c r="A49" s="8" t="s">
        <v>61</v>
      </c>
      <c r="B49">
        <f>HYPERLINK("https://www.suredividend.com/sure-analysis-research-database/","")</f>
        <v>0</v>
      </c>
      <c r="C49">
        <v>0.208053691275167</v>
      </c>
      <c r="D49">
        <v>1.093023255813953</v>
      </c>
      <c r="E49">
        <v>0.531914893617021</v>
      </c>
      <c r="F49">
        <v>0.208053691275167</v>
      </c>
      <c r="G49">
        <v>0.146496815286624</v>
      </c>
      <c r="H49">
        <v>-0.413680781758957</v>
      </c>
      <c r="I49">
        <v>-0.6507261984457311</v>
      </c>
    </row>
    <row r="50" spans="1:9">
      <c r="A50" s="8" t="s">
        <v>62</v>
      </c>
      <c r="B50">
        <f>HYPERLINK("https://www.suredividend.com/sure-analysis-ADI/","Analog Devices Inc.")</f>
        <v>0</v>
      </c>
      <c r="C50">
        <v>0.157851388440227</v>
      </c>
      <c r="D50">
        <v>0.188982176155936</v>
      </c>
      <c r="E50">
        <v>0.290430739041892</v>
      </c>
      <c r="F50">
        <v>0.198276262472368</v>
      </c>
      <c r="G50">
        <v>0.344264416472893</v>
      </c>
      <c r="H50">
        <v>0.486770610363127</v>
      </c>
      <c r="I50">
        <v>1.607660258866678</v>
      </c>
    </row>
    <row r="51" spans="1:9">
      <c r="A51" s="8" t="s">
        <v>63</v>
      </c>
      <c r="B51">
        <f>HYPERLINK("https://www.suredividend.com/sure-analysis-ADM/","Archer Daniels Midland Co.")</f>
        <v>0</v>
      </c>
      <c r="C51">
        <v>0.002936622000766</v>
      </c>
      <c r="D51">
        <v>0.138631709229848</v>
      </c>
      <c r="E51">
        <v>-0.155424265941418</v>
      </c>
      <c r="F51">
        <v>-0.13659717544537</v>
      </c>
      <c r="G51">
        <v>-0.140189643824928</v>
      </c>
      <c r="H51">
        <v>-0.280952095941903</v>
      </c>
      <c r="I51">
        <v>0.769944737974804</v>
      </c>
    </row>
    <row r="52" spans="1:9">
      <c r="A52" s="8" t="s">
        <v>64</v>
      </c>
      <c r="B52">
        <f>HYPERLINK("https://www.suredividend.com/sure-analysis-research-database/","Adma Biologics Inc")</f>
        <v>0</v>
      </c>
      <c r="C52">
        <v>0.5151953690303901</v>
      </c>
      <c r="D52">
        <v>0.699675324675324</v>
      </c>
      <c r="E52">
        <v>1.777188328912466</v>
      </c>
      <c r="F52">
        <v>1.316371681415929</v>
      </c>
      <c r="G52">
        <v>1.578817733990148</v>
      </c>
      <c r="H52">
        <v>4.208955223880598</v>
      </c>
      <c r="I52">
        <v>1.76984126984127</v>
      </c>
    </row>
    <row r="53" spans="1:9">
      <c r="A53" s="8" t="s">
        <v>65</v>
      </c>
      <c r="B53">
        <f>HYPERLINK("https://www.suredividend.com/sure-analysis-research-database/","Adamis Pharmaceuticals Corp")</f>
        <v>0</v>
      </c>
      <c r="C53">
        <v>-0.430073529411764</v>
      </c>
      <c r="D53">
        <v>-0.641157407407407</v>
      </c>
      <c r="E53">
        <v>-0.9290201465201461</v>
      </c>
      <c r="F53">
        <v>-0.9345962366045061</v>
      </c>
      <c r="G53">
        <v>-0.96592967032967</v>
      </c>
      <c r="H53">
        <v>-0.9899337662337661</v>
      </c>
      <c r="I53">
        <v>-0.996369555035128</v>
      </c>
    </row>
    <row r="54" spans="1:9">
      <c r="A54" s="8" t="s">
        <v>66</v>
      </c>
      <c r="B54">
        <f>HYPERLINK("https://www.suredividend.com/sure-analysis-research-database/","Adamas Pharmaceuticals Inc")</f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>
      <c r="A55" s="8" t="s">
        <v>67</v>
      </c>
      <c r="B55">
        <f>HYPERLINK("https://www.suredividend.com/sure-analysis-research-database/","Adient plc")</f>
        <v>0</v>
      </c>
      <c r="C55">
        <v>0.005046863734679</v>
      </c>
      <c r="D55">
        <v>-0.210645526613816</v>
      </c>
      <c r="E55">
        <v>-0.15489542285541</v>
      </c>
      <c r="F55">
        <v>-0.233223322332233</v>
      </c>
      <c r="G55">
        <v>-0.241773184661408</v>
      </c>
      <c r="H55">
        <v>-0.268817204301075</v>
      </c>
      <c r="I55">
        <v>0.367336929867582</v>
      </c>
    </row>
    <row r="56" spans="1:9">
      <c r="A56" s="8" t="s">
        <v>68</v>
      </c>
      <c r="B56">
        <f>HYPERLINK("https://www.suredividend.com/sure-analysis-ADP/","Automatic Data Processing Inc.")</f>
        <v>0</v>
      </c>
      <c r="C56">
        <v>0.029373368146214</v>
      </c>
      <c r="D56">
        <v>0.033039918116683</v>
      </c>
      <c r="E56">
        <v>0.103428491212848</v>
      </c>
      <c r="F56">
        <v>0.08931408440975301</v>
      </c>
      <c r="G56">
        <v>0.212475348769264</v>
      </c>
      <c r="H56">
        <v>0.204072429499583</v>
      </c>
      <c r="I56">
        <v>0.707649025065867</v>
      </c>
    </row>
    <row r="57" spans="1:9">
      <c r="A57" s="8" t="s">
        <v>69</v>
      </c>
      <c r="B57">
        <f>HYPERLINK("https://www.suredividend.com/sure-analysis-research-database/","Autodesk Inc.")</f>
        <v>0</v>
      </c>
      <c r="C57">
        <v>0.006662939148261</v>
      </c>
      <c r="D57">
        <v>-0.148873306019539</v>
      </c>
      <c r="E57">
        <v>-0.034801644031451</v>
      </c>
      <c r="F57">
        <v>-0.112658123870543</v>
      </c>
      <c r="G57">
        <v>0.07402068005567701</v>
      </c>
      <c r="H57">
        <v>0.04286334894048301</v>
      </c>
      <c r="I57">
        <v>0.307017543859649</v>
      </c>
    </row>
    <row r="58" spans="1:9">
      <c r="A58" s="8" t="s">
        <v>70</v>
      </c>
      <c r="B58">
        <f>HYPERLINK("https://www.suredividend.com/sure-analysis-research-database/","ADT Inc")</f>
        <v>0</v>
      </c>
      <c r="C58">
        <v>0.06367583212735101</v>
      </c>
      <c r="D58">
        <v>0.104582137328864</v>
      </c>
      <c r="E58">
        <v>0.188512661298146</v>
      </c>
      <c r="F58">
        <v>0.08676366217175201</v>
      </c>
      <c r="G58">
        <v>0.202375304683538</v>
      </c>
      <c r="H58">
        <v>-0.001684233402151</v>
      </c>
      <c r="I58">
        <v>0.42001545595054</v>
      </c>
    </row>
    <row r="59" spans="1:9">
      <c r="A59" s="8" t="s">
        <v>71</v>
      </c>
      <c r="B59">
        <f>HYPERLINK("https://www.suredividend.com/sure-analysis-research-database/","ADTRAN Holdings Inc")</f>
        <v>0</v>
      </c>
      <c r="C59">
        <v>-0.009276437847866</v>
      </c>
      <c r="D59">
        <v>-0.153724247226624</v>
      </c>
      <c r="E59">
        <v>-0.128874388254486</v>
      </c>
      <c r="F59">
        <v>-0.272479564032697</v>
      </c>
      <c r="G59">
        <v>-0.424351856842559</v>
      </c>
      <c r="H59">
        <v>-0.7218228417828341</v>
      </c>
      <c r="I59">
        <v>-0.7218228417828341</v>
      </c>
    </row>
    <row r="60" spans="1:9">
      <c r="A60" s="8" t="s">
        <v>72</v>
      </c>
      <c r="B60">
        <f>HYPERLINK("https://www.suredividend.com/sure-analysis-research-database/","Addus HomeCare Corporation")</f>
        <v>0</v>
      </c>
      <c r="C60">
        <v>0.09513337795200301</v>
      </c>
      <c r="D60">
        <v>0.138568588469184</v>
      </c>
      <c r="E60">
        <v>0.281925013989927</v>
      </c>
      <c r="F60">
        <v>0.233602584814216</v>
      </c>
      <c r="G60">
        <v>0.218510638297872</v>
      </c>
      <c r="H60">
        <v>0.368295305220403</v>
      </c>
      <c r="I60">
        <v>0.5626193724420191</v>
      </c>
    </row>
    <row r="61" spans="1:9">
      <c r="A61" s="8" t="s">
        <v>73</v>
      </c>
      <c r="B61">
        <f>HYPERLINK("https://www.suredividend.com/sure-analysis-research-database/","Adverum Biotechnologies Inc")</f>
        <v>0</v>
      </c>
      <c r="C61">
        <v>-0.28916827852998</v>
      </c>
      <c r="D61">
        <v>-0.6171875</v>
      </c>
      <c r="E61">
        <v>-0.272277227722772</v>
      </c>
      <c r="F61">
        <v>-0.023645058448459</v>
      </c>
      <c r="G61">
        <v>-0.5033783783783781</v>
      </c>
      <c r="H61">
        <v>-0.319444444444444</v>
      </c>
      <c r="I61">
        <v>-0.9340807174887891</v>
      </c>
    </row>
    <row r="62" spans="1:9">
      <c r="A62" s="8" t="s">
        <v>74</v>
      </c>
      <c r="B62">
        <f>HYPERLINK("https://www.suredividend.com/sure-analysis-research-database/","Ayala Pharmaceuticals Inc.")</f>
        <v>0</v>
      </c>
      <c r="C62">
        <v>-0.528746465598491</v>
      </c>
      <c r="D62">
        <v>-0.683544303797468</v>
      </c>
      <c r="E62">
        <v>-0.652777777777777</v>
      </c>
      <c r="F62">
        <v>-0.6251874062968511</v>
      </c>
      <c r="G62">
        <v>-0.8</v>
      </c>
      <c r="H62">
        <v>-0.9324324324324321</v>
      </c>
      <c r="I62">
        <v>0.8518518518518511</v>
      </c>
    </row>
    <row r="63" spans="1:9">
      <c r="A63" s="8" t="s">
        <v>75</v>
      </c>
      <c r="B63">
        <f>HYPERLINK("https://www.suredividend.com/sure-analysis-research-database/","Adams Resources &amp; Energy Inc.")</f>
        <v>0</v>
      </c>
      <c r="C63">
        <v>-0.04343144292893</v>
      </c>
      <c r="D63">
        <v>0.006040015100037001</v>
      </c>
      <c r="E63">
        <v>0.014642838106406</v>
      </c>
      <c r="F63">
        <v>0.035961267099191</v>
      </c>
      <c r="G63">
        <v>-0.212514663774788</v>
      </c>
      <c r="H63">
        <v>-0.221911440967457</v>
      </c>
      <c r="I63">
        <v>-0.070346675224826</v>
      </c>
    </row>
    <row r="64" spans="1:9">
      <c r="A64" s="8" t="s">
        <v>76</v>
      </c>
      <c r="B64">
        <f>HYPERLINK("https://www.suredividend.com/sure-analysis-AEE/","Ameren Corp.")</f>
        <v>0</v>
      </c>
      <c r="C64">
        <v>-0.04424421732114001</v>
      </c>
      <c r="D64">
        <v>-0.018576210519338</v>
      </c>
      <c r="E64">
        <v>-0.08160614898733701</v>
      </c>
      <c r="F64">
        <v>-0.008536325069508001</v>
      </c>
      <c r="G64">
        <v>-0.121447220079511</v>
      </c>
      <c r="H64">
        <v>-0.199981989182252</v>
      </c>
      <c r="I64">
        <v>0.074850878997229</v>
      </c>
    </row>
    <row r="65" spans="1:9">
      <c r="A65" s="8" t="s">
        <v>77</v>
      </c>
      <c r="B65">
        <f>HYPERLINK("https://www.suredividend.com/sure-analysis-research-database/","Aegion Corp")</f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>
      <c r="A66" s="8" t="s">
        <v>78</v>
      </c>
      <c r="B66">
        <f>HYPERLINK("https://www.suredividend.com/sure-analysis-research-database/","Aehr Test Systems")</f>
        <v>0</v>
      </c>
      <c r="C66">
        <v>0.134146341463414</v>
      </c>
      <c r="D66">
        <v>-0.243463102847182</v>
      </c>
      <c r="E66">
        <v>-0.473300970873786</v>
      </c>
      <c r="F66">
        <v>-0.5092348284960421</v>
      </c>
      <c r="G66">
        <v>-0.6872447754023541</v>
      </c>
      <c r="H66">
        <v>0.4030172413793101</v>
      </c>
      <c r="I66">
        <v>6.843373493975903</v>
      </c>
    </row>
    <row r="67" spans="1:9">
      <c r="A67" s="8" t="s">
        <v>79</v>
      </c>
      <c r="B67">
        <f>HYPERLINK("https://www.suredividend.com/sure-analysis-research-database/","Advanced Energy Industries Inc.")</f>
        <v>0</v>
      </c>
      <c r="C67">
        <v>0.040850852857722</v>
      </c>
      <c r="D67">
        <v>-0.001287835498204</v>
      </c>
      <c r="E67">
        <v>0.071877529932019</v>
      </c>
      <c r="F67">
        <v>-0.029681311214597</v>
      </c>
      <c r="G67">
        <v>-0.007893361950888</v>
      </c>
      <c r="H67">
        <v>0.29623662129818</v>
      </c>
      <c r="I67">
        <v>0.9913611318957891</v>
      </c>
    </row>
    <row r="68" spans="1:9">
      <c r="A68" s="8" t="s">
        <v>80</v>
      </c>
      <c r="B68">
        <f>HYPERLINK("https://www.suredividend.com/sure-analysis-research-database/","American Equity Investment Life Holding Co")</f>
        <v>0</v>
      </c>
      <c r="C68">
        <v>0.016946100235912</v>
      </c>
      <c r="D68">
        <v>0.025383088714612</v>
      </c>
      <c r="E68">
        <v>0.060774269414498</v>
      </c>
      <c r="F68">
        <v>0.018951744596235</v>
      </c>
      <c r="G68">
        <v>0.466909463085679</v>
      </c>
      <c r="H68">
        <v>0.5253051555692411</v>
      </c>
      <c r="I68">
        <v>1.032786649195812</v>
      </c>
    </row>
    <row r="69" spans="1:9">
      <c r="A69" s="8" t="s">
        <v>81</v>
      </c>
      <c r="B69">
        <f>HYPERLINK("https://www.suredividend.com/sure-analysis-research-database/","Aethlon Medical Inc")</f>
        <v>0</v>
      </c>
      <c r="C69">
        <v>-0.5422656250000001</v>
      </c>
      <c r="D69">
        <v>-0.65535294117647</v>
      </c>
      <c r="E69">
        <v>-0.719665071770334</v>
      </c>
      <c r="F69">
        <v>-0.732465753424657</v>
      </c>
      <c r="G69">
        <v>-0.835097101041373</v>
      </c>
      <c r="H69">
        <v>-0.9476874999999999</v>
      </c>
      <c r="I69">
        <v>-0.9894528971679971</v>
      </c>
    </row>
    <row r="70" spans="1:9">
      <c r="A70" s="8" t="s">
        <v>82</v>
      </c>
      <c r="B70">
        <f>HYPERLINK("https://www.suredividend.com/sure-analysis-research-database/","American Eagle Outfitters Inc.")</f>
        <v>0</v>
      </c>
      <c r="C70">
        <v>-0.118301731244847</v>
      </c>
      <c r="D70">
        <v>-0.065028390091661</v>
      </c>
      <c r="E70">
        <v>0.07333718042000101</v>
      </c>
      <c r="F70">
        <v>0.022613185447243</v>
      </c>
      <c r="G70">
        <v>0.8442516942284141</v>
      </c>
      <c r="H70">
        <v>0.7850734809350141</v>
      </c>
      <c r="I70">
        <v>0.366589786673992</v>
      </c>
    </row>
    <row r="71" spans="1:9">
      <c r="A71" s="8" t="s">
        <v>83</v>
      </c>
      <c r="B71">
        <f>HYPERLINK("https://www.suredividend.com/sure-analysis-AEP/","American Electric Power Company Inc.")</f>
        <v>0</v>
      </c>
      <c r="C71">
        <v>0.001901684284099</v>
      </c>
      <c r="D71">
        <v>0.07064174241790401</v>
      </c>
      <c r="E71">
        <v>0.148692597892545</v>
      </c>
      <c r="F71">
        <v>0.134267466177505</v>
      </c>
      <c r="G71">
        <v>0.125722699949641</v>
      </c>
      <c r="H71">
        <v>-0.028169866662264</v>
      </c>
      <c r="I71">
        <v>0.227602851708912</v>
      </c>
    </row>
    <row r="72" spans="1:9">
      <c r="A72" s="8" t="s">
        <v>84</v>
      </c>
      <c r="B72">
        <f>HYPERLINK("https://www.suredividend.com/sure-analysis-research-database/","Aerie Pharmaceuticals Inc")</f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>
      <c r="A73" s="8" t="s">
        <v>85</v>
      </c>
      <c r="B73">
        <f>HYPERLINK("https://www.suredividend.com/sure-analysis-AES/","AES Corp.")</f>
        <v>0</v>
      </c>
      <c r="C73">
        <v>0.054670912951167</v>
      </c>
      <c r="D73">
        <v>0.241572366735608</v>
      </c>
      <c r="E73">
        <v>0.115565137326236</v>
      </c>
      <c r="F73">
        <v>0.052977430141545</v>
      </c>
      <c r="G73">
        <v>-0.001201373285278</v>
      </c>
      <c r="H73">
        <v>-0.065266683601945</v>
      </c>
      <c r="I73">
        <v>0.38776365414164</v>
      </c>
    </row>
    <row r="74" spans="1:9">
      <c r="A74" s="8" t="s">
        <v>86</v>
      </c>
      <c r="B74">
        <f>HYPERLINK("https://www.suredividend.com/sure-analysis-research-database/","Addvantage Technologies Group")</f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>
      <c r="A75" s="8" t="s">
        <v>87</v>
      </c>
      <c r="B75">
        <f>HYPERLINK("https://www.suredividend.com/sure-analysis-AFG/","American Financial Group Inc")</f>
        <v>0</v>
      </c>
      <c r="C75">
        <v>-0.007973370490788001</v>
      </c>
      <c r="D75">
        <v>0.002792795542169</v>
      </c>
      <c r="E75">
        <v>0.146957318688557</v>
      </c>
      <c r="F75">
        <v>0.112999644778107</v>
      </c>
      <c r="G75">
        <v>0.151741362838523</v>
      </c>
      <c r="H75">
        <v>0.00492070026858</v>
      </c>
      <c r="I75">
        <v>1.064454808335146</v>
      </c>
    </row>
    <row r="76" spans="1:9">
      <c r="A76" s="8" t="s">
        <v>88</v>
      </c>
      <c r="B76">
        <f>HYPERLINK("https://www.suredividend.com/sure-analysis-research-database/","Armstrong Flooring Inc")</f>
        <v>0</v>
      </c>
      <c r="C76">
        <v>-0.7946198830409351</v>
      </c>
      <c r="D76">
        <v>-0.7417647058823521</v>
      </c>
      <c r="E76">
        <v>-0.8410859728506781</v>
      </c>
      <c r="F76">
        <v>-0.822626262626262</v>
      </c>
      <c r="G76">
        <v>-0.9452959501557631</v>
      </c>
      <c r="H76">
        <v>-0.8817508417508411</v>
      </c>
      <c r="I76">
        <v>-0.9817083333333331</v>
      </c>
    </row>
    <row r="77" spans="1:9">
      <c r="A77" s="8" t="s">
        <v>89</v>
      </c>
      <c r="B77">
        <f>HYPERLINK("https://www.suredividend.com/sure-analysis-AFL/","Aflac Inc.")</f>
        <v>0</v>
      </c>
      <c r="C77">
        <v>0.05454813224192701</v>
      </c>
      <c r="D77">
        <v>0.085176385466776</v>
      </c>
      <c r="E77">
        <v>0.09591712551022001</v>
      </c>
      <c r="F77">
        <v>0.08927543983835601</v>
      </c>
      <c r="G77">
        <v>0.328123948263147</v>
      </c>
      <c r="H77">
        <v>0.5613926799716521</v>
      </c>
      <c r="I77">
        <v>0.840356008050391</v>
      </c>
    </row>
    <row r="78" spans="1:9">
      <c r="A78" s="8" t="s">
        <v>90</v>
      </c>
      <c r="B78">
        <f>HYPERLINK("https://www.suredividend.com/sure-analysis-research-database/","AGCO Corp.")</f>
        <v>0</v>
      </c>
      <c r="C78">
        <v>-0.09705399634617701</v>
      </c>
      <c r="D78">
        <v>-0.06461759553193801</v>
      </c>
      <c r="E78">
        <v>-0.07473303221023901</v>
      </c>
      <c r="F78">
        <v>-0.127012486007644</v>
      </c>
      <c r="G78">
        <v>-0.133432849871233</v>
      </c>
      <c r="H78">
        <v>-0.158712789768772</v>
      </c>
      <c r="I78">
        <v>0.7499758126524431</v>
      </c>
    </row>
    <row r="79" spans="1:9">
      <c r="A79" s="8" t="s">
        <v>91</v>
      </c>
      <c r="B79">
        <f>HYPERLINK("https://www.suredividend.com/sure-analysis-research-database/","AgeX Therapeutics Inc")</f>
        <v>0</v>
      </c>
      <c r="C79">
        <v>-0.148152411649591</v>
      </c>
      <c r="D79">
        <v>-0.195896900943191</v>
      </c>
      <c r="E79">
        <v>-0.5953202985150801</v>
      </c>
      <c r="F79">
        <v>-0.180237066578043</v>
      </c>
      <c r="G79">
        <v>-0.515639181735669</v>
      </c>
      <c r="H79">
        <v>-0.643459407371717</v>
      </c>
      <c r="I79">
        <v>-0.924495240479258</v>
      </c>
    </row>
    <row r="80" spans="1:9">
      <c r="A80" s="8" t="s">
        <v>92</v>
      </c>
      <c r="B80">
        <f>HYPERLINK("https://www.suredividend.com/sure-analysis-research-database/","Agenus Inc")</f>
        <v>0</v>
      </c>
      <c r="C80">
        <v>0.3821815154038301</v>
      </c>
      <c r="D80">
        <v>0.183685111237878</v>
      </c>
      <c r="E80">
        <v>0.024059222702035</v>
      </c>
      <c r="F80">
        <v>0.002536538229254</v>
      </c>
      <c r="G80">
        <v>-0.5585106382978721</v>
      </c>
      <c r="H80">
        <v>-0.486729166151334</v>
      </c>
      <c r="I80">
        <v>-0.6806316567136611</v>
      </c>
    </row>
    <row r="81" spans="1:9">
      <c r="A81" s="8" t="s">
        <v>93</v>
      </c>
      <c r="B81">
        <f>HYPERLINK("https://www.suredividend.com/sure-analysis-research-database/","AgroFresh Solutions Inc")</f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>
      <c r="A82" s="8" t="s">
        <v>94</v>
      </c>
      <c r="B82">
        <f>HYPERLINK("https://www.suredividend.com/sure-analysis-research-database/","Agios Pharmaceuticals Inc")</f>
        <v>0</v>
      </c>
      <c r="C82">
        <v>0.451524390243902</v>
      </c>
      <c r="D82">
        <v>0.517692062480076</v>
      </c>
      <c r="E82">
        <v>1.057476231633534</v>
      </c>
      <c r="F82">
        <v>1.137853614728334</v>
      </c>
      <c r="G82">
        <v>0.7613762486126521</v>
      </c>
      <c r="H82">
        <v>1.435294117647058</v>
      </c>
      <c r="I82">
        <v>-0.0478</v>
      </c>
    </row>
    <row r="83" spans="1:9">
      <c r="A83" s="8" t="s">
        <v>95</v>
      </c>
      <c r="B83">
        <f>HYPERLINK("https://www.suredividend.com/sure-analysis-AGM/","Federal Agricultural Mortgage Corp.")</f>
        <v>0</v>
      </c>
      <c r="C83">
        <v>0.005079365079365</v>
      </c>
      <c r="D83">
        <v>-0.038609652772064</v>
      </c>
      <c r="E83">
        <v>0.022708318160781</v>
      </c>
      <c r="F83">
        <v>-0.08275244851314001</v>
      </c>
      <c r="G83">
        <v>0.206941246435596</v>
      </c>
      <c r="H83">
        <v>0.779564189196094</v>
      </c>
      <c r="I83">
        <v>1.963410483321988</v>
      </c>
    </row>
    <row r="84" spans="1:9">
      <c r="A84" s="8" t="s">
        <v>96</v>
      </c>
      <c r="B84">
        <f>HYPERLINK("https://www.suredividend.com/sure-analysis-AGNC/","AGNC Investment Corp")</f>
        <v>0</v>
      </c>
      <c r="C84">
        <v>0.04058945191313301</v>
      </c>
      <c r="D84">
        <v>0.08218318695106601</v>
      </c>
      <c r="E84">
        <v>0.221069130715071</v>
      </c>
      <c r="F84">
        <v>0.08899059815570501</v>
      </c>
      <c r="G84">
        <v>0.324412514738545</v>
      </c>
      <c r="H84">
        <v>0.24601751647813</v>
      </c>
      <c r="I84">
        <v>0.231844323442023</v>
      </c>
    </row>
    <row r="85" spans="1:9">
      <c r="A85" s="8" t="s">
        <v>97</v>
      </c>
      <c r="B85">
        <f>HYPERLINK("https://www.suredividend.com/sure-analysis-AGO/","Assured Guaranty Ltd")</f>
        <v>0</v>
      </c>
      <c r="C85">
        <v>-0.014336229256764</v>
      </c>
      <c r="D85">
        <v>-0.153294497129075</v>
      </c>
      <c r="E85">
        <v>0.136239532694004</v>
      </c>
      <c r="F85">
        <v>0.03647799419496901</v>
      </c>
      <c r="G85">
        <v>0.445335746293734</v>
      </c>
      <c r="H85">
        <v>0.300240998039252</v>
      </c>
      <c r="I85">
        <v>0.9941721168166801</v>
      </c>
    </row>
    <row r="86" spans="1:9">
      <c r="A86" s="8" t="s">
        <v>98</v>
      </c>
      <c r="B86">
        <f>HYPERLINK("https://www.suredividend.com/sure-analysis-research-database/","Avangrid Inc")</f>
        <v>0</v>
      </c>
      <c r="C86">
        <v>-0.020109769725795</v>
      </c>
      <c r="D86">
        <v>-0.005508810744974</v>
      </c>
      <c r="E86">
        <v>0.131995077729268</v>
      </c>
      <c r="F86">
        <v>0.127802875263734</v>
      </c>
      <c r="G86">
        <v>-0.034390350413232</v>
      </c>
      <c r="H86">
        <v>-0.176901450133175</v>
      </c>
      <c r="I86">
        <v>-0.154607153543288</v>
      </c>
    </row>
    <row r="87" spans="1:9">
      <c r="A87" s="8" t="s">
        <v>99</v>
      </c>
      <c r="B87">
        <f>HYPERLINK("https://www.suredividend.com/sure-analysis-research-database/","Agile Therapeutics Inc")</f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>
      <c r="A88" s="8" t="s">
        <v>100</v>
      </c>
      <c r="B88">
        <f>HYPERLINK("https://www.suredividend.com/sure-analysis-research-database/","PlayAGS Inc")</f>
        <v>0</v>
      </c>
      <c r="C88">
        <v>0.346511627906976</v>
      </c>
      <c r="D88">
        <v>0.20625</v>
      </c>
      <c r="E88">
        <v>0.515706806282722</v>
      </c>
      <c r="F88">
        <v>0.373665480427046</v>
      </c>
      <c r="G88">
        <v>0.936454849498327</v>
      </c>
      <c r="H88">
        <v>0.7925696594427241</v>
      </c>
      <c r="I88">
        <v>-0.367558711086837</v>
      </c>
    </row>
    <row r="89" spans="1:9">
      <c r="A89" s="8" t="s">
        <v>101</v>
      </c>
      <c r="B89">
        <f>HYPERLINK("https://www.suredividend.com/sure-analysis-research-database/","Applied Genetic Technologies Corp")</f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>
      <c r="A90" s="8" t="s">
        <v>102</v>
      </c>
      <c r="B90">
        <f>HYPERLINK("https://www.suredividend.com/sure-analysis-research-database/","Argan, Inc.")</f>
        <v>0</v>
      </c>
      <c r="C90">
        <v>0.174434702353483</v>
      </c>
      <c r="D90">
        <v>0.5755099514037201</v>
      </c>
      <c r="E90">
        <v>0.846388237285676</v>
      </c>
      <c r="F90">
        <v>0.650660912954931</v>
      </c>
      <c r="G90">
        <v>0.7605187246788521</v>
      </c>
      <c r="H90">
        <v>0.9754255509069871</v>
      </c>
      <c r="I90">
        <v>0.9459914106207541</v>
      </c>
    </row>
    <row r="91" spans="1:9">
      <c r="A91" s="8" t="s">
        <v>103</v>
      </c>
      <c r="B91">
        <f>HYPERLINK("https://www.suredividend.com/sure-analysis-research-database/","Agilysys, Inc")</f>
        <v>0</v>
      </c>
      <c r="C91">
        <v>0.177717189242781</v>
      </c>
      <c r="D91">
        <v>0.215062012530367</v>
      </c>
      <c r="E91">
        <v>0.126882485473734</v>
      </c>
      <c r="F91">
        <v>0.120372553643008</v>
      </c>
      <c r="G91">
        <v>0.324644549763033</v>
      </c>
      <c r="H91">
        <v>1.198750578435909</v>
      </c>
      <c r="I91">
        <v>3.23673651359786</v>
      </c>
    </row>
    <row r="92" spans="1:9">
      <c r="A92" s="8" t="s">
        <v>104</v>
      </c>
      <c r="B92">
        <f>HYPERLINK("https://www.suredividend.com/sure-analysis-research-database/","A.H. Belo Corp")</f>
        <v>0</v>
      </c>
      <c r="C92">
        <v>0.044198895027624</v>
      </c>
      <c r="D92">
        <v>-0.09879839786381801</v>
      </c>
      <c r="E92">
        <v>0.343522303181091</v>
      </c>
      <c r="F92">
        <v>0</v>
      </c>
      <c r="G92">
        <v>0.242787394584997</v>
      </c>
      <c r="H92">
        <v>-0.371576296123889</v>
      </c>
      <c r="I92">
        <v>-0.41443918610145</v>
      </c>
    </row>
    <row r="93" spans="1:9">
      <c r="A93" s="8" t="s">
        <v>105</v>
      </c>
      <c r="B93">
        <f>HYPERLINK("https://www.suredividend.com/sure-analysis-research-database/","Armada Hoffler Properties Inc")</f>
        <v>0</v>
      </c>
      <c r="C93">
        <v>-0.006363636363636</v>
      </c>
      <c r="D93">
        <v>0.049921712150466</v>
      </c>
      <c r="E93">
        <v>-0.044521955014729</v>
      </c>
      <c r="F93">
        <v>-0.09860874011397201</v>
      </c>
      <c r="G93">
        <v>-0.014542930044268</v>
      </c>
      <c r="H93">
        <v>-0.11590322658923</v>
      </c>
      <c r="I93">
        <v>-0.143839640302985</v>
      </c>
    </row>
    <row r="94" spans="1:9">
      <c r="A94" s="8" t="s">
        <v>106</v>
      </c>
      <c r="B94">
        <f>HYPERLINK("https://www.suredividend.com/sure-analysis-research-database/","Ashford Hospitality Trust Inc")</f>
        <v>0</v>
      </c>
      <c r="C94">
        <v>-0.113821138211382</v>
      </c>
      <c r="D94">
        <v>-0.282894736842105</v>
      </c>
      <c r="E94">
        <v>-0.5260869565217391</v>
      </c>
      <c r="F94">
        <v>-0.438144329896907</v>
      </c>
      <c r="G94">
        <v>-0.757238307349665</v>
      </c>
      <c r="H94">
        <v>-0.8595360824742261</v>
      </c>
      <c r="I94">
        <v>-0.997241787675851</v>
      </c>
    </row>
    <row r="95" spans="1:9">
      <c r="A95" s="8" t="s">
        <v>107</v>
      </c>
      <c r="B95">
        <f>HYPERLINK("https://www.suredividend.com/sure-analysis-research-database/","American International Group Inc")</f>
        <v>0</v>
      </c>
      <c r="C95">
        <v>-0.053064275037369</v>
      </c>
      <c r="D95">
        <v>0.022246845315575</v>
      </c>
      <c r="E95">
        <v>0.174059493711939</v>
      </c>
      <c r="F95">
        <v>0.127414776519162</v>
      </c>
      <c r="G95">
        <v>0.370616308567163</v>
      </c>
      <c r="H95">
        <v>0.340357781374633</v>
      </c>
      <c r="I95">
        <v>0.646634276938672</v>
      </c>
    </row>
    <row r="96" spans="1:9">
      <c r="A96" s="8" t="s">
        <v>108</v>
      </c>
      <c r="B96">
        <f>HYPERLINK("https://www.suredividend.com/sure-analysis-research-database/","Altra Industrial Motion Corp")</f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>
      <c r="A97" s="8" t="s">
        <v>109</v>
      </c>
      <c r="B97">
        <f>HYPERLINK("https://www.suredividend.com/sure-analysis-research-database/","Aimmune Therapeutics Inc")</f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>
      <c r="A98" s="8" t="s">
        <v>110</v>
      </c>
      <c r="B98">
        <f>HYPERLINK("https://www.suredividend.com/sure-analysis-research-database/","Albany International Corp.")</f>
        <v>0</v>
      </c>
      <c r="C98">
        <v>-0.033512609470133</v>
      </c>
      <c r="D98">
        <v>-0.116846901636821</v>
      </c>
      <c r="E98">
        <v>-0.034555520209452</v>
      </c>
      <c r="F98">
        <v>-0.135999442910628</v>
      </c>
      <c r="G98">
        <v>-0.07165437418369501</v>
      </c>
      <c r="H98">
        <v>-0.019047021097988</v>
      </c>
      <c r="I98">
        <v>0.212503574852012</v>
      </c>
    </row>
    <row r="99" spans="1:9">
      <c r="A99" s="8" t="s">
        <v>111</v>
      </c>
      <c r="B99">
        <f>HYPERLINK("https://www.suredividend.com/sure-analysis-research-database/","Ashford Inc")</f>
        <v>0</v>
      </c>
      <c r="C99">
        <v>-0.004149377593361</v>
      </c>
      <c r="D99">
        <v>0.951219512195122</v>
      </c>
      <c r="E99">
        <v>0.027837259100642</v>
      </c>
      <c r="F99">
        <v>0.304241502051463</v>
      </c>
      <c r="G99">
        <v>-0.538461538461538</v>
      </c>
      <c r="H99">
        <v>-0.732888146911519</v>
      </c>
      <c r="I99">
        <v>-0.880922847928553</v>
      </c>
    </row>
    <row r="100" spans="1:9">
      <c r="A100" s="8" t="s">
        <v>112</v>
      </c>
      <c r="B100">
        <f>HYPERLINK("https://www.suredividend.com/sure-analysis-research-database/","AAR Corp.")</f>
        <v>0</v>
      </c>
      <c r="C100">
        <v>-0.05769772023642</v>
      </c>
      <c r="D100">
        <v>0.014084507042253</v>
      </c>
      <c r="E100">
        <v>-0.03404500865551</v>
      </c>
      <c r="F100">
        <v>0.07307692307692301</v>
      </c>
      <c r="G100">
        <v>0.214583711228006</v>
      </c>
      <c r="H100">
        <v>0.279083094555873</v>
      </c>
      <c r="I100">
        <v>1.043931087532509</v>
      </c>
    </row>
    <row r="101" spans="1:9">
      <c r="A101" s="8" t="s">
        <v>113</v>
      </c>
      <c r="B101">
        <f>HYPERLINK("https://www.suredividend.com/sure-analysis-research-database/","Airgain Inc")</f>
        <v>0</v>
      </c>
      <c r="C101">
        <v>-0.017399267399267</v>
      </c>
      <c r="D101">
        <v>0.07085828343313301</v>
      </c>
      <c r="E101">
        <v>0.7883333333333331</v>
      </c>
      <c r="F101">
        <v>0.5070224719101121</v>
      </c>
      <c r="G101">
        <v>-0.098319327731092</v>
      </c>
      <c r="H101">
        <v>-0.49906629318394</v>
      </c>
      <c r="I101">
        <v>-0.607534747622531</v>
      </c>
    </row>
    <row r="102" spans="1:9">
      <c r="A102" s="8" t="s">
        <v>114</v>
      </c>
      <c r="B102">
        <f>HYPERLINK("https://www.suredividend.com/sure-analysis-research-database/","Air Industries Group")</f>
        <v>0</v>
      </c>
      <c r="C102">
        <v>-0.502652519893899</v>
      </c>
      <c r="D102">
        <v>-0.08647990255785601</v>
      </c>
      <c r="E102">
        <v>0.262626262626262</v>
      </c>
      <c r="F102">
        <v>0.153846153846153</v>
      </c>
      <c r="G102">
        <v>0.05337078651685401</v>
      </c>
      <c r="H102">
        <v>-0.5</v>
      </c>
      <c r="I102">
        <v>-0.6462264150943391</v>
      </c>
    </row>
    <row r="103" spans="1:9">
      <c r="A103" s="8" t="s">
        <v>115</v>
      </c>
      <c r="B103">
        <f>HYPERLINK("https://www.suredividend.com/sure-analysis-research-database/","Air T Inc")</f>
        <v>0</v>
      </c>
      <c r="C103">
        <v>-0.030023094688221</v>
      </c>
      <c r="D103">
        <v>0.377049180327868</v>
      </c>
      <c r="E103">
        <v>0.429381735677822</v>
      </c>
      <c r="F103">
        <v>0.491203673568414</v>
      </c>
      <c r="G103">
        <v>-0.055826152116897</v>
      </c>
      <c r="H103">
        <v>0.283095723014256</v>
      </c>
      <c r="I103">
        <v>0.3601990640535011</v>
      </c>
    </row>
    <row r="104" spans="1:9">
      <c r="A104" s="8" t="s">
        <v>116</v>
      </c>
      <c r="B104">
        <f>HYPERLINK("https://www.suredividend.com/sure-analysis-AIT/","Applied Industrial Technologies Inc.")</f>
        <v>0</v>
      </c>
      <c r="C104">
        <v>-0.032526864489662</v>
      </c>
      <c r="D104">
        <v>0.012776591202653</v>
      </c>
      <c r="E104">
        <v>0.144459588946022</v>
      </c>
      <c r="F104">
        <v>0.088061725818444</v>
      </c>
      <c r="G104">
        <v>0.390910921801763</v>
      </c>
      <c r="H104">
        <v>0.778913281304206</v>
      </c>
      <c r="I104">
        <v>2.500483476693056</v>
      </c>
    </row>
    <row r="105" spans="1:9">
      <c r="A105" s="8" t="s">
        <v>117</v>
      </c>
      <c r="B105">
        <f>HYPERLINK("https://www.suredividend.com/sure-analysis-research-database/","Apartment Investment &amp; Management Co.")</f>
        <v>0</v>
      </c>
      <c r="C105">
        <v>-0.03502415458937101</v>
      </c>
      <c r="D105">
        <v>0.033635187580853</v>
      </c>
      <c r="E105">
        <v>0.120617110799438</v>
      </c>
      <c r="F105">
        <v>0.020434227330779</v>
      </c>
      <c r="G105">
        <v>-0.07843137254901901</v>
      </c>
      <c r="H105">
        <v>0.26899925352985</v>
      </c>
      <c r="I105">
        <v>0.260093363613424</v>
      </c>
    </row>
    <row r="106" spans="1:9">
      <c r="A106" s="8" t="s">
        <v>118</v>
      </c>
      <c r="B106">
        <f>HYPERLINK("https://www.suredividend.com/sure-analysis-AIZ/","Assurant Inc")</f>
        <v>0</v>
      </c>
      <c r="C106">
        <v>-0.029342591555605</v>
      </c>
      <c r="D106">
        <v>-0.031132971885305</v>
      </c>
      <c r="E106">
        <v>0.038169840848695</v>
      </c>
      <c r="F106">
        <v>0.033179276333435</v>
      </c>
      <c r="G106">
        <v>0.391216411441779</v>
      </c>
      <c r="H106">
        <v>-0.033282433893004</v>
      </c>
      <c r="I106">
        <v>0.818334399815376</v>
      </c>
    </row>
    <row r="107" spans="1:9">
      <c r="A107" s="8" t="s">
        <v>119</v>
      </c>
      <c r="B107">
        <f>HYPERLINK("https://www.suredividend.com/sure-analysis-AJG/","Arthur J. Gallagher &amp; Co.")</f>
        <v>0</v>
      </c>
      <c r="C107">
        <v>0.037204861153726</v>
      </c>
      <c r="D107">
        <v>0.016909994260252</v>
      </c>
      <c r="E107">
        <v>0.056870408003751</v>
      </c>
      <c r="F107">
        <v>0.132865108040647</v>
      </c>
      <c r="G107">
        <v>0.253693879730836</v>
      </c>
      <c r="H107">
        <v>0.582220813196469</v>
      </c>
      <c r="I107">
        <v>2.087431560898622</v>
      </c>
    </row>
    <row r="108" spans="1:9">
      <c r="A108" s="8" t="s">
        <v>120</v>
      </c>
      <c r="B108">
        <f>HYPERLINK("https://www.suredividend.com/sure-analysis-research-database/","Aerojet Rocketdyne Holdings Inc")</f>
        <v>0</v>
      </c>
      <c r="C108">
        <v>0.05359738372093</v>
      </c>
      <c r="D108">
        <v>0.028191489361702</v>
      </c>
      <c r="E108">
        <v>0.039992826398852</v>
      </c>
      <c r="F108">
        <v>0.03683175397818701</v>
      </c>
      <c r="G108">
        <v>0.344228094575799</v>
      </c>
      <c r="H108">
        <v>0.239102564102564</v>
      </c>
      <c r="I108">
        <v>1.292629506485702</v>
      </c>
    </row>
    <row r="109" spans="1:9">
      <c r="A109" s="8" t="s">
        <v>121</v>
      </c>
      <c r="B109">
        <f>HYPERLINK("https://www.suredividend.com/sure-analysis-research-database/","Great Ajax Corp")</f>
        <v>0</v>
      </c>
      <c r="C109">
        <v>-0.057114371172197</v>
      </c>
      <c r="D109">
        <v>-0.132440437187115</v>
      </c>
      <c r="E109">
        <v>-0.280653714087017</v>
      </c>
      <c r="F109">
        <v>-0.348514968409864</v>
      </c>
      <c r="G109">
        <v>-0.361077867428483</v>
      </c>
      <c r="H109">
        <v>-0.6269623919486981</v>
      </c>
      <c r="I109">
        <v>-0.586492935400452</v>
      </c>
    </row>
    <row r="110" spans="1:9">
      <c r="A110" s="8" t="s">
        <v>122</v>
      </c>
      <c r="B110">
        <f>HYPERLINK("https://www.suredividend.com/sure-analysis-research-database/","Akamai Technologies Inc")</f>
        <v>0</v>
      </c>
      <c r="C110">
        <v>-0.122848431198977</v>
      </c>
      <c r="D110">
        <v>-0.209607373925374</v>
      </c>
      <c r="E110">
        <v>-0.224049421386931</v>
      </c>
      <c r="F110">
        <v>-0.246472327841149</v>
      </c>
      <c r="G110">
        <v>-0.039836347975882</v>
      </c>
      <c r="H110">
        <v>-0.123710327208411</v>
      </c>
      <c r="I110">
        <v>0.122890959456056</v>
      </c>
    </row>
    <row r="111" spans="1:9">
      <c r="A111" s="8" t="s">
        <v>123</v>
      </c>
      <c r="B111">
        <f>HYPERLINK("https://www.suredividend.com/sure-analysis-research-database/","Akebia Therapeutics Inc.")</f>
        <v>0</v>
      </c>
      <c r="C111">
        <v>-0.242857142857142</v>
      </c>
      <c r="D111">
        <v>-0.273972602739726</v>
      </c>
      <c r="E111">
        <v>-0.094017094017093</v>
      </c>
      <c r="F111">
        <v>-0.14516129032258</v>
      </c>
      <c r="G111">
        <v>-0.171875</v>
      </c>
      <c r="H111">
        <v>1.470286646469354</v>
      </c>
      <c r="I111">
        <v>-0.7540603248259861</v>
      </c>
    </row>
    <row r="112" spans="1:9">
      <c r="A112" s="8" t="s">
        <v>124</v>
      </c>
      <c r="B112">
        <f>HYPERLINK("https://www.suredividend.com/sure-analysis-research-database/","Akcea Therapeutics Inc")</f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>
      <c r="A113" s="8" t="s">
        <v>125</v>
      </c>
      <c r="B113">
        <f>HYPERLINK("https://www.suredividend.com/sure-analysis-AKR/","Acadia Realty Trust")</f>
        <v>0</v>
      </c>
      <c r="C113">
        <v>-0.006997084548104</v>
      </c>
      <c r="D113">
        <v>0.046917648215998</v>
      </c>
      <c r="E113">
        <v>0.103536760798849</v>
      </c>
      <c r="F113">
        <v>0.013642207513927</v>
      </c>
      <c r="G113">
        <v>0.243837417375744</v>
      </c>
      <c r="H113">
        <v>-0.044535957539918</v>
      </c>
      <c r="I113">
        <v>-0.270979148205701</v>
      </c>
    </row>
    <row r="114" spans="1:9">
      <c r="A114" s="8" t="s">
        <v>126</v>
      </c>
      <c r="B114">
        <f>HYPERLINK("https://www.suredividend.com/sure-analysis-research-database/","Akoustis Technologies Inc")</f>
        <v>0</v>
      </c>
      <c r="C114">
        <v>-0.716870497570782</v>
      </c>
      <c r="D114">
        <v>-0.7261383892399931</v>
      </c>
      <c r="E114">
        <v>-0.7035087719298241</v>
      </c>
      <c r="F114">
        <v>-0.7973621103117501</v>
      </c>
      <c r="G114">
        <v>-0.9511560693641621</v>
      </c>
      <c r="H114">
        <v>-0.9615909090909091</v>
      </c>
      <c r="I114">
        <v>-0.976197183098591</v>
      </c>
    </row>
    <row r="115" spans="1:9">
      <c r="A115" s="8" t="s">
        <v>127</v>
      </c>
      <c r="B115">
        <f>HYPERLINK("https://www.suredividend.com/sure-analysis-research-database/","Air Lease Corp")</f>
        <v>0</v>
      </c>
      <c r="C115">
        <v>-0.03442158826509</v>
      </c>
      <c r="D115">
        <v>0.056859695779002</v>
      </c>
      <c r="E115">
        <v>0.184490751483836</v>
      </c>
      <c r="F115">
        <v>0.105240872259753</v>
      </c>
      <c r="G115">
        <v>0.114445336626049</v>
      </c>
      <c r="H115">
        <v>0.250970087273816</v>
      </c>
      <c r="I115">
        <v>0.306490647813462</v>
      </c>
    </row>
    <row r="116" spans="1:9">
      <c r="A116" s="8" t="s">
        <v>128</v>
      </c>
      <c r="B116">
        <f>HYPERLINK("https://www.suredividend.com/sure-analysis-ALB/","Albemarle Corp.")</f>
        <v>0</v>
      </c>
      <c r="C116">
        <v>-0.126263778031166</v>
      </c>
      <c r="D116">
        <v>-0.05994929254927601</v>
      </c>
      <c r="E116">
        <v>-0.07748736902511701</v>
      </c>
      <c r="F116">
        <v>-0.20191972537262</v>
      </c>
      <c r="G116">
        <v>-0.469459780444787</v>
      </c>
      <c r="H116">
        <v>-0.546987173044672</v>
      </c>
      <c r="I116">
        <v>0.765434108789078</v>
      </c>
    </row>
    <row r="117" spans="1:9">
      <c r="A117" s="8" t="s">
        <v>129</v>
      </c>
      <c r="B117">
        <f>HYPERLINK("https://www.suredividend.com/sure-analysis-research-database/","Albireo Pharma Inc")</f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>
      <c r="A118" s="8" t="s">
        <v>130</v>
      </c>
      <c r="B118">
        <f>HYPERLINK("https://www.suredividend.com/sure-analysis-research-database/","Alico Inc.")</f>
        <v>0</v>
      </c>
      <c r="C118">
        <v>-0.006149116064565001</v>
      </c>
      <c r="D118">
        <v>-0.042303803750051</v>
      </c>
      <c r="E118">
        <v>-0.12621260808304</v>
      </c>
      <c r="F118">
        <v>-0.107509551304395</v>
      </c>
      <c r="G118">
        <v>0.023169689488177</v>
      </c>
      <c r="H118">
        <v>-0.35443284453964</v>
      </c>
      <c r="I118">
        <v>0.041511440113092</v>
      </c>
    </row>
    <row r="119" spans="1:9">
      <c r="A119" s="8" t="s">
        <v>131</v>
      </c>
      <c r="B119">
        <f>HYPERLINK("https://www.suredividend.com/sure-analysis-research-database/","Aldeyra Therapeutics Inc")</f>
        <v>0</v>
      </c>
      <c r="C119">
        <v>-0.07434052757793701</v>
      </c>
      <c r="D119">
        <v>0.002597402597402</v>
      </c>
      <c r="E119">
        <v>0.191358024691358</v>
      </c>
      <c r="F119">
        <v>0.09971509971509901</v>
      </c>
      <c r="G119">
        <v>-0.66376306620209</v>
      </c>
      <c r="H119">
        <v>0.07222222222222201</v>
      </c>
      <c r="I119">
        <v>-0.434846266471449</v>
      </c>
    </row>
    <row r="120" spans="1:9">
      <c r="A120" s="8" t="s">
        <v>132</v>
      </c>
      <c r="B120">
        <f>HYPERLINK("https://www.suredividend.com/sure-analysis-ALE/","Allete, Inc.")</f>
        <v>0</v>
      </c>
      <c r="C120">
        <v>0.008022513036984001</v>
      </c>
      <c r="D120">
        <v>0.109087286403718</v>
      </c>
      <c r="E120">
        <v>0.043271726672759</v>
      </c>
      <c r="F120">
        <v>0.052994589382332</v>
      </c>
      <c r="G120">
        <v>0.05488239486813901</v>
      </c>
      <c r="H120">
        <v>0.088529083974221</v>
      </c>
      <c r="I120">
        <v>-0.090556827908483</v>
      </c>
    </row>
    <row r="121" spans="1:9">
      <c r="A121" s="8" t="s">
        <v>133</v>
      </c>
      <c r="B121">
        <f>HYPERLINK("https://www.suredividend.com/sure-analysis-research-database/","Alector Inc")</f>
        <v>0</v>
      </c>
      <c r="C121">
        <v>-0.177358490566037</v>
      </c>
      <c r="D121">
        <v>-0.337386018237082</v>
      </c>
      <c r="E121">
        <v>-0.248275862068965</v>
      </c>
      <c r="F121">
        <v>-0.4536340852130321</v>
      </c>
      <c r="G121">
        <v>-0.427821522309711</v>
      </c>
      <c r="H121">
        <v>-0.5321888412017161</v>
      </c>
      <c r="I121">
        <v>-0.748703170028818</v>
      </c>
    </row>
    <row r="122" spans="1:9">
      <c r="A122" s="8" t="s">
        <v>134</v>
      </c>
      <c r="B122">
        <f>HYPERLINK("https://www.suredividend.com/sure-analysis-research-database/","Alexander &amp; Baldwin Inc.")</f>
        <v>0</v>
      </c>
      <c r="C122">
        <v>-0.002406738868832</v>
      </c>
      <c r="D122">
        <v>0.009424542775734001</v>
      </c>
      <c r="E122">
        <v>-0.015152865144846</v>
      </c>
      <c r="F122">
        <v>-0.116355419118274</v>
      </c>
      <c r="G122">
        <v>-0.118614875101667</v>
      </c>
      <c r="H122">
        <v>-0.120443067521113</v>
      </c>
      <c r="I122">
        <v>-0.174689139546228</v>
      </c>
    </row>
    <row r="123" spans="1:9">
      <c r="A123" s="8" t="s">
        <v>135</v>
      </c>
      <c r="B123">
        <f>HYPERLINK("https://www.suredividend.com/sure-analysis-research-database/","Alamo Group Inc.")</f>
        <v>0</v>
      </c>
      <c r="C123">
        <v>-0.04678724171690601</v>
      </c>
      <c r="D123">
        <v>-0.102030830646965</v>
      </c>
      <c r="E123">
        <v>-0.013533452888876</v>
      </c>
      <c r="F123">
        <v>-0.117675956848683</v>
      </c>
      <c r="G123">
        <v>0.012879042564025</v>
      </c>
      <c r="H123">
        <v>0.5499764558417161</v>
      </c>
      <c r="I123">
        <v>0.934920402485199</v>
      </c>
    </row>
    <row r="124" spans="1:9">
      <c r="A124" s="8" t="s">
        <v>136</v>
      </c>
      <c r="B124">
        <f>HYPERLINK("https://www.suredividend.com/sure-analysis-research-database/","Align Technology, Inc.")</f>
        <v>0</v>
      </c>
      <c r="C124">
        <v>-0.108125087253943</v>
      </c>
      <c r="D124">
        <v>-0.177799227799227</v>
      </c>
      <c r="E124">
        <v>0.1797239277965</v>
      </c>
      <c r="F124">
        <v>-0.06737226277372201</v>
      </c>
      <c r="G124">
        <v>-0.153083882941702</v>
      </c>
      <c r="H124">
        <v>-0.065701436876165</v>
      </c>
      <c r="I124">
        <v>-0.16940778781772</v>
      </c>
    </row>
    <row r="125" spans="1:9">
      <c r="A125" s="8" t="s">
        <v>137</v>
      </c>
      <c r="B125">
        <f>HYPERLINK("https://www.suredividend.com/sure-analysis-research-database/","Allegiant Travel")</f>
        <v>0</v>
      </c>
      <c r="C125">
        <v>-0.009114854749767001</v>
      </c>
      <c r="D125">
        <v>-0.26830906490766</v>
      </c>
      <c r="E125">
        <v>-0.287156409798498</v>
      </c>
      <c r="F125">
        <v>-0.348594663683498</v>
      </c>
      <c r="G125">
        <v>-0.487548878370035</v>
      </c>
      <c r="H125">
        <v>-0.6288211931812131</v>
      </c>
      <c r="I125">
        <v>-0.602355297708809</v>
      </c>
    </row>
    <row r="126" spans="1:9">
      <c r="A126" s="8" t="s">
        <v>138</v>
      </c>
      <c r="B126">
        <f>HYPERLINK("https://www.suredividend.com/sure-analysis-research-database/","Alimera Sciences Inc.")</f>
        <v>0</v>
      </c>
      <c r="C126">
        <v>-0.156862745098039</v>
      </c>
      <c r="D126">
        <v>-0.228205128205128</v>
      </c>
      <c r="E126">
        <v>-0.163888888888888</v>
      </c>
      <c r="F126">
        <v>-0.30324074074074</v>
      </c>
      <c r="G126">
        <v>0.106617647058823</v>
      </c>
      <c r="H126">
        <v>-0.490693739424704</v>
      </c>
      <c r="I126">
        <v>-0.7843221553453711</v>
      </c>
    </row>
    <row r="127" spans="1:9">
      <c r="A127" s="8" t="s">
        <v>139</v>
      </c>
      <c r="B127">
        <f>HYPERLINK("https://www.suredividend.com/sure-analysis-research-database/","Alj Regional Holdings Inc")</f>
        <v>0</v>
      </c>
      <c r="C127">
        <v>0.026737967914438</v>
      </c>
      <c r="D127">
        <v>-0.06341463414634101</v>
      </c>
      <c r="E127">
        <v>0.129411764705882</v>
      </c>
      <c r="F127">
        <v>0.032258064516129</v>
      </c>
      <c r="G127">
        <v>-0.527093596059113</v>
      </c>
      <c r="H127">
        <v>-0.527093596059113</v>
      </c>
      <c r="I127">
        <v>-0.527093596059113</v>
      </c>
    </row>
    <row r="128" spans="1:9">
      <c r="A128" s="8" t="s">
        <v>140</v>
      </c>
      <c r="B128">
        <f>HYPERLINK("https://www.suredividend.com/sure-analysis-research-database/","Alaska Air Group Inc.")</f>
        <v>0</v>
      </c>
      <c r="C128">
        <v>-0.056289089645587</v>
      </c>
      <c r="D128">
        <v>0.09281115879828301</v>
      </c>
      <c r="E128">
        <v>0.132610508757297</v>
      </c>
      <c r="F128">
        <v>0.04274379319170701</v>
      </c>
      <c r="G128">
        <v>-0.157568238213399</v>
      </c>
      <c r="H128">
        <v>-0.174133387391039</v>
      </c>
      <c r="I128">
        <v>-0.315778247660058</v>
      </c>
    </row>
    <row r="129" spans="1:9">
      <c r="A129" s="8" t="s">
        <v>141</v>
      </c>
      <c r="B129">
        <f>HYPERLINK("https://www.suredividend.com/sure-analysis-research-database/","Alkermes plc")</f>
        <v>0</v>
      </c>
      <c r="C129">
        <v>-0.027653517690117</v>
      </c>
      <c r="D129">
        <v>-0.18811544991511</v>
      </c>
      <c r="E129">
        <v>-0.08600917431192601</v>
      </c>
      <c r="F129">
        <v>-0.138067772170151</v>
      </c>
      <c r="G129">
        <v>-0.229951690821256</v>
      </c>
      <c r="H129">
        <v>-0.174093264248704</v>
      </c>
      <c r="I129">
        <v>0.0473061760841</v>
      </c>
    </row>
    <row r="130" spans="1:9">
      <c r="A130" s="8" t="s">
        <v>142</v>
      </c>
      <c r="B130">
        <f>HYPERLINK("https://www.suredividend.com/sure-analysis-ALL/","Allstate Corp (The)")</f>
        <v>0</v>
      </c>
      <c r="C130">
        <v>-0.013106561890702</v>
      </c>
      <c r="D130">
        <v>0.05966302125296501</v>
      </c>
      <c r="E130">
        <v>0.200894887138725</v>
      </c>
      <c r="F130">
        <v>0.192659357238544</v>
      </c>
      <c r="G130">
        <v>0.510069877097548</v>
      </c>
      <c r="H130">
        <v>0.315291438334059</v>
      </c>
      <c r="I130">
        <v>0.857137874428856</v>
      </c>
    </row>
    <row r="131" spans="1:9">
      <c r="A131" s="8" t="s">
        <v>143</v>
      </c>
      <c r="B131">
        <f>HYPERLINK("https://www.suredividend.com/sure-analysis-research-database/","Allegion plc")</f>
        <v>0</v>
      </c>
      <c r="C131">
        <v>-0.059821500361823</v>
      </c>
      <c r="D131">
        <v>-0.110278177885014</v>
      </c>
      <c r="E131">
        <v>0.120956508651391</v>
      </c>
      <c r="F131">
        <v>-0.073688980360748</v>
      </c>
      <c r="G131">
        <v>0.050193369222948</v>
      </c>
      <c r="H131">
        <v>0.06489260458360001</v>
      </c>
      <c r="I131">
        <v>0.199594561044621</v>
      </c>
    </row>
    <row r="132" spans="1:9">
      <c r="A132" s="8" t="s">
        <v>144</v>
      </c>
      <c r="B132">
        <f>HYPERLINK("https://www.suredividend.com/sure-analysis-research-database/","Allakos Inc")</f>
        <v>0</v>
      </c>
      <c r="C132">
        <v>-0.05306122448979601</v>
      </c>
      <c r="D132">
        <v>-0.121212121212121</v>
      </c>
      <c r="E132">
        <v>-0.612040133779264</v>
      </c>
      <c r="F132">
        <v>-0.575091575091575</v>
      </c>
      <c r="G132">
        <v>-0.7608247422680411</v>
      </c>
      <c r="H132">
        <v>-0.6452599388379201</v>
      </c>
      <c r="I132">
        <v>-0.9714003944773171</v>
      </c>
    </row>
    <row r="133" spans="1:9">
      <c r="A133" s="8" t="s">
        <v>145</v>
      </c>
      <c r="B133">
        <f>HYPERLINK("https://www.suredividend.com/sure-analysis-research-database/","Allogene Therapeutics Inc")</f>
        <v>0</v>
      </c>
      <c r="C133">
        <v>-0.20274914089347</v>
      </c>
      <c r="D133">
        <v>-0.583482944344703</v>
      </c>
      <c r="E133">
        <v>-0.079365079365079</v>
      </c>
      <c r="F133">
        <v>-0.277258566978193</v>
      </c>
      <c r="G133">
        <v>-0.602739726027397</v>
      </c>
      <c r="H133">
        <v>-0.755532139093782</v>
      </c>
      <c r="I133">
        <v>-0.912254160363086</v>
      </c>
    </row>
    <row r="134" spans="1:9">
      <c r="A134" s="8" t="s">
        <v>146</v>
      </c>
      <c r="B134">
        <f>HYPERLINK("https://www.suredividend.com/sure-analysis-ALLY/","Ally Financial Inc")</f>
        <v>0</v>
      </c>
      <c r="C134">
        <v>-0.019289340101522</v>
      </c>
      <c r="D134">
        <v>0.065634126767438</v>
      </c>
      <c r="E134">
        <v>0.336455418628057</v>
      </c>
      <c r="F134">
        <v>0.124043297775476</v>
      </c>
      <c r="G134">
        <v>0.407393917319249</v>
      </c>
      <c r="H134">
        <v>-0.024355756654529</v>
      </c>
      <c r="I134">
        <v>0.5115892420537891</v>
      </c>
    </row>
    <row r="135" spans="1:9">
      <c r="A135" s="8" t="s">
        <v>147</v>
      </c>
      <c r="B135">
        <f>HYPERLINK("https://www.suredividend.com/sure-analysis-research-database/","Allena Pharmaceuticals Inc")</f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>
      <c r="A136" s="8" t="s">
        <v>148</v>
      </c>
      <c r="B136">
        <f>HYPERLINK("https://www.suredividend.com/sure-analysis-research-database/","Alnylam Pharmaceuticals Inc")</f>
        <v>0</v>
      </c>
      <c r="C136">
        <v>-0.010043413464653</v>
      </c>
      <c r="D136">
        <v>0.019484852529026</v>
      </c>
      <c r="E136">
        <v>-0.138102222723682</v>
      </c>
      <c r="F136">
        <v>-0.201818086829319</v>
      </c>
      <c r="G136">
        <v>-0.196613556291738</v>
      </c>
      <c r="H136">
        <v>0.140064174315349</v>
      </c>
      <c r="I136">
        <v>1.170170454545454</v>
      </c>
    </row>
    <row r="137" spans="1:9">
      <c r="A137" s="8" t="s">
        <v>149</v>
      </c>
      <c r="B137">
        <f>HYPERLINK("https://www.suredividend.com/sure-analysis-research-database/","AstroNova Inc")</f>
        <v>0</v>
      </c>
      <c r="C137">
        <v>-0.01875</v>
      </c>
      <c r="D137">
        <v>-0.003462204270051</v>
      </c>
      <c r="E137">
        <v>0.155957161981258</v>
      </c>
      <c r="F137">
        <v>0.06211562115621101</v>
      </c>
      <c r="G137">
        <v>0.114193548387096</v>
      </c>
      <c r="H137">
        <v>0.327440430438124</v>
      </c>
      <c r="I137">
        <v>-0.324588573931543</v>
      </c>
    </row>
    <row r="138" spans="1:9">
      <c r="A138" s="8" t="s">
        <v>150</v>
      </c>
      <c r="B138">
        <f>HYPERLINK("https://www.suredividend.com/sure-analysis-research-database/","Alpine Immune Sciences Inc")</f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>
      <c r="A139" s="8" t="s">
        <v>151</v>
      </c>
      <c r="B139">
        <f>HYPERLINK("https://www.suredividend.com/sure-analysis-research-database/","Alarm.com Holdings Inc")</f>
        <v>0</v>
      </c>
      <c r="C139">
        <v>-0.107593123209169</v>
      </c>
      <c r="D139">
        <v>-0.163780373204456</v>
      </c>
      <c r="E139">
        <v>0.09376646180860401</v>
      </c>
      <c r="F139">
        <v>-0.036056948313215</v>
      </c>
      <c r="G139">
        <v>0.195814935688231</v>
      </c>
      <c r="H139">
        <v>-0.035758513931888</v>
      </c>
      <c r="I139">
        <v>0.150748198780713</v>
      </c>
    </row>
    <row r="140" spans="1:9">
      <c r="A140" s="8" t="s">
        <v>152</v>
      </c>
      <c r="B140">
        <f>HYPERLINK("https://www.suredividend.com/sure-analysis-research-database/","Alaska Communications Systems Group Inc")</f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>
      <c r="A141" s="8" t="s">
        <v>153</v>
      </c>
      <c r="B141">
        <f>HYPERLINK("https://www.suredividend.com/sure-analysis-research-database/","Allison Transmission Holdings Inc")</f>
        <v>0</v>
      </c>
      <c r="C141">
        <v>-0.02333850787459</v>
      </c>
      <c r="D141">
        <v>-0.020359383442596</v>
      </c>
      <c r="E141">
        <v>0.351222359692051</v>
      </c>
      <c r="F141">
        <v>0.274307665408112</v>
      </c>
      <c r="G141">
        <v>0.421920877762324</v>
      </c>
      <c r="H141">
        <v>0.842152021962676</v>
      </c>
      <c r="I141">
        <v>0.829360730253167</v>
      </c>
    </row>
    <row r="142" spans="1:9">
      <c r="A142" s="8" t="s">
        <v>154</v>
      </c>
      <c r="B142">
        <f>HYPERLINK("https://www.suredividend.com/sure-analysis-research-database/","Altimmune Inc")</f>
        <v>0</v>
      </c>
      <c r="C142">
        <v>-0.1121045392022</v>
      </c>
      <c r="D142">
        <v>-0.35643070787637</v>
      </c>
      <c r="E142">
        <v>-0.018996960486322</v>
      </c>
      <c r="F142">
        <v>-0.4262222222222221</v>
      </c>
      <c r="G142">
        <v>0.5743902439024391</v>
      </c>
      <c r="H142">
        <v>0.105308219178082</v>
      </c>
      <c r="I142">
        <v>1.735169491525424</v>
      </c>
    </row>
    <row r="143" spans="1:9">
      <c r="A143" s="8" t="s">
        <v>155</v>
      </c>
      <c r="B143">
        <f>HYPERLINK("https://www.suredividend.com/sure-analysis-research-database/","Arcadium Lithium PLC")</f>
        <v>0</v>
      </c>
      <c r="C143">
        <v>-0.126582278481012</v>
      </c>
      <c r="D143">
        <v>-0.181818181818181</v>
      </c>
      <c r="E143">
        <v>-0.392070484581497</v>
      </c>
      <c r="F143">
        <v>-0.392070484581497</v>
      </c>
      <c r="G143">
        <v>-0.392070484581497</v>
      </c>
      <c r="H143">
        <v>-0.392070484581497</v>
      </c>
      <c r="I143">
        <v>-0.392070484581497</v>
      </c>
    </row>
    <row r="144" spans="1:9">
      <c r="A144" s="8" t="s">
        <v>156</v>
      </c>
      <c r="B144">
        <f>HYPERLINK("https://www.suredividend.com/sure-analysis-research-database/","Altair Engineering Inc")</f>
        <v>0</v>
      </c>
      <c r="C144">
        <v>-0.007317923103728001</v>
      </c>
      <c r="D144">
        <v>0.023473053892215</v>
      </c>
      <c r="E144">
        <v>0.206721265179328</v>
      </c>
      <c r="F144">
        <v>0.01556743909685</v>
      </c>
      <c r="G144">
        <v>0.150821438190142</v>
      </c>
      <c r="H144">
        <v>0.545947901591895</v>
      </c>
      <c r="I144">
        <v>1.420963172804532</v>
      </c>
    </row>
    <row r="145" spans="1:9">
      <c r="A145" s="8" t="s">
        <v>157</v>
      </c>
      <c r="B145">
        <f>HYPERLINK("https://www.suredividend.com/sure-analysis-ALV/","Autoliv Inc.")</f>
        <v>0</v>
      </c>
      <c r="C145">
        <v>-0.03067828998381</v>
      </c>
      <c r="D145">
        <v>0.016219029171123</v>
      </c>
      <c r="E145">
        <v>0.189672713082915</v>
      </c>
      <c r="F145">
        <v>0.09682250950347</v>
      </c>
      <c r="G145">
        <v>0.390174903103029</v>
      </c>
      <c r="H145">
        <v>0.561193671097734</v>
      </c>
      <c r="I145">
        <v>1.023213372744602</v>
      </c>
    </row>
    <row r="146" spans="1:9">
      <c r="A146" s="8" t="s">
        <v>158</v>
      </c>
      <c r="B146">
        <f>HYPERLINK("https://www.suredividend.com/sure-analysis-research-database/","Alexander`s Inc.")</f>
        <v>0</v>
      </c>
      <c r="C146">
        <v>-0.038505235374764</v>
      </c>
      <c r="D146">
        <v>0.014314512970969</v>
      </c>
      <c r="E146">
        <v>0.169768312630147</v>
      </c>
      <c r="F146">
        <v>0.040287341101694</v>
      </c>
      <c r="G146">
        <v>0.22962917781316</v>
      </c>
      <c r="H146">
        <v>0.05498157768844</v>
      </c>
      <c r="I146">
        <v>-0.185360351001458</v>
      </c>
    </row>
    <row r="147" spans="1:9">
      <c r="A147" s="8" t="s">
        <v>159</v>
      </c>
      <c r="B147">
        <f>HYPERLINK("https://www.suredividend.com/sure-analysis-research-database/","Alexion Pharmaceuticals Inc.")</f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>
      <c r="A148" s="8" t="s">
        <v>160</v>
      </c>
      <c r="B148">
        <f>HYPERLINK("https://www.suredividend.com/sure-analysis-AM/","Antero Midstream Corp")</f>
        <v>0</v>
      </c>
      <c r="C148">
        <v>0.014005602240896</v>
      </c>
      <c r="D148">
        <v>0.09497882637628501</v>
      </c>
      <c r="E148">
        <v>0.179316354869973</v>
      </c>
      <c r="F148">
        <v>0.196259211526387</v>
      </c>
      <c r="G148">
        <v>0.415513954738745</v>
      </c>
      <c r="H148">
        <v>0.487982078447895</v>
      </c>
      <c r="I148">
        <v>1.079234933444379</v>
      </c>
    </row>
    <row r="149" spans="1:9">
      <c r="A149" s="8" t="s">
        <v>161</v>
      </c>
      <c r="B149">
        <f>HYPERLINK("https://www.suredividend.com/sure-analysis-research-database/","Amalgamated Financial Corp")</f>
        <v>0</v>
      </c>
      <c r="C149">
        <v>-0.005175159235668</v>
      </c>
      <c r="D149">
        <v>0.064427917912545</v>
      </c>
      <c r="E149">
        <v>0.107810976150367</v>
      </c>
      <c r="F149">
        <v>-0.05626531822250001</v>
      </c>
      <c r="G149">
        <v>0.546975690382008</v>
      </c>
      <c r="H149">
        <v>0.238293444328824</v>
      </c>
      <c r="I149">
        <v>0.492876131306191</v>
      </c>
    </row>
    <row r="150" spans="1:9">
      <c r="A150" s="8" t="s">
        <v>162</v>
      </c>
      <c r="B150">
        <f>HYPERLINK("https://www.suredividend.com/sure-analysis-AMAT/","Applied Materials Inc.")</f>
        <v>0</v>
      </c>
      <c r="C150">
        <v>0.071456011736582</v>
      </c>
      <c r="D150">
        <v>0.04479672570987801</v>
      </c>
      <c r="E150">
        <v>0.50204038499057</v>
      </c>
      <c r="F150">
        <v>0.3752556934829011</v>
      </c>
      <c r="G150">
        <v>0.6651972056709681</v>
      </c>
      <c r="H150">
        <v>0.9629541428486691</v>
      </c>
      <c r="I150">
        <v>4.651605404620078</v>
      </c>
    </row>
    <row r="151" spans="1:9">
      <c r="A151" s="8" t="s">
        <v>163</v>
      </c>
      <c r="B151">
        <f>HYPERLINK("https://www.suredividend.com/sure-analysis-research-database/","AMBAC Financial Group Inc.")</f>
        <v>0</v>
      </c>
      <c r="C151">
        <v>-0.281042128603104</v>
      </c>
      <c r="D151">
        <v>-0.135333333333333</v>
      </c>
      <c r="E151">
        <v>-0.134756504336224</v>
      </c>
      <c r="F151">
        <v>-0.212985436893203</v>
      </c>
      <c r="G151">
        <v>-0.09616724738675901</v>
      </c>
      <c r="H151">
        <v>0.159070598748882</v>
      </c>
      <c r="I151">
        <v>-0.128360215053763</v>
      </c>
    </row>
    <row r="152" spans="1:9">
      <c r="A152" s="8" t="s">
        <v>164</v>
      </c>
      <c r="B152">
        <f>HYPERLINK("https://www.suredividend.com/sure-analysis-research-database/","AMC Entertainment Holdings Inc")</f>
        <v>0</v>
      </c>
      <c r="C152">
        <v>0.539184952978056</v>
      </c>
      <c r="D152">
        <v>0.067391304347826</v>
      </c>
      <c r="E152">
        <v>-0.280058651026392</v>
      </c>
      <c r="F152">
        <v>-0.197712418300653</v>
      </c>
      <c r="G152">
        <v>-0.882353786842313</v>
      </c>
      <c r="H152">
        <v>-0.9574241525585391</v>
      </c>
      <c r="I152">
        <v>-0.945749752780187</v>
      </c>
    </row>
    <row r="153" spans="1:9">
      <c r="A153" s="8" t="s">
        <v>165</v>
      </c>
      <c r="B153">
        <f>HYPERLINK("https://www.suredividend.com/sure-analysis-AMCR/","Amcor Plc")</f>
        <v>0</v>
      </c>
      <c r="C153">
        <v>0.00156087408949</v>
      </c>
      <c r="D153">
        <v>0.075985424213434</v>
      </c>
      <c r="E153">
        <v>0.066016336354245</v>
      </c>
      <c r="F153">
        <v>0.066016336354245</v>
      </c>
      <c r="G153">
        <v>0.043686789698675</v>
      </c>
      <c r="H153">
        <v>-0.182583558578789</v>
      </c>
      <c r="I153">
        <v>0.118298309704952</v>
      </c>
    </row>
    <row r="154" spans="1:9">
      <c r="A154" s="8" t="s">
        <v>166</v>
      </c>
      <c r="B154">
        <f>HYPERLINK("https://www.suredividend.com/sure-analysis-research-database/","AMC Networks Inc")</f>
        <v>0</v>
      </c>
      <c r="C154">
        <v>0.351880877742946</v>
      </c>
      <c r="D154">
        <v>0.431535269709543</v>
      </c>
      <c r="E154">
        <v>-0.008050603795284</v>
      </c>
      <c r="F154">
        <v>-0.081958488557743</v>
      </c>
      <c r="G154">
        <v>0.366877971473851</v>
      </c>
      <c r="H154">
        <v>-0.530739934711643</v>
      </c>
      <c r="I154">
        <v>-0.6877262853005061</v>
      </c>
    </row>
    <row r="155" spans="1:9">
      <c r="A155" s="8" t="s">
        <v>167</v>
      </c>
      <c r="B155">
        <f>HYPERLINK("https://www.suredividend.com/sure-analysis-research-database/","Advanced Micro Devices Inc.")</f>
        <v>0</v>
      </c>
      <c r="C155">
        <v>0.08702972220423401</v>
      </c>
      <c r="D155">
        <v>-0.205837827609045</v>
      </c>
      <c r="E155">
        <v>0.307704292280127</v>
      </c>
      <c r="F155">
        <v>0.138796553829455</v>
      </c>
      <c r="G155">
        <v>0.424679623185946</v>
      </c>
      <c r="H155">
        <v>0.594509878419452</v>
      </c>
      <c r="I155">
        <v>4.179574205492132</v>
      </c>
    </row>
    <row r="156" spans="1:9">
      <c r="A156" s="8" t="s">
        <v>168</v>
      </c>
      <c r="B156">
        <f>HYPERLINK("https://www.suredividend.com/sure-analysis-research-database/","Ametek Inc")</f>
        <v>0</v>
      </c>
      <c r="C156">
        <v>0.002476707158862</v>
      </c>
      <c r="D156">
        <v>-0.06377354334177701</v>
      </c>
      <c r="E156">
        <v>0.092067733895212</v>
      </c>
      <c r="F156">
        <v>0.03259351045349</v>
      </c>
      <c r="G156">
        <v>0.132155891206478</v>
      </c>
      <c r="H156">
        <v>0.3930829335048731</v>
      </c>
      <c r="I156">
        <v>1.049457014447466</v>
      </c>
    </row>
    <row r="157" spans="1:9">
      <c r="A157" s="8" t="s">
        <v>169</v>
      </c>
      <c r="B157">
        <f>HYPERLINK("https://www.suredividend.com/sure-analysis-research-database/","Amedisys Inc.")</f>
        <v>0</v>
      </c>
      <c r="C157">
        <v>-0.006604590731918001</v>
      </c>
      <c r="D157">
        <v>-0.014500537056927</v>
      </c>
      <c r="E157">
        <v>-0.021124506561399</v>
      </c>
      <c r="F157">
        <v>-0.034820113612455</v>
      </c>
      <c r="G157">
        <v>-0.009179265658747</v>
      </c>
      <c r="H157">
        <v>-0.203835473793821</v>
      </c>
      <c r="I157">
        <v>-0.207137919115105</v>
      </c>
    </row>
    <row r="158" spans="1:9">
      <c r="A158" s="8" t="s">
        <v>170</v>
      </c>
      <c r="B158">
        <f>HYPERLINK("https://www.suredividend.com/sure-analysis-research-database/","Apollo Medical Holdings Inc")</f>
        <v>0</v>
      </c>
      <c r="C158">
        <v>0.150831688751057</v>
      </c>
      <c r="D158">
        <v>0.185938407902382</v>
      </c>
      <c r="E158">
        <v>0.09232004281509201</v>
      </c>
      <c r="F158">
        <v>0.065796344647519</v>
      </c>
      <c r="G158">
        <v>0.151805869074492</v>
      </c>
      <c r="H158">
        <v>-0.191843199366462</v>
      </c>
      <c r="I158">
        <v>1.038961038961038</v>
      </c>
    </row>
    <row r="159" spans="1:9">
      <c r="A159" s="8" t="s">
        <v>171</v>
      </c>
      <c r="B159">
        <f>HYPERLINK("https://www.suredividend.com/sure-analysis-research-database/","Affiliated Managers Group Inc.")</f>
        <v>0</v>
      </c>
      <c r="C159">
        <v>0.000513017662465</v>
      </c>
      <c r="D159">
        <v>-0.028040861879129</v>
      </c>
      <c r="E159">
        <v>0.141379042277155</v>
      </c>
      <c r="F159">
        <v>0.02793516009844</v>
      </c>
      <c r="G159">
        <v>0.04142966886779</v>
      </c>
      <c r="H159">
        <v>0.12535449787482</v>
      </c>
      <c r="I159">
        <v>0.765723653980338</v>
      </c>
    </row>
    <row r="160" spans="1:9">
      <c r="A160" s="8" t="s">
        <v>172</v>
      </c>
      <c r="B160">
        <f>HYPERLINK("https://www.suredividend.com/sure-analysis-AMGN/","AMGEN Inc.")</f>
        <v>0</v>
      </c>
      <c r="C160">
        <v>0.030196629687847</v>
      </c>
      <c r="D160">
        <v>0.133797552719058</v>
      </c>
      <c r="E160">
        <v>0.158169801620419</v>
      </c>
      <c r="F160">
        <v>0.09097685385052001</v>
      </c>
      <c r="G160">
        <v>0.4543356625018171</v>
      </c>
      <c r="H160">
        <v>0.349283621611363</v>
      </c>
      <c r="I160">
        <v>1.08411909720514</v>
      </c>
    </row>
    <row r="161" spans="1:9">
      <c r="A161" s="8" t="s">
        <v>173</v>
      </c>
      <c r="B161">
        <f>HYPERLINK("https://www.suredividend.com/sure-analysis-AMH/","American Homes 4 Rent")</f>
        <v>0</v>
      </c>
      <c r="C161">
        <v>-0.022484233616671</v>
      </c>
      <c r="D161">
        <v>-0.016885305124054</v>
      </c>
      <c r="E161">
        <v>0.043346434915961</v>
      </c>
      <c r="F161">
        <v>-0.001576752561872</v>
      </c>
      <c r="G161">
        <v>0.040195609294942</v>
      </c>
      <c r="H161">
        <v>-0.017318893112411</v>
      </c>
      <c r="I161">
        <v>0.553390443489703</v>
      </c>
    </row>
    <row r="162" spans="1:9">
      <c r="A162" s="8" t="s">
        <v>174</v>
      </c>
      <c r="B162">
        <f>HYPERLINK("https://www.suredividend.com/sure-analysis-research-database/","AMKOR Technology Inc.")</f>
        <v>0</v>
      </c>
      <c r="C162">
        <v>0.007947987926642001</v>
      </c>
      <c r="D162">
        <v>-0.08035201089291701</v>
      </c>
      <c r="E162">
        <v>0.164977167013049</v>
      </c>
      <c r="F162">
        <v>-0.002400171916475</v>
      </c>
      <c r="G162">
        <v>0.259476644656395</v>
      </c>
      <c r="H162">
        <v>0.637113197238365</v>
      </c>
      <c r="I162">
        <v>3.84150533211904</v>
      </c>
    </row>
    <row r="163" spans="1:9">
      <c r="A163" s="8" t="s">
        <v>175</v>
      </c>
      <c r="B163">
        <f>HYPERLINK("https://www.suredividend.com/sure-analysis-research-database/","AMN Healthcare Services Inc.")</f>
        <v>0</v>
      </c>
      <c r="C163">
        <v>-0.09965122072745301</v>
      </c>
      <c r="D163">
        <v>-0.101739850869925</v>
      </c>
      <c r="E163">
        <v>-0.212063953488372</v>
      </c>
      <c r="F163">
        <v>-0.276041666666666</v>
      </c>
      <c r="G163">
        <v>-0.484499809813617</v>
      </c>
      <c r="H163">
        <v>-0.47060546875</v>
      </c>
      <c r="I163">
        <v>0.052825791415808</v>
      </c>
    </row>
    <row r="164" spans="1:9">
      <c r="A164" s="8" t="s">
        <v>176</v>
      </c>
      <c r="B164">
        <f>HYPERLINK("https://www.suredividend.com/sure-analysis-research-database/","American National Bankshares Inc.")</f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>
      <c r="A165" s="8" t="s">
        <v>177</v>
      </c>
      <c r="B165">
        <f>HYPERLINK("https://www.suredividend.com/sure-analysis-AMP/","Ameriprise Financial Inc")</f>
        <v>0</v>
      </c>
      <c r="C165">
        <v>0.004142443570974001</v>
      </c>
      <c r="D165">
        <v>0.03723902788411</v>
      </c>
      <c r="E165">
        <v>0.218023771205784</v>
      </c>
      <c r="F165">
        <v>0.131120406538402</v>
      </c>
      <c r="G165">
        <v>0.365483853312665</v>
      </c>
      <c r="H165">
        <v>0.589893075470263</v>
      </c>
      <c r="I165">
        <v>2.137868973394713</v>
      </c>
    </row>
    <row r="166" spans="1:9">
      <c r="A166" s="8" t="s">
        <v>178</v>
      </c>
      <c r="B166">
        <f>HYPERLINK("https://www.suredividend.com/sure-analysis-research-database/","Ampio Pharmaceuticals Inc")</f>
        <v>0</v>
      </c>
      <c r="C166">
        <v>-0.459459459459459</v>
      </c>
      <c r="D166">
        <v>-0.7450980392156861</v>
      </c>
      <c r="E166">
        <v>-0.7450980392156861</v>
      </c>
      <c r="F166">
        <v>-0.7450980392156861</v>
      </c>
      <c r="G166">
        <v>-0.7450980392156861</v>
      </c>
      <c r="H166">
        <v>-0.5772357723577231</v>
      </c>
      <c r="I166">
        <v>-0.5772357723577231</v>
      </c>
    </row>
    <row r="167" spans="1:9">
      <c r="A167" s="8" t="s">
        <v>179</v>
      </c>
      <c r="B167">
        <f>HYPERLINK("https://www.suredividend.com/sure-analysis-research-database/","Amphastar Pharmaceuticals Inc")</f>
        <v>0</v>
      </c>
      <c r="C167">
        <v>-0.04816460135609001</v>
      </c>
      <c r="D167">
        <v>-0.129384088964927</v>
      </c>
      <c r="E167">
        <v>-0.286915396741986</v>
      </c>
      <c r="F167">
        <v>-0.341794664510913</v>
      </c>
      <c r="G167">
        <v>-0.113265083859725</v>
      </c>
      <c r="H167">
        <v>-0.016904129437333</v>
      </c>
      <c r="I167">
        <v>1.024365987071108</v>
      </c>
    </row>
    <row r="168" spans="1:9">
      <c r="A168" s="8" t="s">
        <v>180</v>
      </c>
      <c r="B168">
        <f>HYPERLINK("https://www.suredividend.com/sure-analysis-research-database/","Alpha Metallurgical Resources Inc")</f>
        <v>0</v>
      </c>
      <c r="C168">
        <v>0.008076960961355</v>
      </c>
      <c r="D168">
        <v>-0.212561873252802</v>
      </c>
      <c r="E168">
        <v>0.027990759031707</v>
      </c>
      <c r="F168">
        <v>-0.09409300129824101</v>
      </c>
      <c r="G168">
        <v>1.009175866855044</v>
      </c>
      <c r="H168">
        <v>0.7837431474935911</v>
      </c>
      <c r="I168">
        <v>4.70899962811454</v>
      </c>
    </row>
    <row r="169" spans="1:9">
      <c r="A169" s="8" t="s">
        <v>181</v>
      </c>
      <c r="B169">
        <f>HYPERLINK("https://www.suredividend.com/sure-analysis-research-database/","American River Bancshares")</f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>
      <c r="A170" s="8" t="s">
        <v>182</v>
      </c>
      <c r="B170">
        <f>HYPERLINK("https://www.suredividend.com/sure-analysis-research-database/","Ameresco Inc.")</f>
        <v>0</v>
      </c>
      <c r="C170">
        <v>0.504496402877697</v>
      </c>
      <c r="D170">
        <v>0.6474643032988671</v>
      </c>
      <c r="E170">
        <v>0.044319600499375</v>
      </c>
      <c r="F170">
        <v>0.056520366277234</v>
      </c>
      <c r="G170">
        <v>-0.318255908720456</v>
      </c>
      <c r="H170">
        <v>-0.430758761483497</v>
      </c>
      <c r="I170">
        <v>1.368011323425336</v>
      </c>
    </row>
    <row r="171" spans="1:9">
      <c r="A171" s="8" t="s">
        <v>183</v>
      </c>
      <c r="B171">
        <f>HYPERLINK("https://www.suredividend.com/sure-analysis-research-database/","A-Mark Precious Metals Inc")</f>
        <v>0</v>
      </c>
      <c r="C171">
        <v>-0.131383242439266</v>
      </c>
      <c r="D171">
        <v>0.257527580192505</v>
      </c>
      <c r="E171">
        <v>0.212012203136565</v>
      </c>
      <c r="F171">
        <v>0.178357764752171</v>
      </c>
      <c r="G171">
        <v>0.020152673533676</v>
      </c>
      <c r="H171">
        <v>0.168428423755376</v>
      </c>
      <c r="I171">
        <v>6.164325584248298</v>
      </c>
    </row>
    <row r="172" spans="1:9">
      <c r="A172" s="8" t="s">
        <v>184</v>
      </c>
      <c r="B172">
        <f>HYPERLINK("https://www.suredividend.com/sure-analysis-research-database/","Amyris Inc")</f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>
      <c r="A173" s="8" t="s">
        <v>185</v>
      </c>
      <c r="B173">
        <f>HYPERLINK("https://www.suredividend.com/sure-analysis-research-database/","Amneal Pharmaceuticals Inc")</f>
        <v>0</v>
      </c>
      <c r="C173">
        <v>0.036866359447004</v>
      </c>
      <c r="D173">
        <v>0.271186440677966</v>
      </c>
      <c r="E173">
        <v>0.439232409381663</v>
      </c>
      <c r="F173">
        <v>0.112026359143327</v>
      </c>
      <c r="G173">
        <v>1.74390243902439</v>
      </c>
      <c r="H173">
        <v>0.9852941176470581</v>
      </c>
      <c r="I173">
        <v>-0.117647058823529</v>
      </c>
    </row>
    <row r="174" spans="1:9">
      <c r="A174" s="8" t="s">
        <v>186</v>
      </c>
      <c r="B174">
        <f>HYPERLINK("https://www.suredividend.com/sure-analysis-research-database/","American Shared Hospital Services")</f>
        <v>0</v>
      </c>
      <c r="C174">
        <v>0.032362459546925</v>
      </c>
      <c r="D174">
        <v>0.184640522875817</v>
      </c>
      <c r="E174">
        <v>0.307377049180327</v>
      </c>
      <c r="F174">
        <v>0.34067411952593</v>
      </c>
      <c r="G174">
        <v>0.181481481481481</v>
      </c>
      <c r="H174">
        <v>0.405286343612334</v>
      </c>
      <c r="I174">
        <v>0.127208480565371</v>
      </c>
    </row>
    <row r="175" spans="1:9">
      <c r="A175" s="8" t="s">
        <v>187</v>
      </c>
      <c r="B175">
        <f>HYPERLINK("https://www.suredividend.com/sure-analysis-research-database/","American Superconductor Corp.")</f>
        <v>0</v>
      </c>
      <c r="C175">
        <v>0.5787139689578711</v>
      </c>
      <c r="D175">
        <v>0.4833333333333331</v>
      </c>
      <c r="E175">
        <v>1.148893360160965</v>
      </c>
      <c r="F175">
        <v>0.9174147217235181</v>
      </c>
      <c r="G175">
        <v>2.548172757475083</v>
      </c>
      <c r="H175">
        <v>2.374407582938388</v>
      </c>
      <c r="I175">
        <v>1.579710144927536</v>
      </c>
    </row>
    <row r="176" spans="1:9">
      <c r="A176" s="8" t="s">
        <v>188</v>
      </c>
      <c r="B176">
        <f>HYPERLINK("https://www.suredividend.com/sure-analysis-research-database/","Amerisafe Inc")</f>
        <v>0</v>
      </c>
      <c r="C176">
        <v>-0.08989708044528401</v>
      </c>
      <c r="D176">
        <v>-0.174666666666666</v>
      </c>
      <c r="E176">
        <v>-0.076540768178272</v>
      </c>
      <c r="F176">
        <v>-0.060748929713325</v>
      </c>
      <c r="G176">
        <v>-0.102424675553346</v>
      </c>
      <c r="H176">
        <v>-0.024477004403699</v>
      </c>
      <c r="I176">
        <v>0.026857550471956</v>
      </c>
    </row>
    <row r="177" spans="1:9">
      <c r="A177" s="8" t="s">
        <v>189</v>
      </c>
      <c r="B177">
        <f>HYPERLINK("https://www.suredividend.com/sure-analysis-research-database/","American Software Inc.")</f>
        <v>0</v>
      </c>
      <c r="C177">
        <v>-0.08083832335329301</v>
      </c>
      <c r="D177">
        <v>-0.162445549866773</v>
      </c>
      <c r="E177">
        <v>-0.06340570498805101</v>
      </c>
      <c r="F177">
        <v>-0.158719719390551</v>
      </c>
      <c r="G177">
        <v>-0.275145600503698</v>
      </c>
      <c r="H177">
        <v>-0.443319532170812</v>
      </c>
      <c r="I177">
        <v>-0.198342719367726</v>
      </c>
    </row>
    <row r="178" spans="1:9">
      <c r="A178" s="8" t="s">
        <v>190</v>
      </c>
      <c r="B178">
        <f>HYPERLINK("https://www.suredividend.com/sure-analysis-AMT/","American Tower Corp.")</f>
        <v>0</v>
      </c>
      <c r="C178">
        <v>0.07160194174757201</v>
      </c>
      <c r="D178">
        <v>-0.04261699800845</v>
      </c>
      <c r="E178">
        <v>-0.062461239533769</v>
      </c>
      <c r="F178">
        <v>-0.09206479776404701</v>
      </c>
      <c r="G178">
        <v>0.05373643570640001</v>
      </c>
      <c r="H178">
        <v>-0.22261732971894</v>
      </c>
      <c r="I178">
        <v>0.030647244984308</v>
      </c>
    </row>
    <row r="179" spans="1:9">
      <c r="A179" s="8" t="s">
        <v>191</v>
      </c>
      <c r="B179">
        <f>HYPERLINK("https://www.suredividend.com/sure-analysis-research-database/","AMTD IDEA Group")</f>
        <v>0</v>
      </c>
      <c r="C179">
        <v>-0.043560714901442</v>
      </c>
      <c r="D179">
        <v>-0.037976878612716</v>
      </c>
      <c r="E179">
        <v>-0.07022346368715</v>
      </c>
      <c r="F179">
        <v>-0.07544025331926001</v>
      </c>
      <c r="G179">
        <v>-0.663777777777777</v>
      </c>
      <c r="H179">
        <v>-0.8032742316784871</v>
      </c>
      <c r="I179">
        <v>-0.835054509415262</v>
      </c>
    </row>
    <row r="180" spans="1:9">
      <c r="A180" s="8" t="s">
        <v>192</v>
      </c>
      <c r="B180">
        <f>HYPERLINK("https://www.suredividend.com/sure-analysis-research-database/","Aemetis Inc")</f>
        <v>0</v>
      </c>
      <c r="C180">
        <v>-0.234567901234567</v>
      </c>
      <c r="D180">
        <v>-0.049079754601226</v>
      </c>
      <c r="E180">
        <v>-0.315673289183223</v>
      </c>
      <c r="F180">
        <v>-0.408396946564885</v>
      </c>
      <c r="G180">
        <v>-0.457092819614711</v>
      </c>
      <c r="H180">
        <v>-0.614427860696517</v>
      </c>
      <c r="I180">
        <v>2.522727272727273</v>
      </c>
    </row>
    <row r="181" spans="1:9">
      <c r="A181" s="8" t="s">
        <v>193</v>
      </c>
      <c r="B181">
        <f>HYPERLINK("https://www.suredividend.com/sure-analysis-research-database/","American Woodmark Corp.")</f>
        <v>0</v>
      </c>
      <c r="C181">
        <v>-0.119813717188823</v>
      </c>
      <c r="D181">
        <v>-0.135820430219266</v>
      </c>
      <c r="E181">
        <v>-0.030656253642615</v>
      </c>
      <c r="F181">
        <v>-0.104361873990306</v>
      </c>
      <c r="G181">
        <v>0.216145071658379</v>
      </c>
      <c r="H181">
        <v>0.530646051905024</v>
      </c>
      <c r="I181">
        <v>0.070959433354797</v>
      </c>
    </row>
    <row r="182" spans="1:9">
      <c r="A182" s="8" t="s">
        <v>194</v>
      </c>
      <c r="B182">
        <f>HYPERLINK("https://www.suredividend.com/sure-analysis-research-database/","Amazon.com Inc.")</f>
        <v>0</v>
      </c>
      <c r="C182">
        <v>-0.02362788726425</v>
      </c>
      <c r="D182">
        <v>0.04230290691098301</v>
      </c>
      <c r="E182">
        <v>0.254765795206971</v>
      </c>
      <c r="F182">
        <v>0.212978807423983</v>
      </c>
      <c r="G182">
        <v>0.520250763012455</v>
      </c>
      <c r="H182">
        <v>0.498373983739837</v>
      </c>
      <c r="I182">
        <v>1.043203272672849</v>
      </c>
    </row>
    <row r="183" spans="1:9">
      <c r="A183" s="8" t="s">
        <v>195</v>
      </c>
      <c r="B183">
        <f>HYPERLINK("https://www.suredividend.com/sure-analysis-research-database/","Autonation Inc.")</f>
        <v>0</v>
      </c>
      <c r="C183">
        <v>0.009435685152492001</v>
      </c>
      <c r="D183">
        <v>0.12237714904562</v>
      </c>
      <c r="E183">
        <v>0.215778282865312</v>
      </c>
      <c r="F183">
        <v>0.104141696630709</v>
      </c>
      <c r="G183">
        <v>0.146670354747251</v>
      </c>
      <c r="H183">
        <v>0.354627889878278</v>
      </c>
      <c r="I183">
        <v>3.020853540252182</v>
      </c>
    </row>
    <row r="184" spans="1:9">
      <c r="A184" s="8" t="s">
        <v>196</v>
      </c>
      <c r="B184">
        <f>HYPERLINK("https://www.suredividend.com/sure-analysis-research-database/","AnaptysBio Inc")</f>
        <v>0</v>
      </c>
      <c r="C184">
        <v>-0.08761682242990601</v>
      </c>
      <c r="D184">
        <v>-0.04872107186358</v>
      </c>
      <c r="E184">
        <v>0.426918392204628</v>
      </c>
      <c r="F184">
        <v>0.09383753501400501</v>
      </c>
      <c r="G184">
        <v>0.250934329951948</v>
      </c>
      <c r="H184">
        <v>0.020026121027427</v>
      </c>
      <c r="I184">
        <v>-0.691629376151618</v>
      </c>
    </row>
    <row r="185" spans="1:9">
      <c r="A185" s="8" t="s">
        <v>197</v>
      </c>
      <c r="B185">
        <f>HYPERLINK("https://www.suredividend.com/sure-analysis-research-database/","American National Group Inc")</f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>
      <c r="A186" s="8" t="s">
        <v>198</v>
      </c>
      <c r="B186">
        <f>HYPERLINK("https://www.suredividend.com/sure-analysis-ANDE/","Andersons Inc.")</f>
        <v>0</v>
      </c>
      <c r="C186">
        <v>-0.108122550765942</v>
      </c>
      <c r="D186">
        <v>-0.068659181714693</v>
      </c>
      <c r="E186">
        <v>-0.02870245355929</v>
      </c>
      <c r="F186">
        <v>-0.126929186581178</v>
      </c>
      <c r="G186">
        <v>0.182631123960149</v>
      </c>
      <c r="H186">
        <v>0.324133772683757</v>
      </c>
      <c r="I186">
        <v>1.139944781133269</v>
      </c>
    </row>
    <row r="187" spans="1:9">
      <c r="A187" s="8" t="s">
        <v>199</v>
      </c>
      <c r="B187">
        <f>HYPERLINK("https://www.suredividend.com/sure-analysis-research-database/","Arista Networks Inc")</f>
        <v>0</v>
      </c>
      <c r="C187">
        <v>0.08321471586554201</v>
      </c>
      <c r="D187">
        <v>0.035988550684166</v>
      </c>
      <c r="E187">
        <v>0.378559152770681</v>
      </c>
      <c r="F187">
        <v>0.260201265339051</v>
      </c>
      <c r="G187">
        <v>0.9075133363326691</v>
      </c>
      <c r="H187">
        <v>1.845541706615532</v>
      </c>
      <c r="I187">
        <v>3.817237461451064</v>
      </c>
    </row>
    <row r="188" spans="1:9">
      <c r="A188" s="8" t="s">
        <v>200</v>
      </c>
      <c r="B188">
        <f>HYPERLINK("https://www.suredividend.com/sure-analysis-research-database/","Abercrombie &amp; Fitch Co.")</f>
        <v>0</v>
      </c>
      <c r="C188">
        <v>0.3641956081607221</v>
      </c>
      <c r="D188">
        <v>0.371028329942088</v>
      </c>
      <c r="E188">
        <v>1.247754683089556</v>
      </c>
      <c r="F188">
        <v>0.9858308773520741</v>
      </c>
      <c r="G188">
        <v>4.190814814814814</v>
      </c>
      <c r="H188">
        <v>7.681367690782954</v>
      </c>
      <c r="I188">
        <v>10.66712174590595</v>
      </c>
    </row>
    <row r="189" spans="1:9">
      <c r="A189" s="8" t="s">
        <v>201</v>
      </c>
      <c r="B189">
        <f>HYPERLINK("https://www.suredividend.com/sure-analysis-research-database/","Angi Inc")</f>
        <v>0</v>
      </c>
      <c r="C189">
        <v>-0.196153846153846</v>
      </c>
      <c r="D189">
        <v>-0.18359375</v>
      </c>
      <c r="E189">
        <v>-0.136363636363636</v>
      </c>
      <c r="F189">
        <v>-0.160642570281124</v>
      </c>
      <c r="G189">
        <v>-0.364741641337386</v>
      </c>
      <c r="H189">
        <v>-0.62410071942446</v>
      </c>
      <c r="I189">
        <v>-0.857726344452008</v>
      </c>
    </row>
    <row r="190" spans="1:9">
      <c r="A190" s="8" t="s">
        <v>202</v>
      </c>
      <c r="B190">
        <f>HYPERLINK("https://www.suredividend.com/sure-analysis-research-database/","Angiodynamic Inc")</f>
        <v>0</v>
      </c>
      <c r="C190">
        <v>0.017915309446254</v>
      </c>
      <c r="D190">
        <v>0.08695652173913</v>
      </c>
      <c r="E190">
        <v>-0.110953058321479</v>
      </c>
      <c r="F190">
        <v>-0.202806122448979</v>
      </c>
      <c r="G190">
        <v>-0.374374374374374</v>
      </c>
      <c r="H190">
        <v>-0.6985045827303421</v>
      </c>
      <c r="I190">
        <v>-0.675155925155925</v>
      </c>
    </row>
    <row r="191" spans="1:9">
      <c r="A191" s="8" t="s">
        <v>203</v>
      </c>
      <c r="B191">
        <f>HYPERLINK("https://www.suredividend.com/sure-analysis-research-database/","Anworth Mortgage Asset Corp.")</f>
        <v>0</v>
      </c>
      <c r="C191">
        <v>0.09833407047029301</v>
      </c>
      <c r="D191">
        <v>0.165610576546976</v>
      </c>
      <c r="E191">
        <v>0.779848294809771</v>
      </c>
      <c r="F191">
        <v>0.114560347084564</v>
      </c>
      <c r="G191">
        <v>1.549187339606501</v>
      </c>
      <c r="H191">
        <v>-0.09636727515313201</v>
      </c>
      <c r="I191">
        <v>0.114018691588785</v>
      </c>
    </row>
    <row r="192" spans="1:9">
      <c r="A192" s="8" t="s">
        <v>204</v>
      </c>
      <c r="B192">
        <f>HYPERLINK("https://www.suredividend.com/sure-analysis-research-database/","Anika Therapeutics Inc.")</f>
        <v>0</v>
      </c>
      <c r="C192">
        <v>-0.09062059238363801</v>
      </c>
      <c r="D192">
        <v>0.017357001972386</v>
      </c>
      <c r="E192">
        <v>0.147241992882562</v>
      </c>
      <c r="F192">
        <v>0.138128861429832</v>
      </c>
      <c r="G192">
        <v>-0.03732736095558</v>
      </c>
      <c r="H192">
        <v>0.170145190562613</v>
      </c>
      <c r="I192">
        <v>-0.35813837730214</v>
      </c>
    </row>
    <row r="193" spans="1:9">
      <c r="A193" s="8" t="s">
        <v>205</v>
      </c>
      <c r="B193">
        <f>HYPERLINK("https://www.suredividend.com/sure-analysis-research-database/","ANI Pharmaceuticals Inc")</f>
        <v>0</v>
      </c>
      <c r="C193">
        <v>0.000299760191846</v>
      </c>
      <c r="D193">
        <v>0.0004497076900010001</v>
      </c>
      <c r="E193">
        <v>0.369587523086394</v>
      </c>
      <c r="F193">
        <v>0.21037359448676</v>
      </c>
      <c r="G193">
        <v>0.351012145748987</v>
      </c>
      <c r="H193">
        <v>1.331121201536849</v>
      </c>
      <c r="I193">
        <v>-0.05694503320616</v>
      </c>
    </row>
    <row r="194" spans="1:9">
      <c r="A194" s="8" t="s">
        <v>206</v>
      </c>
      <c r="B194">
        <f>HYPERLINK("https://www.suredividend.com/sure-analysis-research-database/","Anixa Biosciences Inc")</f>
        <v>0</v>
      </c>
      <c r="C194">
        <v>-0.123711340206185</v>
      </c>
      <c r="D194">
        <v>-0.260869565217391</v>
      </c>
      <c r="E194">
        <v>-0.291666666666666</v>
      </c>
      <c r="F194">
        <v>-0.342783505154639</v>
      </c>
      <c r="G194">
        <v>-0.267241379310344</v>
      </c>
      <c r="H194">
        <v>-0.26300578034682</v>
      </c>
      <c r="I194">
        <v>-0.398584905660377</v>
      </c>
    </row>
    <row r="195" spans="1:9">
      <c r="A195" s="8" t="s">
        <v>207</v>
      </c>
      <c r="B195">
        <f>HYPERLINK("https://www.suredividend.com/sure-analysis-research-database/","Ansys Inc.")</f>
        <v>0</v>
      </c>
      <c r="C195">
        <v>-0.002276642874723</v>
      </c>
      <c r="D195">
        <v>-0.044405810767009</v>
      </c>
      <c r="E195">
        <v>0.133480130019922</v>
      </c>
      <c r="F195">
        <v>-0.106316137566137</v>
      </c>
      <c r="G195">
        <v>0.036599009109796</v>
      </c>
      <c r="H195">
        <v>0.231862037529438</v>
      </c>
      <c r="I195">
        <v>0.6777898494490141</v>
      </c>
    </row>
    <row r="196" spans="1:9">
      <c r="A196" s="8" t="s">
        <v>208</v>
      </c>
      <c r="B196">
        <f>HYPERLINK("https://www.suredividend.com/sure-analysis-AON/","Aon plc.")</f>
        <v>0</v>
      </c>
      <c r="C196">
        <v>-0.018137679902895</v>
      </c>
      <c r="D196">
        <v>-0.103850417213466</v>
      </c>
      <c r="E196">
        <v>-0.115959442547355</v>
      </c>
      <c r="F196">
        <v>-0.022792421049725</v>
      </c>
      <c r="G196">
        <v>-0.0857157619735</v>
      </c>
      <c r="H196">
        <v>0.062905201635504</v>
      </c>
      <c r="I196">
        <v>0.8636418690132021</v>
      </c>
    </row>
    <row r="197" spans="1:9">
      <c r="A197" s="8" t="s">
        <v>209</v>
      </c>
      <c r="B197">
        <f>HYPERLINK("https://www.suredividend.com/sure-analysis-AOS/","A.O. Smith Corp.")</f>
        <v>0</v>
      </c>
      <c r="C197">
        <v>-0.048580145505749</v>
      </c>
      <c r="D197">
        <v>-0.060669533624972</v>
      </c>
      <c r="E197">
        <v>0.047472140186601</v>
      </c>
      <c r="F197">
        <v>-0.008815284880032</v>
      </c>
      <c r="G197">
        <v>0.176316973029436</v>
      </c>
      <c r="H197">
        <v>0.3606903472881851</v>
      </c>
      <c r="I197">
        <v>1.028211856584309</v>
      </c>
    </row>
    <row r="198" spans="1:9">
      <c r="A198" s="8" t="s">
        <v>210</v>
      </c>
      <c r="B198">
        <f>HYPERLINK("https://www.suredividend.com/sure-analysis-research-database/","Alpha &amp; Omega Semiconductor Ltd")</f>
        <v>0</v>
      </c>
      <c r="C198">
        <v>0.30834829443447</v>
      </c>
      <c r="D198">
        <v>0.185923515052888</v>
      </c>
      <c r="E198">
        <v>0.289252543122512</v>
      </c>
      <c r="F198">
        <v>0.11857252494244</v>
      </c>
      <c r="G198">
        <v>-0.00917743031951</v>
      </c>
      <c r="H198">
        <v>-0.320037322136692</v>
      </c>
      <c r="I198">
        <v>2.425381903642773</v>
      </c>
    </row>
    <row r="199" spans="1:9">
      <c r="A199" s="8" t="s">
        <v>211</v>
      </c>
      <c r="B199">
        <f>HYPERLINK("https://www.suredividend.com/sure-analysis-research-database/","Ampco-Pittsburgh Corp.")</f>
        <v>0</v>
      </c>
      <c r="C199">
        <v>-0.378787878787878</v>
      </c>
      <c r="D199">
        <v>-0.5269230769230761</v>
      </c>
      <c r="E199">
        <v>-0.5527272727272721</v>
      </c>
      <c r="F199">
        <v>-0.5494505494505491</v>
      </c>
      <c r="G199">
        <v>-0.626139817629179</v>
      </c>
      <c r="H199">
        <v>-0.728476821192052</v>
      </c>
      <c r="I199">
        <v>-0.7021791767554471</v>
      </c>
    </row>
    <row r="200" spans="1:9">
      <c r="A200" s="8" t="s">
        <v>212</v>
      </c>
      <c r="B200">
        <f>HYPERLINK("https://www.suredividend.com/sure-analysis-APA/","APA Corporation")</f>
        <v>0</v>
      </c>
      <c r="C200">
        <v>-0.04659616655651001</v>
      </c>
      <c r="D200">
        <v>-0.048310214583779</v>
      </c>
      <c r="E200">
        <v>-0.133521746051291</v>
      </c>
      <c r="F200">
        <v>-0.183027357964279</v>
      </c>
      <c r="G200">
        <v>-0.126511951799203</v>
      </c>
      <c r="H200">
        <v>-0.4025418376032091</v>
      </c>
      <c r="I200">
        <v>0.5933328546891481</v>
      </c>
    </row>
    <row r="201" spans="1:9">
      <c r="A201" s="8" t="s">
        <v>213</v>
      </c>
      <c r="B201">
        <f>HYPERLINK("https://www.suredividend.com/sure-analysis-APAM/","Artisan Partners Asset Management Inc")</f>
        <v>0</v>
      </c>
      <c r="C201">
        <v>-0.001165618233165</v>
      </c>
      <c r="D201">
        <v>-0.045188316284719</v>
      </c>
      <c r="E201">
        <v>0.132493233114568</v>
      </c>
      <c r="F201">
        <v>-0.002851992547041</v>
      </c>
      <c r="G201">
        <v>0.290493924779535</v>
      </c>
      <c r="H201">
        <v>0.233595573365182</v>
      </c>
      <c r="I201">
        <v>1.387759660486933</v>
      </c>
    </row>
    <row r="202" spans="1:9">
      <c r="A202" s="8" t="s">
        <v>214</v>
      </c>
      <c r="B202">
        <f>HYPERLINK("https://www.suredividend.com/sure-analysis-APD/","Air Products &amp; Chemicals Inc.")</f>
        <v>0</v>
      </c>
      <c r="C202">
        <v>0.124190629398753</v>
      </c>
      <c r="D202">
        <v>0.148510034928214</v>
      </c>
      <c r="E202">
        <v>0.081594551979647</v>
      </c>
      <c r="F202">
        <v>0.028415435245293</v>
      </c>
      <c r="G202">
        <v>0.015618499785453</v>
      </c>
      <c r="H202">
        <v>0.127912991759653</v>
      </c>
      <c r="I202">
        <v>0.40692161343252</v>
      </c>
    </row>
    <row r="203" spans="1:9">
      <c r="A203" s="8" t="s">
        <v>215</v>
      </c>
      <c r="B203">
        <f>HYPERLINK("https://www.suredividend.com/sure-analysis-research-database/","Applied Dna Sciences Inc")</f>
        <v>0</v>
      </c>
      <c r="C203">
        <v>-0.85</v>
      </c>
      <c r="D203">
        <v>-0.9517857142857141</v>
      </c>
      <c r="E203">
        <v>-0.975</v>
      </c>
      <c r="F203">
        <v>-0.9562256809338521</v>
      </c>
      <c r="G203">
        <v>-0.9832298136645961</v>
      </c>
      <c r="H203">
        <v>-0.9754545454545451</v>
      </c>
      <c r="I203">
        <v>-0.9988341968911911</v>
      </c>
    </row>
    <row r="204" spans="1:9">
      <c r="A204" s="8" t="s">
        <v>216</v>
      </c>
      <c r="B204">
        <f>HYPERLINK("https://www.suredividend.com/sure-analysis-research-database/","American Public Education Inc")</f>
        <v>0</v>
      </c>
      <c r="C204">
        <v>0.09881422924901101</v>
      </c>
      <c r="D204">
        <v>0.223771093176815</v>
      </c>
      <c r="E204">
        <v>1.004807692307692</v>
      </c>
      <c r="F204">
        <v>0.728497409326424</v>
      </c>
      <c r="G204">
        <v>2.302970297029703</v>
      </c>
      <c r="H204">
        <v>0.144032921810699</v>
      </c>
      <c r="I204">
        <v>-0.4283755997258391</v>
      </c>
    </row>
    <row r="205" spans="1:9">
      <c r="A205" s="8" t="s">
        <v>217</v>
      </c>
      <c r="B205">
        <f>HYPERLINK("https://www.suredividend.com/sure-analysis-research-database/","Apollo Endosurgery Inc")</f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>
      <c r="A206" s="8" t="s">
        <v>218</v>
      </c>
      <c r="B206">
        <f>HYPERLINK("https://www.suredividend.com/sure-analysis-research-database/","Apex Global Brands Inc")</f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>
      <c r="A207" s="8" t="s">
        <v>219</v>
      </c>
      <c r="B207">
        <f>HYPERLINK("https://www.suredividend.com/sure-analysis-APH/","Amphenol Corp.")</f>
        <v>0</v>
      </c>
      <c r="C207">
        <v>0.04746632456703</v>
      </c>
      <c r="D207">
        <v>0.175603527170533</v>
      </c>
      <c r="E207">
        <v>0.4186230104909031</v>
      </c>
      <c r="F207">
        <v>0.320522993414568</v>
      </c>
      <c r="G207">
        <v>0.6741313137138061</v>
      </c>
      <c r="H207">
        <v>0.862927122815723</v>
      </c>
      <c r="I207">
        <v>1.953865077283457</v>
      </c>
    </row>
    <row r="208" spans="1:9">
      <c r="A208" s="8" t="s">
        <v>220</v>
      </c>
      <c r="B208">
        <f>HYPERLINK("https://www.suredividend.com/sure-analysis-APLE/","Apple Hospitality REIT Inc")</f>
        <v>0</v>
      </c>
      <c r="C208">
        <v>-0.03697136630956301</v>
      </c>
      <c r="D208">
        <v>-0.124259189739739</v>
      </c>
      <c r="E208">
        <v>-0.132465188870192</v>
      </c>
      <c r="F208">
        <v>-0.120948362665941</v>
      </c>
      <c r="G208">
        <v>-0.025776195529387</v>
      </c>
      <c r="H208">
        <v>-0.078690095432944</v>
      </c>
      <c r="I208">
        <v>0.09721494001172001</v>
      </c>
    </row>
    <row r="209" spans="1:9">
      <c r="A209" s="8" t="s">
        <v>221</v>
      </c>
      <c r="B209">
        <f>HYPERLINK("https://www.suredividend.com/sure-analysis-research-database/","Apellis Pharmaceuticals Inc")</f>
        <v>0</v>
      </c>
      <c r="C209">
        <v>-0.08041002277904301</v>
      </c>
      <c r="D209">
        <v>-0.35345932094811</v>
      </c>
      <c r="E209">
        <v>-0.369612742036227</v>
      </c>
      <c r="F209">
        <v>-0.325593050451052</v>
      </c>
      <c r="G209">
        <v>-0.561814826875067</v>
      </c>
      <c r="H209">
        <v>-0.105473077775315</v>
      </c>
      <c r="I209">
        <v>0.880298090358639</v>
      </c>
    </row>
    <row r="210" spans="1:9">
      <c r="A210" s="8" t="s">
        <v>222</v>
      </c>
      <c r="B210">
        <f>HYPERLINK("https://www.suredividend.com/sure-analysis-APOG/","Apogee Enterprises Inc.")</f>
        <v>0</v>
      </c>
      <c r="C210">
        <v>-0.04408626349322101</v>
      </c>
      <c r="D210">
        <v>0.09507544979170601</v>
      </c>
      <c r="E210">
        <v>0.30348930478454</v>
      </c>
      <c r="F210">
        <v>0.172676020403306</v>
      </c>
      <c r="G210">
        <v>0.487293169897707</v>
      </c>
      <c r="H210">
        <v>0.499996346818444</v>
      </c>
      <c r="I210">
        <v>0.826918798665183</v>
      </c>
    </row>
    <row r="211" spans="1:9">
      <c r="A211" s="8" t="s">
        <v>223</v>
      </c>
      <c r="B211">
        <f>HYPERLINK("https://www.suredividend.com/sure-analysis-research-database/","Appfolio Inc")</f>
        <v>0</v>
      </c>
      <c r="C211">
        <v>-0.076622801722403</v>
      </c>
      <c r="D211">
        <v>0.003060109289617</v>
      </c>
      <c r="E211">
        <v>0.266000882807327</v>
      </c>
      <c r="F211">
        <v>0.324463172477487</v>
      </c>
      <c r="G211">
        <v>0.470362063441204</v>
      </c>
      <c r="H211">
        <v>1.324014990377798</v>
      </c>
      <c r="I211">
        <v>1.250392310710082</v>
      </c>
    </row>
    <row r="212" spans="1:9">
      <c r="A212" s="8" t="s">
        <v>224</v>
      </c>
      <c r="B212">
        <f>HYPERLINK("https://www.suredividend.com/sure-analysis-research-database/","Appian Corp")</f>
        <v>0</v>
      </c>
      <c r="C212">
        <v>-0.13980521520578</v>
      </c>
      <c r="D212">
        <v>-0.251298878862455</v>
      </c>
      <c r="E212">
        <v>-0.244272702180513</v>
      </c>
      <c r="F212">
        <v>-0.272968667020711</v>
      </c>
      <c r="G212">
        <v>-0.407615750757248</v>
      </c>
      <c r="H212">
        <v>-0.4592139047995261</v>
      </c>
      <c r="I212">
        <v>-0.164734594264795</v>
      </c>
    </row>
    <row r="213" spans="1:9">
      <c r="A213" s="8" t="s">
        <v>225</v>
      </c>
      <c r="B213">
        <f>HYPERLINK("https://www.suredividend.com/sure-analysis-research-database/","Digital Turbine Inc")</f>
        <v>0</v>
      </c>
      <c r="C213">
        <v>-0.259259259259259</v>
      </c>
      <c r="D213">
        <v>-0.478827361563517</v>
      </c>
      <c r="E213">
        <v>-0.7246127366609291</v>
      </c>
      <c r="F213">
        <v>-0.766763848396501</v>
      </c>
      <c r="G213">
        <v>-0.827771797631862</v>
      </c>
      <c r="H213">
        <v>-0.9224806201550381</v>
      </c>
      <c r="I213">
        <v>-0.6631578947368421</v>
      </c>
    </row>
    <row r="214" spans="1:9">
      <c r="A214" s="8" t="s">
        <v>226</v>
      </c>
      <c r="B214">
        <f>HYPERLINK("https://www.suredividend.com/sure-analysis-research-database/","Blue Apron Holdings Inc")</f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>
      <c r="A215" s="8" t="s">
        <v>227</v>
      </c>
      <c r="B215">
        <f>HYPERLINK("https://www.suredividend.com/sure-analysis-research-database/","Alpha Pro Tech Ltd.")</f>
        <v>0</v>
      </c>
      <c r="C215">
        <v>-0.204248366013071</v>
      </c>
      <c r="D215">
        <v>-0.1787521079258</v>
      </c>
      <c r="E215">
        <v>-0.08113207547169801</v>
      </c>
      <c r="F215">
        <v>-0.07939508506616201</v>
      </c>
      <c r="G215">
        <v>0.202469135802469</v>
      </c>
      <c r="H215">
        <v>0.06798245614035101</v>
      </c>
      <c r="I215">
        <v>0.345303867403314</v>
      </c>
    </row>
    <row r="216" spans="1:9">
      <c r="A216" s="8" t="s">
        <v>228</v>
      </c>
      <c r="B216">
        <f>HYPERLINK("https://www.suredividend.com/sure-analysis-research-database/","Preferred Apartment Communities Inc")</f>
        <v>0</v>
      </c>
      <c r="C216">
        <v>0.003613006824568</v>
      </c>
      <c r="D216">
        <v>0.008471157724889001</v>
      </c>
      <c r="E216">
        <v>0.528472383560973</v>
      </c>
      <c r="F216">
        <v>0.393906953923011</v>
      </c>
      <c r="G216">
        <v>1.526503016644602</v>
      </c>
      <c r="H216">
        <v>2.806449648284052</v>
      </c>
      <c r="I216">
        <v>1.152871068857428</v>
      </c>
    </row>
    <row r="217" spans="1:9">
      <c r="A217" s="8" t="s">
        <v>229</v>
      </c>
      <c r="B217">
        <f>HYPERLINK("https://www.suredividend.com/sure-analysis-research-database/","Aptiv PLC")</f>
        <v>0</v>
      </c>
      <c r="C217">
        <v>-0.019036144578313</v>
      </c>
      <c r="D217">
        <v>0.033642249587406</v>
      </c>
      <c r="E217">
        <v>0.007050092764378</v>
      </c>
      <c r="F217">
        <v>-0.092510031208203</v>
      </c>
      <c r="G217">
        <v>-0.152669372463315</v>
      </c>
      <c r="H217">
        <v>-0.257523253693233</v>
      </c>
      <c r="I217">
        <v>0.117686545343727</v>
      </c>
    </row>
    <row r="218" spans="1:9">
      <c r="A218" s="8" t="s">
        <v>230</v>
      </c>
      <c r="B218">
        <f>HYPERLINK("https://www.suredividend.com/sure-analysis-research-database/","Aptevo Therapeutics Inc")</f>
        <v>0</v>
      </c>
      <c r="C218">
        <v>-0.31801724137931</v>
      </c>
      <c r="D218">
        <v>-0.8801363636363631</v>
      </c>
      <c r="E218">
        <v>-0.9066967023635421</v>
      </c>
      <c r="F218">
        <v>-0.9006654947262681</v>
      </c>
      <c r="G218">
        <v>-0.9890368625277161</v>
      </c>
      <c r="H218">
        <v>-0.9967428359683791</v>
      </c>
      <c r="I218">
        <v>-0.9983966875820801</v>
      </c>
    </row>
    <row r="219" spans="1:9">
      <c r="A219" s="8" t="s">
        <v>231</v>
      </c>
      <c r="B219">
        <f>HYPERLINK("https://www.suredividend.com/sure-analysis-research-database/","Apyx Medical Corp")</f>
        <v>0</v>
      </c>
      <c r="C219">
        <v>0.134751773049645</v>
      </c>
      <c r="D219">
        <v>-0.151193633952254</v>
      </c>
      <c r="E219">
        <v>-0.23076923076923</v>
      </c>
      <c r="F219">
        <v>-0.389312977099236</v>
      </c>
      <c r="G219">
        <v>-0.7687861271676301</v>
      </c>
      <c r="H219">
        <v>-0.7796143250688701</v>
      </c>
      <c r="I219">
        <v>-0.723661485319516</v>
      </c>
    </row>
    <row r="220" spans="1:9">
      <c r="A220" s="8" t="s">
        <v>232</v>
      </c>
      <c r="B220">
        <f>HYPERLINK("https://www.suredividend.com/sure-analysis-research-database/","AquaBounty Technologies Inc")</f>
        <v>0</v>
      </c>
      <c r="C220">
        <v>-0.02127659574468</v>
      </c>
      <c r="D220">
        <v>-0.19650655021834</v>
      </c>
      <c r="E220">
        <v>-0.513227513227513</v>
      </c>
      <c r="F220">
        <v>-0.35438596491228</v>
      </c>
      <c r="G220">
        <v>-0.743732590529247</v>
      </c>
      <c r="H220">
        <v>-0.9435582822085891</v>
      </c>
      <c r="I220">
        <v>-0.957990867579908</v>
      </c>
    </row>
    <row r="221" spans="1:9">
      <c r="A221" s="8" t="s">
        <v>233</v>
      </c>
      <c r="B221">
        <f>HYPERLINK("https://www.suredividend.com/sure-analysis-research-database/","Aqua Metals Inc")</f>
        <v>0</v>
      </c>
      <c r="C221">
        <v>-0.211836734693877</v>
      </c>
      <c r="D221">
        <v>-0.261567877629063</v>
      </c>
      <c r="E221">
        <v>-0.512373737373737</v>
      </c>
      <c r="F221">
        <v>-0.491842105263158</v>
      </c>
      <c r="G221">
        <v>-0.6641739130434781</v>
      </c>
      <c r="H221">
        <v>-0.595559744475861</v>
      </c>
      <c r="I221">
        <v>-0.788961748633879</v>
      </c>
    </row>
    <row r="222" spans="1:9">
      <c r="A222" s="8" t="s">
        <v>234</v>
      </c>
      <c r="B222">
        <f>HYPERLINK("https://www.suredividend.com/sure-analysis-research-database/","Evoqua Water Technologies Corp")</f>
        <v>0</v>
      </c>
      <c r="C222">
        <v>0.004632426988922</v>
      </c>
      <c r="D222">
        <v>0.020249539783186</v>
      </c>
      <c r="E222">
        <v>0.130040779338468</v>
      </c>
      <c r="F222">
        <v>0.259595959595959</v>
      </c>
      <c r="G222">
        <v>0.365453052285792</v>
      </c>
      <c r="H222">
        <v>0.6587961423345521</v>
      </c>
      <c r="I222">
        <v>1.592515592515592</v>
      </c>
    </row>
    <row r="223" spans="1:9">
      <c r="A223" s="8" t="s">
        <v>235</v>
      </c>
      <c r="B223">
        <f>HYPERLINK("https://www.suredividend.com/sure-analysis-research-database/","Antero Resources Corp")</f>
        <v>0</v>
      </c>
      <c r="C223">
        <v>-0.009606986899563</v>
      </c>
      <c r="D223">
        <v>0.284743202416918</v>
      </c>
      <c r="E223">
        <v>0.62</v>
      </c>
      <c r="F223">
        <v>0.5</v>
      </c>
      <c r="G223">
        <v>0.5310531053105311</v>
      </c>
      <c r="H223">
        <v>-0.295797971434485</v>
      </c>
      <c r="I223">
        <v>4.274418604651163</v>
      </c>
    </row>
    <row r="224" spans="1:9">
      <c r="A224" s="8" t="s">
        <v>236</v>
      </c>
      <c r="B224">
        <f>HYPERLINK("https://www.suredividend.com/sure-analysis-research-database/","American Renal Associates Holdings Inc.")</f>
        <v>0</v>
      </c>
      <c r="C224">
        <v>0.005244755244755</v>
      </c>
      <c r="D224">
        <v>0</v>
      </c>
      <c r="E224">
        <v>0.802507836990595</v>
      </c>
      <c r="F224">
        <v>0.004366812227074001</v>
      </c>
      <c r="G224">
        <v>0.171079429735234</v>
      </c>
      <c r="H224">
        <v>-0.05427631578947301</v>
      </c>
      <c r="I224">
        <v>-0.566037735849056</v>
      </c>
    </row>
    <row r="225" spans="1:9">
      <c r="A225" s="8" t="s">
        <v>237</v>
      </c>
      <c r="B225">
        <f>HYPERLINK("https://www.suredividend.com/sure-analysis-research-database/","Aravive Inc")</f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>
      <c r="A226" s="8" t="s">
        <v>238</v>
      </c>
      <c r="B226">
        <f>HYPERLINK("https://www.suredividend.com/sure-analysis-research-database/","Accuray Inc")</f>
        <v>0</v>
      </c>
      <c r="C226">
        <v>0.017142857142857</v>
      </c>
      <c r="D226">
        <v>-0.375438596491228</v>
      </c>
      <c r="E226">
        <v>-0.328301886792452</v>
      </c>
      <c r="F226">
        <v>-0.371024734982332</v>
      </c>
      <c r="G226">
        <v>-0.512328767123287</v>
      </c>
      <c r="H226">
        <v>-0.19090909090909</v>
      </c>
      <c r="I226">
        <v>-0.5055555555555551</v>
      </c>
    </row>
    <row r="227" spans="1:9">
      <c r="A227" s="8" t="s">
        <v>239</v>
      </c>
      <c r="B227">
        <f>HYPERLINK("https://www.suredividend.com/sure-analysis-research-database/","ARC Document Solutions Inc")</f>
        <v>0</v>
      </c>
      <c r="C227">
        <v>-0.003745318352059</v>
      </c>
      <c r="D227">
        <v>0.037967768369298</v>
      </c>
      <c r="E227">
        <v>-0.08234725911615501</v>
      </c>
      <c r="F227">
        <v>-0.160697945918657</v>
      </c>
      <c r="G227">
        <v>-0.04949079864212901</v>
      </c>
      <c r="H227">
        <v>-0.055800085190969</v>
      </c>
      <c r="I227">
        <v>0.5754560530679931</v>
      </c>
    </row>
    <row r="228" spans="1:9">
      <c r="A228" s="8" t="s">
        <v>240</v>
      </c>
      <c r="B228">
        <f>HYPERLINK("https://www.suredividend.com/sure-analysis-research-database/","ArcBest Corp")</f>
        <v>0</v>
      </c>
      <c r="C228">
        <v>-0.072184269236002</v>
      </c>
      <c r="D228">
        <v>-0.257011516938246</v>
      </c>
      <c r="E228">
        <v>0.01002478948501</v>
      </c>
      <c r="F228">
        <v>-0.09542204460315201</v>
      </c>
      <c r="G228">
        <v>0.247635223773423</v>
      </c>
      <c r="H228">
        <v>0.334385219117572</v>
      </c>
      <c r="I228">
        <v>3.411046738705898</v>
      </c>
    </row>
    <row r="229" spans="1:9">
      <c r="A229" s="8" t="s">
        <v>241</v>
      </c>
      <c r="B229">
        <f>HYPERLINK("https://www.suredividend.com/sure-analysis-research-database/","Arch Resources Inc")</f>
        <v>0</v>
      </c>
      <c r="C229">
        <v>0.038131890652286</v>
      </c>
      <c r="D229">
        <v>-0.09948719738429201</v>
      </c>
      <c r="E229">
        <v>-0.002331959933786</v>
      </c>
      <c r="F229">
        <v>0.003199010530126</v>
      </c>
      <c r="G229">
        <v>0.484281749284553</v>
      </c>
      <c r="H229">
        <v>-0.027373596556169</v>
      </c>
      <c r="I229">
        <v>0.9998256177249891</v>
      </c>
    </row>
    <row r="230" spans="1:9">
      <c r="A230" s="8" t="s">
        <v>242</v>
      </c>
      <c r="B230">
        <f>HYPERLINK("https://www.suredividend.com/sure-analysis-research-database/","Ardelyx Inc")</f>
        <v>0</v>
      </c>
      <c r="C230">
        <v>-0.30719656283566</v>
      </c>
      <c r="D230">
        <v>-0.280936454849498</v>
      </c>
      <c r="E230">
        <v>0.216981132075471</v>
      </c>
      <c r="F230">
        <v>0.040322580645161</v>
      </c>
      <c r="G230">
        <v>0.7154255319148931</v>
      </c>
      <c r="H230">
        <v>8.272570442783209</v>
      </c>
      <c r="I230">
        <v>1.5</v>
      </c>
    </row>
    <row r="231" spans="1:9">
      <c r="A231" s="8" t="s">
        <v>243</v>
      </c>
      <c r="B231">
        <f>HYPERLINK("https://www.suredividend.com/sure-analysis-ARE/","Alexandria Real Estate Equities Inc.")</f>
        <v>0</v>
      </c>
      <c r="C231">
        <v>-0.043605379667529</v>
      </c>
      <c r="D231">
        <v>-0.06828102773102901</v>
      </c>
      <c r="E231">
        <v>-0.042140304818413</v>
      </c>
      <c r="F231">
        <v>-0.08753713928667001</v>
      </c>
      <c r="G231">
        <v>-0.017799541542558</v>
      </c>
      <c r="H231">
        <v>-0.246128085136364</v>
      </c>
      <c r="I231">
        <v>-0.113077402182097</v>
      </c>
    </row>
    <row r="232" spans="1:9">
      <c r="A232" s="8" t="s">
        <v>244</v>
      </c>
      <c r="B232">
        <f>HYPERLINK("https://www.suredividend.com/sure-analysis-research-database/","Ares Management Corp")</f>
        <v>0</v>
      </c>
      <c r="C232">
        <v>-0.031757593415397</v>
      </c>
      <c r="D232">
        <v>-0.012512043668465</v>
      </c>
      <c r="E232">
        <v>0.244364646676452</v>
      </c>
      <c r="F232">
        <v>0.125580127198259</v>
      </c>
      <c r="G232">
        <v>0.5114389767741191</v>
      </c>
      <c r="H232">
        <v>0.9410486598251261</v>
      </c>
      <c r="I232">
        <v>5.151176511418061</v>
      </c>
    </row>
    <row r="233" spans="1:9">
      <c r="A233" s="8" t="s">
        <v>245</v>
      </c>
      <c r="B233">
        <f>HYPERLINK("https://www.suredividend.com/sure-analysis-research-database/","Argo Group International Holdings Ltd")</f>
        <v>0</v>
      </c>
      <c r="C233">
        <v>0.009084791386271001</v>
      </c>
      <c r="D233">
        <v>0.009764309764309</v>
      </c>
      <c r="E233">
        <v>0.022851296043656</v>
      </c>
      <c r="F233">
        <v>0.160154738878143</v>
      </c>
      <c r="G233">
        <v>0.169930560973706</v>
      </c>
      <c r="H233">
        <v>-0.46999901033493</v>
      </c>
      <c r="I233">
        <v>-0.5003298922352031</v>
      </c>
    </row>
    <row r="234" spans="1:9">
      <c r="A234" s="8" t="s">
        <v>246</v>
      </c>
      <c r="B234">
        <f>HYPERLINK("https://www.suredividend.com/sure-analysis-ARI/","Apollo Commercial Real Estate Finance Inc")</f>
        <v>0</v>
      </c>
      <c r="C234">
        <v>-0.005</v>
      </c>
      <c r="D234">
        <v>-0.064216387028816</v>
      </c>
      <c r="E234">
        <v>-0.043646254841841</v>
      </c>
      <c r="F234">
        <v>-0.124797691928787</v>
      </c>
      <c r="G234">
        <v>0.022242769815585</v>
      </c>
      <c r="H234">
        <v>0.035358265176583</v>
      </c>
      <c r="I234">
        <v>-0.015835649499015</v>
      </c>
    </row>
    <row r="235" spans="1:9">
      <c r="A235" s="8" t="s">
        <v>247</v>
      </c>
      <c r="B235">
        <f>HYPERLINK("https://www.suredividend.com/sure-analysis-research-database/","Ark Restaurants Corp.")</f>
        <v>0</v>
      </c>
      <c r="C235">
        <v>0.126489549479936</v>
      </c>
      <c r="D235">
        <v>0.06803229235498501</v>
      </c>
      <c r="E235">
        <v>-0.00228126677402</v>
      </c>
      <c r="F235">
        <v>0.109759465046681</v>
      </c>
      <c r="G235">
        <v>-0.088116073563951</v>
      </c>
      <c r="H235">
        <v>-0.026290803130013</v>
      </c>
      <c r="I235">
        <v>-0.111166899783619</v>
      </c>
    </row>
    <row r="236" spans="1:9">
      <c r="A236" s="8" t="s">
        <v>248</v>
      </c>
      <c r="B236">
        <f>HYPERLINK("https://www.suredividend.com/sure-analysis-research-database/","American Realty Investors Inc.")</f>
        <v>0</v>
      </c>
      <c r="C236">
        <v>-0.016323633782824</v>
      </c>
      <c r="D236">
        <v>-0.30141129032258</v>
      </c>
      <c r="E236">
        <v>-0.105806451612903</v>
      </c>
      <c r="F236">
        <v>-0.203905801263641</v>
      </c>
      <c r="G236">
        <v>-0.285198555956678</v>
      </c>
      <c r="H236">
        <v>-0.216949152542372</v>
      </c>
      <c r="I236">
        <v>0.133278822567457</v>
      </c>
    </row>
    <row r="237" spans="1:9">
      <c r="A237" s="8" t="s">
        <v>249</v>
      </c>
      <c r="B237">
        <f>HYPERLINK("https://www.suredividend.com/sure-analysis-research-database/","Arlo Technologies Inc")</f>
        <v>0</v>
      </c>
      <c r="C237">
        <v>-0.034557235421166</v>
      </c>
      <c r="D237">
        <v>0.214673913043478</v>
      </c>
      <c r="E237">
        <v>0.456026058631921</v>
      </c>
      <c r="F237">
        <v>0.408613445378151</v>
      </c>
      <c r="G237">
        <v>0.386763185108583</v>
      </c>
      <c r="H237">
        <v>0.8024193548387091</v>
      </c>
      <c r="I237">
        <v>2.673972602739726</v>
      </c>
    </row>
    <row r="238" spans="1:9">
      <c r="A238" s="8" t="s">
        <v>250</v>
      </c>
      <c r="B238">
        <f>HYPERLINK("https://www.suredividend.com/sure-analysis-research-database/","Aramark")</f>
        <v>0</v>
      </c>
      <c r="C238">
        <v>0.08450318338378</v>
      </c>
      <c r="D238">
        <v>0.05433052389921501</v>
      </c>
      <c r="E238">
        <v>0.231175967445115</v>
      </c>
      <c r="F238">
        <v>0.190429306400392</v>
      </c>
      <c r="G238">
        <v>-0.177977205864174</v>
      </c>
      <c r="H238">
        <v>-0.025206832054131</v>
      </c>
      <c r="I238">
        <v>-0.004416498240886</v>
      </c>
    </row>
    <row r="239" spans="1:9">
      <c r="A239" s="8" t="s">
        <v>251</v>
      </c>
      <c r="B239">
        <f>HYPERLINK("https://www.suredividend.com/sure-analysis-research-database/","Armata Pharmaceuticals Inc")</f>
        <v>0</v>
      </c>
      <c r="C239">
        <v>-0.048951048951048</v>
      </c>
      <c r="D239">
        <v>-0.233802816901408</v>
      </c>
      <c r="E239">
        <v>-0.025089605734766</v>
      </c>
      <c r="F239">
        <v>-0.160493827160493</v>
      </c>
      <c r="G239">
        <v>0.7324840764331211</v>
      </c>
      <c r="H239">
        <v>-0.392857142857142</v>
      </c>
      <c r="I239">
        <v>-0.06529209621993101</v>
      </c>
    </row>
    <row r="240" spans="1:9">
      <c r="A240" s="8" t="s">
        <v>252</v>
      </c>
      <c r="B240">
        <f>HYPERLINK("https://www.suredividend.com/sure-analysis-research-database/","Arena Pharmaceuticals Inc")</f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>
      <c r="A241" s="8" t="s">
        <v>253</v>
      </c>
      <c r="B241">
        <f>HYPERLINK("https://www.suredividend.com/sure-analysis-research-database/","Arconic Corporation")</f>
        <v>0</v>
      </c>
      <c r="C241">
        <v>0.008406186953597001</v>
      </c>
      <c r="D241">
        <v>0.03951473136915</v>
      </c>
      <c r="E241">
        <v>0.243366500829187</v>
      </c>
      <c r="F241">
        <v>0.417296786389413</v>
      </c>
      <c r="G241">
        <v>0.09692757863935601</v>
      </c>
      <c r="H241">
        <v>-0.145827399601253</v>
      </c>
      <c r="I241">
        <v>3.333815028901734</v>
      </c>
    </row>
    <row r="242" spans="1:9">
      <c r="A242" s="8" t="s">
        <v>254</v>
      </c>
      <c r="B242">
        <f>HYPERLINK("https://www.suredividend.com/sure-analysis-research-database/","Archrock Inc")</f>
        <v>0</v>
      </c>
      <c r="C242">
        <v>-0.06246901338621701</v>
      </c>
      <c r="D242">
        <v>0.054515848408467</v>
      </c>
      <c r="E242">
        <v>0.335734972098608</v>
      </c>
      <c r="F242">
        <v>0.250727551722313</v>
      </c>
      <c r="G242">
        <v>0.941956950377916</v>
      </c>
      <c r="H242">
        <v>1.057134154301379</v>
      </c>
      <c r="I242">
        <v>1.818433839091424</v>
      </c>
    </row>
    <row r="243" spans="1:9">
      <c r="A243" s="8" t="s">
        <v>255</v>
      </c>
      <c r="B243">
        <f>HYPERLINK("https://www.suredividend.com/sure-analysis-AROW/","Arrow Financial Corp.")</f>
        <v>0</v>
      </c>
      <c r="C243">
        <v>0.093855209713503</v>
      </c>
      <c r="D243">
        <v>0.050567423230974</v>
      </c>
      <c r="E243">
        <v>-0.025866004348398</v>
      </c>
      <c r="F243">
        <v>-0.05759593396434701</v>
      </c>
      <c r="G243">
        <v>0.247677328246165</v>
      </c>
      <c r="H243">
        <v>-0.06653617450361</v>
      </c>
      <c r="I243">
        <v>0.11551666851257</v>
      </c>
    </row>
    <row r="244" spans="1:9">
      <c r="A244" s="8" t="s">
        <v>256</v>
      </c>
      <c r="B244">
        <f>HYPERLINK("https://www.suredividend.com/sure-analysis-research-database/","Aerpio Pharmaceuticals Inc")</f>
        <v>0</v>
      </c>
      <c r="C244">
        <v>0.037735849056603</v>
      </c>
      <c r="D244">
        <v>0.301775147928994</v>
      </c>
      <c r="E244">
        <v>0.235955056179775</v>
      </c>
      <c r="F244">
        <v>1.244897959183673</v>
      </c>
      <c r="G244">
        <v>0.486486486486486</v>
      </c>
      <c r="H244">
        <v>2.242924528301887</v>
      </c>
      <c r="I244">
        <v>-0.435897435897435</v>
      </c>
    </row>
    <row r="245" spans="1:9">
      <c r="A245" s="8" t="s">
        <v>257</v>
      </c>
      <c r="B245">
        <f>HYPERLINK("https://www.suredividend.com/sure-analysis-ARR/","ARMOUR Residential REIT Inc")</f>
        <v>0</v>
      </c>
      <c r="C245">
        <v>0.04194425198529</v>
      </c>
      <c r="D245">
        <v>0.04851036443109601</v>
      </c>
      <c r="E245">
        <v>0.129666011787819</v>
      </c>
      <c r="F245">
        <v>0.07766342724531501</v>
      </c>
      <c r="G245">
        <v>-0.07100735115922101</v>
      </c>
      <c r="H245">
        <v>-0.249811013772011</v>
      </c>
      <c r="I245">
        <v>-0.5584485394923171</v>
      </c>
    </row>
    <row r="246" spans="1:9">
      <c r="A246" s="8" t="s">
        <v>258</v>
      </c>
      <c r="B246">
        <f>HYPERLINK("https://www.suredividend.com/sure-analysis-ARTNA/","Artesian Resources Corp.")</f>
        <v>0</v>
      </c>
      <c r="C246">
        <v>-0.095021424631962</v>
      </c>
      <c r="D246">
        <v>-0.035008849757691</v>
      </c>
      <c r="E246">
        <v>-0.205723075920586</v>
      </c>
      <c r="F246">
        <v>-0.150918987770048</v>
      </c>
      <c r="G246">
        <v>-0.287274519385381</v>
      </c>
      <c r="H246">
        <v>-0.220274240492737</v>
      </c>
      <c r="I246">
        <v>0.04879847581586801</v>
      </c>
    </row>
    <row r="247" spans="1:9">
      <c r="A247" s="8" t="s">
        <v>259</v>
      </c>
      <c r="B247">
        <f>HYPERLINK("https://www.suredividend.com/sure-analysis-research-database/","Art`s-way Manufacturing Co. Inc.")</f>
        <v>0</v>
      </c>
      <c r="C247">
        <v>-0.111111111111111</v>
      </c>
      <c r="D247">
        <v>-0.125</v>
      </c>
      <c r="E247">
        <v>-0.160041997900105</v>
      </c>
      <c r="F247">
        <v>-0.188405797101449</v>
      </c>
      <c r="G247">
        <v>-0.314285714285714</v>
      </c>
      <c r="H247">
        <v>-0.4216867469879511</v>
      </c>
      <c r="I247">
        <v>-0.180487804878048</v>
      </c>
    </row>
    <row r="248" spans="1:9">
      <c r="A248" s="8" t="s">
        <v>260</v>
      </c>
      <c r="B248">
        <f>HYPERLINK("https://www.suredividend.com/sure-analysis-research-database/","Arvinas Inc")</f>
        <v>0</v>
      </c>
      <c r="C248">
        <v>-0.222545878240605</v>
      </c>
      <c r="D248">
        <v>-0.440109083280889</v>
      </c>
      <c r="E248">
        <v>-0.183542367696543</v>
      </c>
      <c r="F248">
        <v>-0.351554907677356</v>
      </c>
      <c r="G248">
        <v>0.111620158267388</v>
      </c>
      <c r="H248">
        <v>-0.404639750167298</v>
      </c>
      <c r="I248">
        <v>0.343907351460221</v>
      </c>
    </row>
    <row r="249" spans="1:9">
      <c r="A249" s="8" t="s">
        <v>261</v>
      </c>
      <c r="B249">
        <f>HYPERLINK("https://www.suredividend.com/sure-analysis-research-database/","Arrow Electronics Inc.")</f>
        <v>0</v>
      </c>
      <c r="C249">
        <v>0.03676586364352</v>
      </c>
      <c r="D249">
        <v>0.09413426387504101</v>
      </c>
      <c r="E249">
        <v>0.115922379459367</v>
      </c>
      <c r="F249">
        <v>0.07721881390593001</v>
      </c>
      <c r="G249">
        <v>-0.016137467314157</v>
      </c>
      <c r="H249">
        <v>0.05681726988203101</v>
      </c>
      <c r="I249">
        <v>0.9779212976869931</v>
      </c>
    </row>
    <row r="250" spans="1:9">
      <c r="A250" s="8" t="s">
        <v>262</v>
      </c>
      <c r="B250">
        <f>HYPERLINK("https://www.suredividend.com/sure-analysis-research-database/","Arrowhead Pharmaceuticals Inc.")</f>
        <v>0</v>
      </c>
      <c r="C250">
        <v>-0.043599999999999</v>
      </c>
      <c r="D250">
        <v>-0.279819277108433</v>
      </c>
      <c r="E250">
        <v>-0.025275173257236</v>
      </c>
      <c r="F250">
        <v>-0.218627450980392</v>
      </c>
      <c r="G250">
        <v>-0.34421283598464</v>
      </c>
      <c r="H250">
        <v>-0.314703353396388</v>
      </c>
      <c r="I250">
        <v>-0.116081330868761</v>
      </c>
    </row>
    <row r="251" spans="1:9">
      <c r="A251" s="8" t="s">
        <v>263</v>
      </c>
      <c r="B251">
        <f>HYPERLINK("https://www.suredividend.com/sure-analysis-ASB/","Associated Banc-Corp.")</f>
        <v>0</v>
      </c>
      <c r="C251">
        <v>-0.061238453643516</v>
      </c>
      <c r="D251">
        <v>-0.01545703747291</v>
      </c>
      <c r="E251">
        <v>0.08562053922318501</v>
      </c>
      <c r="F251">
        <v>-0.017412519635039</v>
      </c>
      <c r="G251">
        <v>0.268076873309384</v>
      </c>
      <c r="H251">
        <v>0.068036742955005</v>
      </c>
      <c r="I251">
        <v>0.220915746134953</v>
      </c>
    </row>
    <row r="252" spans="1:9">
      <c r="A252" s="8" t="s">
        <v>264</v>
      </c>
      <c r="B252">
        <f>HYPERLINK("https://www.suredividend.com/sure-analysis-research-database/","ASGN Inc")</f>
        <v>0</v>
      </c>
      <c r="C252">
        <v>-0.051411800425058</v>
      </c>
      <c r="D252">
        <v>-0.08573936792820901</v>
      </c>
      <c r="E252">
        <v>0.028192189556823</v>
      </c>
      <c r="F252">
        <v>-0.025371737548091</v>
      </c>
      <c r="G252">
        <v>0.273678488925125</v>
      </c>
      <c r="H252">
        <v>-0.04493580599144</v>
      </c>
      <c r="I252">
        <v>0.675245755138516</v>
      </c>
    </row>
    <row r="253" spans="1:9">
      <c r="A253" s="8" t="s">
        <v>265</v>
      </c>
      <c r="B253">
        <f>HYPERLINK("https://www.suredividend.com/sure-analysis-research-database/","Ashland Inc")</f>
        <v>0</v>
      </c>
      <c r="C253">
        <v>0.025696183730018</v>
      </c>
      <c r="D253">
        <v>0.04673237186858301</v>
      </c>
      <c r="E253">
        <v>0.208871739831195</v>
      </c>
      <c r="F253">
        <v>0.197402140806264</v>
      </c>
      <c r="G253">
        <v>0.152971033517108</v>
      </c>
      <c r="H253">
        <v>-0.064863698724168</v>
      </c>
      <c r="I253">
        <v>0.385521829613885</v>
      </c>
    </row>
    <row r="254" spans="1:9">
      <c r="A254" s="8" t="s">
        <v>266</v>
      </c>
      <c r="B254">
        <f>HYPERLINK("https://www.suredividend.com/sure-analysis-research-database/","AdvanSix Inc")</f>
        <v>0</v>
      </c>
      <c r="C254">
        <v>-0.007424314524789001</v>
      </c>
      <c r="D254">
        <v>-0.119757102256812</v>
      </c>
      <c r="E254">
        <v>-0.12604331591847</v>
      </c>
      <c r="F254">
        <v>-0.203638194282547</v>
      </c>
      <c r="G254">
        <v>-0.3595996207047391</v>
      </c>
      <c r="H254">
        <v>-0.485488011455913</v>
      </c>
      <c r="I254">
        <v>-0.05272126614633901</v>
      </c>
    </row>
    <row r="255" spans="1:9">
      <c r="A255" s="8" t="s">
        <v>267</v>
      </c>
      <c r="B255">
        <f>HYPERLINK("https://www.suredividend.com/sure-analysis-research-database/","Assembly Biosciences Inc")</f>
        <v>0</v>
      </c>
      <c r="C255">
        <v>0.131537242472266</v>
      </c>
      <c r="D255">
        <v>0.07465382299819301</v>
      </c>
      <c r="E255">
        <v>0.602477780770266</v>
      </c>
      <c r="F255">
        <v>0.451042555785879</v>
      </c>
      <c r="G255">
        <v>0.072072072072072</v>
      </c>
      <c r="H255">
        <v>-0.436018957345971</v>
      </c>
      <c r="I255">
        <v>-0.9195402298850571</v>
      </c>
    </row>
    <row r="256" spans="1:9">
      <c r="A256" s="8" t="s">
        <v>268</v>
      </c>
      <c r="B256">
        <f>HYPERLINK("https://www.suredividend.com/sure-analysis-research-database/","Aspen Aerogels Inc.")</f>
        <v>0</v>
      </c>
      <c r="C256">
        <v>0.149980966882375</v>
      </c>
      <c r="D256">
        <v>0.740207373271889</v>
      </c>
      <c r="E256">
        <v>1.586472602739726</v>
      </c>
      <c r="F256">
        <v>0.9144486692015211</v>
      </c>
      <c r="G256">
        <v>2.959370904325033</v>
      </c>
      <c r="H256">
        <v>0.471505114466634</v>
      </c>
      <c r="I256">
        <v>5.127789046653144</v>
      </c>
    </row>
    <row r="257" spans="1:9">
      <c r="A257" s="8" t="s">
        <v>269</v>
      </c>
      <c r="B257">
        <f>HYPERLINK("https://www.suredividend.com/sure-analysis-research-database/","Altisource Portfolio Solutions S.A.")</f>
        <v>0</v>
      </c>
      <c r="C257">
        <v>0.06593406593406501</v>
      </c>
      <c r="D257">
        <v>-0.326388888888888</v>
      </c>
      <c r="E257">
        <v>-0.557077625570776</v>
      </c>
      <c r="F257">
        <v>-0.45505617977528</v>
      </c>
      <c r="G257">
        <v>-0.609657947686116</v>
      </c>
      <c r="H257">
        <v>-0.8215271389144431</v>
      </c>
      <c r="I257">
        <v>-0.898216159496327</v>
      </c>
    </row>
    <row r="258" spans="1:9">
      <c r="A258" s="8" t="s">
        <v>270</v>
      </c>
      <c r="B258">
        <f>HYPERLINK("https://www.suredividend.com/sure-analysis-research-database/","Aspen Group Inc")</f>
        <v>0</v>
      </c>
      <c r="C258">
        <v>-0.030538051381483</v>
      </c>
      <c r="D258">
        <v>-0.022482893450635</v>
      </c>
      <c r="E258">
        <v>0.133144475920679</v>
      </c>
      <c r="F258">
        <v>0.176470588235294</v>
      </c>
      <c r="G258">
        <v>0.175778953556731</v>
      </c>
      <c r="H258">
        <v>-0.9708029197080291</v>
      </c>
      <c r="I258">
        <v>-0.9708029197080291</v>
      </c>
    </row>
    <row r="259" spans="1:9">
      <c r="A259" s="8" t="s">
        <v>271</v>
      </c>
      <c r="B259">
        <f>HYPERLINK("https://www.suredividend.com/sure-analysis-research-database/","Assertio Holdings Inc")</f>
        <v>0</v>
      </c>
      <c r="C259">
        <v>-0.106936936936937</v>
      </c>
      <c r="D259">
        <v>0.08730942195897701</v>
      </c>
      <c r="E259">
        <v>-0.122743362831858</v>
      </c>
      <c r="F259">
        <v>-0.07355140186915801</v>
      </c>
      <c r="G259">
        <v>-0.8403703703703701</v>
      </c>
      <c r="H259">
        <v>-0.7058456973293761</v>
      </c>
      <c r="I259">
        <v>-0.7246388888888881</v>
      </c>
    </row>
    <row r="260" spans="1:9">
      <c r="A260" s="8" t="s">
        <v>272</v>
      </c>
      <c r="B260">
        <f>HYPERLINK("https://www.suredividend.com/sure-analysis-research-database/","Ameriserv Financial Inc")</f>
        <v>0</v>
      </c>
      <c r="C260">
        <v>0.027404255319148</v>
      </c>
      <c r="D260">
        <v>-0.048887138073665</v>
      </c>
      <c r="E260">
        <v>-0.171533472875132</v>
      </c>
      <c r="F260">
        <v>-0.229167996935061</v>
      </c>
      <c r="G260">
        <v>-0.07635807192042801</v>
      </c>
      <c r="H260">
        <v>-0.329165624739518</v>
      </c>
      <c r="I260">
        <v>-0.296175373134328</v>
      </c>
    </row>
    <row r="261" spans="1:9">
      <c r="A261" s="8" t="s">
        <v>273</v>
      </c>
      <c r="B261">
        <f>HYPERLINK("https://www.suredividend.com/sure-analysis-research-database/","Astrotech Corp")</f>
        <v>0</v>
      </c>
      <c r="C261">
        <v>0.00106269925611</v>
      </c>
      <c r="D261">
        <v>0.1775</v>
      </c>
      <c r="E261">
        <v>0.1775</v>
      </c>
      <c r="F261">
        <v>0.109540636042402</v>
      </c>
      <c r="G261">
        <v>-0.18554383537956</v>
      </c>
      <c r="H261">
        <v>-0.401904761904761</v>
      </c>
      <c r="I261">
        <v>-0.909770114942528</v>
      </c>
    </row>
    <row r="262" spans="1:9">
      <c r="A262" s="8" t="s">
        <v>274</v>
      </c>
      <c r="B262">
        <f>HYPERLINK("https://www.suredividend.com/sure-analysis-research-database/","Astec Industries Inc.")</f>
        <v>0</v>
      </c>
      <c r="C262">
        <v>-0.061949416589352</v>
      </c>
      <c r="D262">
        <v>-0.256783289117047</v>
      </c>
      <c r="E262">
        <v>-0.015650022991421</v>
      </c>
      <c r="F262">
        <v>-0.156689026361618</v>
      </c>
      <c r="G262">
        <v>-0.280240229098793</v>
      </c>
      <c r="H262">
        <v>-0.3350556762338101</v>
      </c>
      <c r="I262">
        <v>0.110248697138892</v>
      </c>
    </row>
    <row r="263" spans="1:9">
      <c r="A263" s="8" t="s">
        <v>275</v>
      </c>
      <c r="B263">
        <f>HYPERLINK("https://www.suredividend.com/sure-analysis-research-database/","Asure Software Inc")</f>
        <v>0</v>
      </c>
      <c r="C263">
        <v>0.054869684499314</v>
      </c>
      <c r="D263">
        <v>-0.160480349344978</v>
      </c>
      <c r="E263">
        <v>0.010512483574244</v>
      </c>
      <c r="F263">
        <v>-0.192226890756302</v>
      </c>
      <c r="G263">
        <v>-0.397807361002349</v>
      </c>
      <c r="H263">
        <v>0.301184433164128</v>
      </c>
      <c r="I263">
        <v>0.190402476780185</v>
      </c>
    </row>
    <row r="264" spans="1:9">
      <c r="A264" s="8" t="s">
        <v>276</v>
      </c>
      <c r="B264">
        <f>HYPERLINK("https://www.suredividend.com/sure-analysis-research-database/","Amtech Systems Inc.")</f>
        <v>0</v>
      </c>
      <c r="C264">
        <v>0.267368421052631</v>
      </c>
      <c r="D264">
        <v>0.264705882352941</v>
      </c>
      <c r="E264">
        <v>-0.109467455621301</v>
      </c>
      <c r="F264">
        <v>0.433333333333333</v>
      </c>
      <c r="G264">
        <v>-0.388832487309644</v>
      </c>
      <c r="H264">
        <v>-0.332594235033259</v>
      </c>
      <c r="I264">
        <v>0.07499999999999901</v>
      </c>
    </row>
    <row r="265" spans="1:9">
      <c r="A265" s="8" t="s">
        <v>277</v>
      </c>
      <c r="B265">
        <f>HYPERLINK("https://www.suredividend.com/sure-analysis-research-database/","Alphatec Holdings Inc")</f>
        <v>0</v>
      </c>
      <c r="C265">
        <v>-0.242268041237113</v>
      </c>
      <c r="D265">
        <v>-0.201706749418153</v>
      </c>
      <c r="E265">
        <v>-0.181384248210024</v>
      </c>
      <c r="F265">
        <v>-0.318994043679682</v>
      </c>
      <c r="G265">
        <v>-0.325245901639344</v>
      </c>
      <c r="H265">
        <v>0.401907356948228</v>
      </c>
      <c r="I265">
        <v>1.44418052256532</v>
      </c>
    </row>
    <row r="266" spans="1:9">
      <c r="A266" s="8" t="s">
        <v>278</v>
      </c>
      <c r="B266">
        <f>HYPERLINK("https://www.suredividend.com/sure-analysis-research-database/","A10 Networks Inc")</f>
        <v>0</v>
      </c>
      <c r="C266">
        <v>-0.08677867812669801</v>
      </c>
      <c r="D266">
        <v>0.053095099488006</v>
      </c>
      <c r="E266">
        <v>0.132942036083922</v>
      </c>
      <c r="F266">
        <v>0.08046434697378001</v>
      </c>
      <c r="G266">
        <v>-0.010567503698976</v>
      </c>
      <c r="H266">
        <v>-0.103312849126508</v>
      </c>
      <c r="I266">
        <v>1.40957682980976</v>
      </c>
    </row>
    <row r="267" spans="1:9">
      <c r="A267" s="8" t="s">
        <v>279</v>
      </c>
      <c r="B267">
        <f>HYPERLINK("https://www.suredividend.com/sure-analysis-research-database/","Anterix Inc")</f>
        <v>0</v>
      </c>
      <c r="C267">
        <v>0.015693659761456</v>
      </c>
      <c r="D267">
        <v>-0.102855558635985</v>
      </c>
      <c r="E267">
        <v>-0.101111111111111</v>
      </c>
      <c r="F267">
        <v>-0.028811524609843</v>
      </c>
      <c r="G267">
        <v>-0.04879482657260401</v>
      </c>
      <c r="H267">
        <v>-0.300173010380622</v>
      </c>
      <c r="I267">
        <v>-0.340399510803098</v>
      </c>
    </row>
    <row r="268" spans="1:9">
      <c r="A268" s="8" t="s">
        <v>280</v>
      </c>
      <c r="B268">
        <f>HYPERLINK("https://www.suredividend.com/sure-analysis-research-database/","Adtalem Global Education Inc")</f>
        <v>0</v>
      </c>
      <c r="C268">
        <v>0.037912436548223</v>
      </c>
      <c r="D268">
        <v>0.333401263501121</v>
      </c>
      <c r="E268">
        <v>0.09892509237487401</v>
      </c>
      <c r="F268">
        <v>0.109923664122137</v>
      </c>
      <c r="G268">
        <v>0.540254237288135</v>
      </c>
      <c r="H268">
        <v>0.8509193776520511</v>
      </c>
      <c r="I268">
        <v>0.4601651417094391</v>
      </c>
    </row>
    <row r="269" spans="1:9">
      <c r="A269" s="8" t="s">
        <v>281</v>
      </c>
      <c r="B269">
        <f>HYPERLINK("https://www.suredividend.com/sure-analysis-research-database/","Athene Holding Ltd")</f>
        <v>0</v>
      </c>
      <c r="C269">
        <v>0.01055056997332</v>
      </c>
      <c r="D269">
        <v>0.196582423894313</v>
      </c>
      <c r="E269">
        <v>0.18856083297675</v>
      </c>
      <c r="F269">
        <v>0</v>
      </c>
      <c r="G269">
        <v>0.9316179879462211</v>
      </c>
      <c r="H269">
        <v>0.7524710830704521</v>
      </c>
      <c r="I269">
        <v>0.73640341737862</v>
      </c>
    </row>
    <row r="270" spans="1:9">
      <c r="A270" s="8" t="s">
        <v>282</v>
      </c>
      <c r="B270">
        <f>HYPERLINK("https://www.suredividend.com/sure-analysis-research-database/","Athersys Inc")</f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>
      <c r="A271" s="8" t="s">
        <v>283</v>
      </c>
      <c r="B271">
        <f>HYPERLINK("https://www.suredividend.com/sure-analysis-research-database/","ATI Inc")</f>
        <v>0</v>
      </c>
      <c r="C271">
        <v>-0.024577829794348</v>
      </c>
      <c r="D271">
        <v>0.143921568627451</v>
      </c>
      <c r="E271">
        <v>0.46178902530694</v>
      </c>
      <c r="F271">
        <v>0.283043765119859</v>
      </c>
      <c r="G271">
        <v>0.4882653061224481</v>
      </c>
      <c r="H271">
        <v>1.048455056179775</v>
      </c>
      <c r="I271">
        <v>1.427798585101956</v>
      </c>
    </row>
    <row r="272" spans="1:9">
      <c r="A272" s="8" t="s">
        <v>284</v>
      </c>
      <c r="B272">
        <f>HYPERLINK("https://www.suredividend.com/sure-analysis-research-database/","Atkore Inc")</f>
        <v>0</v>
      </c>
      <c r="C272">
        <v>-0.08184148536374401</v>
      </c>
      <c r="D272">
        <v>-0.166125630152746</v>
      </c>
      <c r="E272">
        <v>0.06998444319344301</v>
      </c>
      <c r="F272">
        <v>-0.112448133040516</v>
      </c>
      <c r="G272">
        <v>0.025182620396066</v>
      </c>
      <c r="H272">
        <v>0.179667113807302</v>
      </c>
      <c r="I272">
        <v>4.770352929654823</v>
      </c>
    </row>
    <row r="273" spans="1:9">
      <c r="A273" s="8" t="s">
        <v>285</v>
      </c>
      <c r="B273">
        <f>HYPERLINK("https://www.suredividend.com/sure-analysis-research-database/","Atlanticus Holdings Corp")</f>
        <v>0</v>
      </c>
      <c r="C273">
        <v>-0.0431344356578</v>
      </c>
      <c r="D273">
        <v>-0.139068564036222</v>
      </c>
      <c r="E273">
        <v>-0.154920634920634</v>
      </c>
      <c r="F273">
        <v>-0.311611068011378</v>
      </c>
      <c r="G273">
        <v>-0.32109155827595</v>
      </c>
      <c r="H273">
        <v>-0.337810945273631</v>
      </c>
      <c r="I273">
        <v>6.649425287356322</v>
      </c>
    </row>
    <row r="274" spans="1:9">
      <c r="A274" s="8" t="s">
        <v>286</v>
      </c>
      <c r="B274">
        <f>HYPERLINK("https://www.suredividend.com/sure-analysis-ATLO/","Ames National Corp.")</f>
        <v>0</v>
      </c>
      <c r="C274">
        <v>-0.010821446138711</v>
      </c>
      <c r="D274">
        <v>0.09448133231740401</v>
      </c>
      <c r="E274">
        <v>0.058203842369197</v>
      </c>
      <c r="F274">
        <v>-0.020643910801162</v>
      </c>
      <c r="G274">
        <v>0.167441671456022</v>
      </c>
      <c r="H274">
        <v>0.002887478119498</v>
      </c>
      <c r="I274">
        <v>0.03650176787720701</v>
      </c>
    </row>
    <row r="275" spans="1:9">
      <c r="A275" s="8" t="s">
        <v>287</v>
      </c>
      <c r="B275">
        <f>HYPERLINK("https://www.suredividend.com/sure-analysis-research-database/","ATN International Inc")</f>
        <v>0</v>
      </c>
      <c r="C275">
        <v>0.03386809269162101</v>
      </c>
      <c r="D275">
        <v>-0.268187280968768</v>
      </c>
      <c r="E275">
        <v>-0.23578124897061</v>
      </c>
      <c r="F275">
        <v>-0.395321561217176</v>
      </c>
      <c r="G275">
        <v>-0.400154098343701</v>
      </c>
      <c r="H275">
        <v>-0.4413824820435771</v>
      </c>
      <c r="I275">
        <v>-0.5835397683619471</v>
      </c>
    </row>
    <row r="276" spans="1:9">
      <c r="A276" s="8" t="s">
        <v>288</v>
      </c>
      <c r="B276">
        <f>HYPERLINK("https://www.suredividend.com/sure-analysis-research-database/","Actinium Pharmaceuticals Inc")</f>
        <v>0</v>
      </c>
      <c r="C276">
        <v>-0.09648127128263301</v>
      </c>
      <c r="D276">
        <v>0.045992115637319</v>
      </c>
      <c r="E276">
        <v>0.5018867924528301</v>
      </c>
      <c r="F276">
        <v>0.566929133858267</v>
      </c>
      <c r="G276">
        <v>-0.06462984723854201</v>
      </c>
      <c r="H276">
        <v>0.5047258979206041</v>
      </c>
      <c r="I276">
        <v>0.02051282051282</v>
      </c>
    </row>
    <row r="277" spans="1:9">
      <c r="A277" s="8" t="s">
        <v>289</v>
      </c>
      <c r="B277">
        <f>HYPERLINK("https://www.suredividend.com/sure-analysis-research-database/","Athenex Inc")</f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>
      <c r="A278" s="8" t="s">
        <v>290</v>
      </c>
      <c r="B278">
        <f>HYPERLINK("https://www.suredividend.com/sure-analysis-ATO/","Atmos Energy Corp.")</f>
        <v>0</v>
      </c>
      <c r="C278">
        <v>-0.039419132280304</v>
      </c>
      <c r="D278">
        <v>5.489062389700001E-05</v>
      </c>
      <c r="E278">
        <v>0.016476339339086</v>
      </c>
      <c r="F278">
        <v>0.004461355629026001</v>
      </c>
      <c r="G278">
        <v>0.007344894074323</v>
      </c>
      <c r="H278">
        <v>0.030067414762325</v>
      </c>
      <c r="I278">
        <v>0.247325335874785</v>
      </c>
    </row>
    <row r="279" spans="1:9">
      <c r="A279" s="8" t="s">
        <v>291</v>
      </c>
      <c r="B279">
        <f>HYPERLINK("https://www.suredividend.com/sure-analysis-research-database/","Atossa Therapeutics Inc")</f>
        <v>0</v>
      </c>
      <c r="C279">
        <v>-0.264705882352941</v>
      </c>
      <c r="D279">
        <v>0.136363636363636</v>
      </c>
      <c r="E279">
        <v>0.697677577074562</v>
      </c>
      <c r="F279">
        <v>0.420454545454545</v>
      </c>
      <c r="G279">
        <v>0.302083333333333</v>
      </c>
      <c r="H279">
        <v>0.136363636363636</v>
      </c>
      <c r="I279">
        <v>-0.4212962962962961</v>
      </c>
    </row>
    <row r="280" spans="1:9">
      <c r="A280" s="8" t="s">
        <v>292</v>
      </c>
      <c r="B280">
        <f>HYPERLINK("https://www.suredividend.com/sure-analysis-ATR/","Aptargroup Inc.")</f>
        <v>0</v>
      </c>
      <c r="C280">
        <v>-0.027851990382046</v>
      </c>
      <c r="D280">
        <v>0.009174439147232</v>
      </c>
      <c r="E280">
        <v>0.157648593403272</v>
      </c>
      <c r="F280">
        <v>0.184525563127766</v>
      </c>
      <c r="G280">
        <v>0.277365056101381</v>
      </c>
      <c r="H280">
        <v>0.356867914432022</v>
      </c>
      <c r="I280">
        <v>0.270982564267357</v>
      </c>
    </row>
    <row r="281" spans="1:9">
      <c r="A281" s="8" t="s">
        <v>293</v>
      </c>
      <c r="B281">
        <f>HYPERLINK("https://www.suredividend.com/sure-analysis-research-database/","Atara Biotherapeutics Inc")</f>
        <v>0</v>
      </c>
      <c r="C281">
        <v>-0.122469299701294</v>
      </c>
      <c r="D281">
        <v>-0.240557231078558</v>
      </c>
      <c r="E281">
        <v>-0.239027198158008</v>
      </c>
      <c r="F281">
        <v>0.031201248049921</v>
      </c>
      <c r="G281">
        <v>-0.6795151515151511</v>
      </c>
      <c r="H281">
        <v>-0.90673721340388</v>
      </c>
      <c r="I281">
        <v>-0.9760507246376811</v>
      </c>
    </row>
    <row r="282" spans="1:9">
      <c r="A282" s="8" t="s">
        <v>294</v>
      </c>
      <c r="B282">
        <f>HYPERLINK("https://www.suredividend.com/sure-analysis-research-database/","Atricure Inc")</f>
        <v>0</v>
      </c>
      <c r="C282">
        <v>0.025148605395519</v>
      </c>
      <c r="D282">
        <v>-0.396825396825396</v>
      </c>
      <c r="E282">
        <v>-0.329545454545454</v>
      </c>
      <c r="F282">
        <v>-0.371812832726253</v>
      </c>
      <c r="G282">
        <v>-0.5407619827939371</v>
      </c>
      <c r="H282">
        <v>-0.467331907816583</v>
      </c>
      <c r="I282">
        <v>-0.232717316906228</v>
      </c>
    </row>
    <row r="283" spans="1:9">
      <c r="A283" s="8" t="s">
        <v>295</v>
      </c>
      <c r="B283">
        <f>HYPERLINK("https://www.suredividend.com/sure-analysis-ATRI/","Atrion Corp.")</f>
        <v>0</v>
      </c>
      <c r="C283">
        <v>0.08494726749760301</v>
      </c>
      <c r="D283">
        <v>0.105213848282638</v>
      </c>
      <c r="E283">
        <v>0.399304428472061</v>
      </c>
      <c r="F283">
        <v>0.207947732456016</v>
      </c>
      <c r="G283">
        <v>-0.169441982593952</v>
      </c>
      <c r="H283">
        <v>-0.225324681103631</v>
      </c>
      <c r="I283">
        <v>-0.438185023852684</v>
      </c>
    </row>
    <row r="284" spans="1:9">
      <c r="A284" s="8" t="s">
        <v>296</v>
      </c>
      <c r="B284">
        <f>HYPERLINK("https://www.suredividend.com/sure-analysis-research-database/","Astronics Corp.")</f>
        <v>0</v>
      </c>
      <c r="C284">
        <v>0.001070090957731</v>
      </c>
      <c r="D284">
        <v>0.011351351351351</v>
      </c>
      <c r="E284">
        <v>0.234983498349835</v>
      </c>
      <c r="F284">
        <v>0.074052812858782</v>
      </c>
      <c r="G284">
        <v>0.047006155567991</v>
      </c>
      <c r="H284">
        <v>0.7180899908172631</v>
      </c>
      <c r="I284">
        <v>-0.562134331851158</v>
      </c>
    </row>
    <row r="285" spans="1:9">
      <c r="A285" s="8" t="s">
        <v>297</v>
      </c>
      <c r="B285">
        <f>HYPERLINK("https://www.suredividend.com/sure-analysis-research-database/","Antares Pharma Inc")</f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>
      <c r="A286" s="8" t="s">
        <v>298</v>
      </c>
      <c r="B286">
        <f>HYPERLINK("https://www.suredividend.com/sure-analysis-research-database/","Air Transport Services Group Inc")</f>
        <v>0</v>
      </c>
      <c r="C286">
        <v>-0.157715839564921</v>
      </c>
      <c r="D286">
        <v>-0.067018072289156</v>
      </c>
      <c r="E286">
        <v>-0.208812260536398</v>
      </c>
      <c r="F286">
        <v>-0.296422487223168</v>
      </c>
      <c r="G286">
        <v>-0.332794830371567</v>
      </c>
      <c r="H286">
        <v>-0.6187692307692301</v>
      </c>
      <c r="I286">
        <v>-0.4549054113506371</v>
      </c>
    </row>
    <row r="287" spans="1:9">
      <c r="A287" s="8" t="s">
        <v>299</v>
      </c>
      <c r="B287">
        <f>HYPERLINK("https://www.suredividend.com/sure-analysis-research-database/","Altice USA Inc")</f>
        <v>0</v>
      </c>
      <c r="C287">
        <v>0.23</v>
      </c>
      <c r="D287">
        <v>-0.053846153846153</v>
      </c>
      <c r="E287">
        <v>0.154929577464788</v>
      </c>
      <c r="F287">
        <v>-0.243076923076923</v>
      </c>
      <c r="G287">
        <v>-0.108695652173912</v>
      </c>
      <c r="H287">
        <v>-0.773062730627306</v>
      </c>
      <c r="I287">
        <v>-0.9004451639012541</v>
      </c>
    </row>
    <row r="288" spans="1:9">
      <c r="A288" s="8" t="s">
        <v>300</v>
      </c>
      <c r="B288">
        <f>HYPERLINK("https://www.suredividend.com/sure-analysis-research-database/","Activision Blizzard Inc")</f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>
      <c r="A289" s="8" t="s">
        <v>301</v>
      </c>
      <c r="B289">
        <f>HYPERLINK("https://www.suredividend.com/sure-analysis-AUB/","Atlantic Union Bankshares Corp")</f>
        <v>0</v>
      </c>
      <c r="C289">
        <v>-0.05354933973086001</v>
      </c>
      <c r="D289">
        <v>-0.079755494529495</v>
      </c>
      <c r="E289">
        <v>-0.02411908217782</v>
      </c>
      <c r="F289">
        <v>-0.118394585380415</v>
      </c>
      <c r="G289">
        <v>0.116801142247244</v>
      </c>
      <c r="H289">
        <v>-0.014544819499538</v>
      </c>
      <c r="I289">
        <v>0.137529473172663</v>
      </c>
    </row>
    <row r="290" spans="1:9">
      <c r="A290" s="8" t="s">
        <v>302</v>
      </c>
      <c r="B290">
        <f>HYPERLINK("https://www.suredividend.com/sure-analysis-AUBN/","Auburn National Bancorp Inc.")</f>
        <v>0</v>
      </c>
      <c r="C290">
        <v>0.014415376401494</v>
      </c>
      <c r="D290">
        <v>-0.073170731707317</v>
      </c>
      <c r="E290">
        <v>-0.062196139209579</v>
      </c>
      <c r="F290">
        <v>-0.083347806789015</v>
      </c>
      <c r="G290">
        <v>-0.048086654174891</v>
      </c>
      <c r="H290">
        <v>-0.295165951321934</v>
      </c>
      <c r="I290">
        <v>-0.329247627654767</v>
      </c>
    </row>
    <row r="291" spans="1:9">
      <c r="A291" s="8" t="s">
        <v>303</v>
      </c>
      <c r="B291">
        <f>HYPERLINK("https://www.suredividend.com/sure-analysis-research-database/","Golden Minerals Co")</f>
        <v>0</v>
      </c>
      <c r="C291">
        <v>-0.211908931698774</v>
      </c>
      <c r="D291">
        <v>0.135790005047955</v>
      </c>
      <c r="E291">
        <v>-0.097472924187725</v>
      </c>
      <c r="F291">
        <v>-0.134448932487016</v>
      </c>
      <c r="G291">
        <v>-0.832869080779944</v>
      </c>
      <c r="H291">
        <v>-0.9526315789473681</v>
      </c>
      <c r="I291">
        <v>-0.9365750528541221</v>
      </c>
    </row>
    <row r="292" spans="1:9">
      <c r="A292" s="8" t="s">
        <v>304</v>
      </c>
      <c r="B292">
        <f>HYPERLINK("https://www.suredividend.com/sure-analysis-research-database/","AutoWeb Inc")</f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>
      <c r="A293" s="8" t="s">
        <v>305</v>
      </c>
      <c r="B293">
        <f>HYPERLINK("https://www.suredividend.com/sure-analysis-AVA/","Avista Corp.")</f>
        <v>0</v>
      </c>
      <c r="C293">
        <v>-0.060131216840388</v>
      </c>
      <c r="D293">
        <v>0.042916117280441</v>
      </c>
      <c r="E293">
        <v>0.023259888738008</v>
      </c>
      <c r="F293">
        <v>0.006653566380528</v>
      </c>
      <c r="G293">
        <v>-0.127826660526938</v>
      </c>
      <c r="H293">
        <v>-0.107620371926714</v>
      </c>
      <c r="I293">
        <v>0.002457508561227</v>
      </c>
    </row>
    <row r="294" spans="1:9">
      <c r="A294" s="8" t="s">
        <v>306</v>
      </c>
      <c r="B294">
        <f>HYPERLINK("https://www.suredividend.com/sure-analysis-research-database/","AeroVironment Inc.")</f>
        <v>0</v>
      </c>
      <c r="C294">
        <v>0.126399019989977</v>
      </c>
      <c r="D294">
        <v>0.138571508977317</v>
      </c>
      <c r="E294">
        <v>0.632292423142096</v>
      </c>
      <c r="F294">
        <v>0.6049666772453181</v>
      </c>
      <c r="G294">
        <v>1.060609147397372</v>
      </c>
      <c r="H294">
        <v>1.1770340077486</v>
      </c>
      <c r="I294">
        <v>2.159793814432989</v>
      </c>
    </row>
    <row r="295" spans="1:9">
      <c r="A295" s="8" t="s">
        <v>307</v>
      </c>
      <c r="B295">
        <f>HYPERLINK("https://www.suredividend.com/sure-analysis-AVB/","Avalonbay Communities Inc.")</f>
        <v>0</v>
      </c>
      <c r="C295">
        <v>0.006738475675123001</v>
      </c>
      <c r="D295">
        <v>0.075951093628095</v>
      </c>
      <c r="E295">
        <v>0.145125045727192</v>
      </c>
      <c r="F295">
        <v>0.06336515358700301</v>
      </c>
      <c r="G295">
        <v>0.099240436619349</v>
      </c>
      <c r="H295">
        <v>0.03612923428047801</v>
      </c>
      <c r="I295">
        <v>0.120849529034043</v>
      </c>
    </row>
    <row r="296" spans="1:9">
      <c r="A296" s="8" t="s">
        <v>308</v>
      </c>
      <c r="B296">
        <f>HYPERLINK("https://www.suredividend.com/sure-analysis-research-database/","American Vanguard Corp.")</f>
        <v>0</v>
      </c>
      <c r="C296">
        <v>-0.291087489779231</v>
      </c>
      <c r="D296">
        <v>-0.218468306050335</v>
      </c>
      <c r="E296">
        <v>-0.139778545064888</v>
      </c>
      <c r="F296">
        <v>-0.207777848847303</v>
      </c>
      <c r="G296">
        <v>-0.5191747774727561</v>
      </c>
      <c r="H296">
        <v>-0.6523015471979591</v>
      </c>
      <c r="I296">
        <v>-0.328645986588406</v>
      </c>
    </row>
    <row r="297" spans="1:9">
      <c r="A297" s="8" t="s">
        <v>309</v>
      </c>
      <c r="B297">
        <f>HYPERLINK("https://www.suredividend.com/sure-analysis-research-database/","AVEO Pharmaceuticals Inc")</f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>
      <c r="A298" s="8" t="s">
        <v>310</v>
      </c>
      <c r="B298">
        <f>HYPERLINK("https://www.suredividend.com/sure-analysis-AVGO/","Broadcom Inc")</f>
        <v>0</v>
      </c>
      <c r="C298">
        <v>0.079448396528305</v>
      </c>
      <c r="D298">
        <v>0.008270724388153001</v>
      </c>
      <c r="E298">
        <v>0.5524030385444331</v>
      </c>
      <c r="F298">
        <v>0.270904363778033</v>
      </c>
      <c r="G298">
        <v>0.835532316637936</v>
      </c>
      <c r="H298">
        <v>1.621928510956203</v>
      </c>
      <c r="I298">
        <v>5.097792528357441</v>
      </c>
    </row>
    <row r="299" spans="1:9">
      <c r="A299" s="8" t="s">
        <v>311</v>
      </c>
      <c r="B299">
        <f>HYPERLINK("https://www.suredividend.com/sure-analysis-research-database/","Avinger Inc")</f>
        <v>0</v>
      </c>
      <c r="C299">
        <v>-0.47877659574468</v>
      </c>
      <c r="D299">
        <v>-0.406121212121212</v>
      </c>
      <c r="E299">
        <v>-0.357442622950819</v>
      </c>
      <c r="F299">
        <v>-0.276826568265682</v>
      </c>
      <c r="G299">
        <v>-0.770783625730994</v>
      </c>
      <c r="H299">
        <v>-0.9217644710578841</v>
      </c>
      <c r="I299">
        <v>-0.9986668027210881</v>
      </c>
    </row>
    <row r="300" spans="1:9">
      <c r="A300" s="8" t="s">
        <v>312</v>
      </c>
      <c r="B300">
        <f>HYPERLINK("https://www.suredividend.com/sure-analysis-research-database/","Avid Technology, Inc.")</f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>
      <c r="A301" s="8" t="s">
        <v>313</v>
      </c>
      <c r="B301">
        <f>HYPERLINK("https://www.suredividend.com/sure-analysis-research-database/","Avalara Inc")</f>
        <v>0</v>
      </c>
      <c r="C301">
        <v>0.009503239740820001</v>
      </c>
      <c r="D301">
        <v>0.127895752895752</v>
      </c>
      <c r="E301">
        <v>0.059984125184261</v>
      </c>
      <c r="F301">
        <v>-0.275966230346216</v>
      </c>
      <c r="G301">
        <v>-0.4702181921224141</v>
      </c>
      <c r="H301">
        <v>-0.40666455093621</v>
      </c>
      <c r="I301">
        <v>1.080106809078771</v>
      </c>
    </row>
    <row r="302" spans="1:9">
      <c r="A302" s="8" t="s">
        <v>314</v>
      </c>
      <c r="B302">
        <f>HYPERLINK("https://www.suredividend.com/sure-analysis-research-database/","Avanos Medical Inc")</f>
        <v>0</v>
      </c>
      <c r="C302">
        <v>0.011258955987717</v>
      </c>
      <c r="D302">
        <v>0.003555104113763</v>
      </c>
      <c r="E302">
        <v>-0.059942911512844</v>
      </c>
      <c r="F302">
        <v>-0.119037004012483</v>
      </c>
      <c r="G302">
        <v>-0.227521501172791</v>
      </c>
      <c r="H302">
        <v>-0.302013422818791</v>
      </c>
      <c r="I302">
        <v>-0.511737089201877</v>
      </c>
    </row>
    <row r="303" spans="1:9">
      <c r="A303" s="8" t="s">
        <v>315</v>
      </c>
      <c r="B303">
        <f>HYPERLINK("https://www.suredividend.com/sure-analysis-research-database/","Aviat Networks Inc")</f>
        <v>0</v>
      </c>
      <c r="C303">
        <v>-0.012832852101379</v>
      </c>
      <c r="D303">
        <v>-0.138577827547592</v>
      </c>
      <c r="E303">
        <v>-0.03208556149732601</v>
      </c>
      <c r="F303">
        <v>-0.05786895284751901</v>
      </c>
      <c r="G303">
        <v>-0.052356020942408</v>
      </c>
      <c r="H303">
        <v>0.057751804743898</v>
      </c>
      <c r="I303">
        <v>3.864822134387351</v>
      </c>
    </row>
    <row r="304" spans="1:9">
      <c r="A304" s="8" t="s">
        <v>316</v>
      </c>
      <c r="B304">
        <f>HYPERLINK("https://www.suredividend.com/sure-analysis-research-database/","AvroBio Inc")</f>
        <v>0</v>
      </c>
      <c r="C304">
        <v>0.216</v>
      </c>
      <c r="D304">
        <v>0.16030534351145</v>
      </c>
      <c r="E304">
        <v>0.09352517985611501</v>
      </c>
      <c r="F304">
        <v>0.117647058823529</v>
      </c>
      <c r="G304">
        <v>0.266666666666666</v>
      </c>
      <c r="H304">
        <v>0.433962264150943</v>
      </c>
      <c r="I304">
        <v>-0.893408134642356</v>
      </c>
    </row>
    <row r="305" spans="1:9">
      <c r="A305" s="8" t="s">
        <v>317</v>
      </c>
      <c r="B305">
        <f>HYPERLINK("https://www.suredividend.com/sure-analysis-AVT/","Avnet Inc.")</f>
        <v>0</v>
      </c>
      <c r="C305">
        <v>0.05186483054601201</v>
      </c>
      <c r="D305">
        <v>0.136148577528371</v>
      </c>
      <c r="E305">
        <v>0.161420746022085</v>
      </c>
      <c r="F305">
        <v>0.08030619796110601</v>
      </c>
      <c r="G305">
        <v>0.198011610151819</v>
      </c>
      <c r="H305">
        <v>0.161693467730012</v>
      </c>
      <c r="I305">
        <v>0.406393126757004</v>
      </c>
    </row>
    <row r="306" spans="1:9">
      <c r="A306" s="8" t="s">
        <v>318</v>
      </c>
      <c r="B306">
        <f>HYPERLINK("https://www.suredividend.com/sure-analysis-research-database/","Avantor Inc.")</f>
        <v>0</v>
      </c>
      <c r="C306">
        <v>-0.033802816901408</v>
      </c>
      <c r="D306">
        <v>-0.06247559547051901</v>
      </c>
      <c r="E306">
        <v>0.149353757778841</v>
      </c>
      <c r="F306">
        <v>0.051686377573368</v>
      </c>
      <c r="G306">
        <v>0.181594488188976</v>
      </c>
      <c r="H306">
        <v>-0.269324406573341</v>
      </c>
      <c r="I306">
        <v>0.395930232558139</v>
      </c>
    </row>
    <row r="307" spans="1:9">
      <c r="A307" s="8" t="s">
        <v>319</v>
      </c>
      <c r="B307">
        <f>HYPERLINK("https://www.suredividend.com/sure-analysis-research-database/","Anavex Life Sciences Corporation")</f>
        <v>0</v>
      </c>
      <c r="C307">
        <v>0.0078125</v>
      </c>
      <c r="D307">
        <v>-0.254335260115606</v>
      </c>
      <c r="E307">
        <v>-0.5239852398523981</v>
      </c>
      <c r="F307">
        <v>-0.5843179377013961</v>
      </c>
      <c r="G307">
        <v>-0.587420042643923</v>
      </c>
      <c r="H307">
        <v>-0.5656565656565651</v>
      </c>
      <c r="I307">
        <v>0.298657718120805</v>
      </c>
    </row>
    <row r="308" spans="1:9">
      <c r="A308" s="8" t="s">
        <v>320</v>
      </c>
      <c r="B308">
        <f>HYPERLINK("https://www.suredividend.com/sure-analysis-AVY/","Avery Dennison Corp.")</f>
        <v>0</v>
      </c>
      <c r="C308">
        <v>0.014599580870702</v>
      </c>
      <c r="D308">
        <v>0.051026503015738</v>
      </c>
      <c r="E308">
        <v>0.17543904302671</v>
      </c>
      <c r="F308">
        <v>0.127935353438685</v>
      </c>
      <c r="G308">
        <v>0.337739457372818</v>
      </c>
      <c r="H308">
        <v>0.287857014805603</v>
      </c>
      <c r="I308">
        <v>1.191806562343816</v>
      </c>
    </row>
    <row r="309" spans="1:9">
      <c r="A309" s="8" t="s">
        <v>321</v>
      </c>
      <c r="B309">
        <f>HYPERLINK("https://www.suredividend.com/sure-analysis-research-database/","Avaya Holdings Corp.")</f>
        <v>0</v>
      </c>
      <c r="C309">
        <v>0.6990196078431371</v>
      </c>
      <c r="D309">
        <v>-0.7393984962406011</v>
      </c>
      <c r="E309">
        <v>-0.43189641042452</v>
      </c>
      <c r="F309">
        <v>0.7683673469387751</v>
      </c>
      <c r="G309">
        <v>-0.9750647482014381</v>
      </c>
      <c r="H309">
        <v>-0.988117929379499</v>
      </c>
      <c r="I309">
        <v>-0.9835890151515151</v>
      </c>
    </row>
    <row r="310" spans="1:9">
      <c r="A310" s="8" t="s">
        <v>322</v>
      </c>
      <c r="B310">
        <f>HYPERLINK("https://www.suredividend.com/sure-analysis-research-database/","Armstrong World Industries Inc.")</f>
        <v>0</v>
      </c>
      <c r="C310">
        <v>-0.023275862068965</v>
      </c>
      <c r="D310">
        <v>-0.07203635193164601</v>
      </c>
      <c r="E310">
        <v>0.2398665802882</v>
      </c>
      <c r="F310">
        <v>0.157772866014103</v>
      </c>
      <c r="G310">
        <v>0.6944767237524351</v>
      </c>
      <c r="H310">
        <v>0.3483327918581161</v>
      </c>
      <c r="I310">
        <v>0.259237277869099</v>
      </c>
    </row>
    <row r="311" spans="1:9">
      <c r="A311" s="8" t="s">
        <v>323</v>
      </c>
      <c r="B311">
        <f>HYPERLINK("https://www.suredividend.com/sure-analysis-AWK/","American Water Works Co. Inc.")</f>
        <v>0</v>
      </c>
      <c r="C311">
        <v>-0.021558518048335</v>
      </c>
      <c r="D311">
        <v>0.08741364282298501</v>
      </c>
      <c r="E311">
        <v>-0.021295690038049</v>
      </c>
      <c r="F311">
        <v>-0.017142717008373</v>
      </c>
      <c r="G311">
        <v>-0.108456214598933</v>
      </c>
      <c r="H311">
        <v>-0.148883361515857</v>
      </c>
      <c r="I311">
        <v>0.202655688819287</v>
      </c>
    </row>
    <row r="312" spans="1:9">
      <c r="A312" s="8" t="s">
        <v>324</v>
      </c>
      <c r="B312">
        <f>HYPERLINK("https://www.suredividend.com/sure-analysis-AWR/","American States Water Co.")</f>
        <v>0</v>
      </c>
      <c r="C312">
        <v>-0.035942947010932</v>
      </c>
      <c r="D312">
        <v>-0.007005984073352001</v>
      </c>
      <c r="E312">
        <v>-0.130904846735057</v>
      </c>
      <c r="F312">
        <v>-0.110588075543435</v>
      </c>
      <c r="G312">
        <v>-0.217141870625888</v>
      </c>
      <c r="H312">
        <v>-0.09597444089456801</v>
      </c>
      <c r="I312">
        <v>0.033385630768421</v>
      </c>
    </row>
    <row r="313" spans="1:9">
      <c r="A313" s="8" t="s">
        <v>325</v>
      </c>
      <c r="B313">
        <f>HYPERLINK("https://www.suredividend.com/sure-analysis-research-database/","Aware Inc.")</f>
        <v>0</v>
      </c>
      <c r="C313">
        <v>-0.123222748815165</v>
      </c>
      <c r="D313">
        <v>-0.056122448979591</v>
      </c>
      <c r="E313">
        <v>0.15625</v>
      </c>
      <c r="F313">
        <v>0.114457831325301</v>
      </c>
      <c r="G313">
        <v>0.178343949044585</v>
      </c>
      <c r="H313">
        <v>-0.299242424242424</v>
      </c>
      <c r="I313">
        <v>-0.434250764525993</v>
      </c>
    </row>
    <row r="314" spans="1:9">
      <c r="A314" s="8" t="s">
        <v>326</v>
      </c>
      <c r="B314">
        <f>HYPERLINK("https://www.suredividend.com/sure-analysis-research-database/","Axos Financial Inc.")</f>
        <v>0</v>
      </c>
      <c r="C314">
        <v>-0.119067725046444</v>
      </c>
      <c r="D314">
        <v>0.025157232704402</v>
      </c>
      <c r="E314">
        <v>0.16872059153036</v>
      </c>
      <c r="F314">
        <v>-0.044688644688644</v>
      </c>
      <c r="G314">
        <v>0.225851938895417</v>
      </c>
      <c r="H314">
        <v>0.3122012578616351</v>
      </c>
      <c r="I314">
        <v>0.8327477160927611</v>
      </c>
    </row>
    <row r="315" spans="1:9">
      <c r="A315" s="8" t="s">
        <v>327</v>
      </c>
      <c r="B315">
        <f>HYPERLINK("https://www.suredividend.com/sure-analysis-research-database/","Abraxas Petroleum Corp.")</f>
        <v>0</v>
      </c>
      <c r="C315">
        <v>-0.932621359223301</v>
      </c>
      <c r="D315">
        <v>-0.9489705882352941</v>
      </c>
      <c r="E315">
        <v>-0.9574233128834351</v>
      </c>
      <c r="F315">
        <v>-0.9551273761800071</v>
      </c>
      <c r="G315">
        <v>-0.9794674556213011</v>
      </c>
      <c r="H315">
        <v>-0.9829901960784311</v>
      </c>
      <c r="I315">
        <v>-0.9829901960784311</v>
      </c>
    </row>
    <row r="316" spans="1:9">
      <c r="A316" s="8" t="s">
        <v>328</v>
      </c>
      <c r="B316">
        <f>HYPERLINK("https://www.suredividend.com/sure-analysis-research-database/","Accelerate Diagnostics Inc")</f>
        <v>0</v>
      </c>
      <c r="C316">
        <v>0.444444444444444</v>
      </c>
      <c r="D316">
        <v>0.203703703703703</v>
      </c>
      <c r="E316">
        <v>-0.742574257425742</v>
      </c>
      <c r="F316">
        <v>-0.6683673469387751</v>
      </c>
      <c r="G316">
        <v>-0.8142857142857141</v>
      </c>
      <c r="H316">
        <v>-0.8869565217391301</v>
      </c>
      <c r="I316">
        <v>-0.9937258687258681</v>
      </c>
    </row>
    <row r="317" spans="1:9">
      <c r="A317" s="8" t="s">
        <v>329</v>
      </c>
      <c r="B317">
        <f>HYPERLINK("https://www.suredividend.com/sure-analysis-research-database/","Axogen Inc.")</f>
        <v>0</v>
      </c>
      <c r="C317">
        <v>0.195540308747855</v>
      </c>
      <c r="D317">
        <v>-0.227272727272727</v>
      </c>
      <c r="E317">
        <v>-0.060646900269541</v>
      </c>
      <c r="F317">
        <v>0.020497803806734</v>
      </c>
      <c r="G317">
        <v>-0.256929637526652</v>
      </c>
      <c r="H317">
        <v>-0.27092050209205</v>
      </c>
      <c r="I317">
        <v>-0.6616504854368931</v>
      </c>
    </row>
    <row r="318" spans="1:9">
      <c r="A318" s="8" t="s">
        <v>330</v>
      </c>
      <c r="B318">
        <f>HYPERLINK("https://www.suredividend.com/sure-analysis-research-database/","American Axle &amp; Manufacturing Holdings Inc")</f>
        <v>0</v>
      </c>
      <c r="C318">
        <v>-0.006596306068601</v>
      </c>
      <c r="D318">
        <v>0.110619469026548</v>
      </c>
      <c r="E318">
        <v>-0.007905138339920001</v>
      </c>
      <c r="F318">
        <v>-0.145289443813847</v>
      </c>
      <c r="G318">
        <v>-0.027131782945736</v>
      </c>
      <c r="H318">
        <v>-0.179738562091503</v>
      </c>
      <c r="I318">
        <v>-0.329474621549421</v>
      </c>
    </row>
    <row r="319" spans="1:9">
      <c r="A319" s="8" t="s">
        <v>331</v>
      </c>
      <c r="B319">
        <f>HYPERLINK("https://www.suredividend.com/sure-analysis-research-database/","Axonics Inc")</f>
        <v>0</v>
      </c>
      <c r="C319">
        <v>-0.004452359750667</v>
      </c>
      <c r="D319">
        <v>-0.005338078291814</v>
      </c>
      <c r="E319">
        <v>0.158949550794747</v>
      </c>
      <c r="F319">
        <v>0.07793668648561701</v>
      </c>
      <c r="G319">
        <v>0.319174041297935</v>
      </c>
      <c r="H319">
        <v>0.143149284253578</v>
      </c>
      <c r="I319">
        <v>1.126148969889064</v>
      </c>
    </row>
    <row r="320" spans="1:9">
      <c r="A320" s="8" t="s">
        <v>332</v>
      </c>
      <c r="B320">
        <f>HYPERLINK("https://www.suredividend.com/sure-analysis-AXP/","American Express Co.")</f>
        <v>0</v>
      </c>
      <c r="C320">
        <v>-0.008480354555527</v>
      </c>
      <c r="D320">
        <v>0.044628493974091</v>
      </c>
      <c r="E320">
        <v>0.3885946290804551</v>
      </c>
      <c r="F320">
        <v>0.249839519681736</v>
      </c>
      <c r="G320">
        <v>0.3751856621808281</v>
      </c>
      <c r="H320">
        <v>0.419215372200165</v>
      </c>
      <c r="I320">
        <v>1.060675088743561</v>
      </c>
    </row>
    <row r="321" spans="1:9">
      <c r="A321" s="8" t="s">
        <v>333</v>
      </c>
      <c r="B321">
        <f>HYPERLINK("https://www.suredividend.com/sure-analysis-research-database/","AMREP Corp.")</f>
        <v>0</v>
      </c>
      <c r="C321">
        <v>0.034566699123661</v>
      </c>
      <c r="D321">
        <v>-0.069614711033274</v>
      </c>
      <c r="E321">
        <v>0.118421052631578</v>
      </c>
      <c r="F321">
        <v>-0.032771961766044</v>
      </c>
      <c r="G321">
        <v>0.392958512779165</v>
      </c>
      <c r="H321">
        <v>0.662754303599374</v>
      </c>
      <c r="I321">
        <v>3.055343511450381</v>
      </c>
    </row>
    <row r="322" spans="1:9">
      <c r="A322" s="8" t="s">
        <v>334</v>
      </c>
      <c r="B322">
        <f>HYPERLINK("https://www.suredividend.com/sure-analysis-AXS/","Axis Capital Holdings Ltd")</f>
        <v>0</v>
      </c>
      <c r="C322">
        <v>0.047667490190379</v>
      </c>
      <c r="D322">
        <v>0.182966852641943</v>
      </c>
      <c r="E322">
        <v>0.322301012865334</v>
      </c>
      <c r="F322">
        <v>0.31118976511715</v>
      </c>
      <c r="G322">
        <v>0.357754967511065</v>
      </c>
      <c r="H322">
        <v>0.303489351853526</v>
      </c>
      <c r="I322">
        <v>0.400026023510494</v>
      </c>
    </row>
    <row r="323" spans="1:9">
      <c r="A323" s="8" t="s">
        <v>335</v>
      </c>
      <c r="B323">
        <f>HYPERLINK("https://www.suredividend.com/sure-analysis-research-database/","Axsome Therapeutics Inc")</f>
        <v>0</v>
      </c>
      <c r="C323">
        <v>-0.039511307512347</v>
      </c>
      <c r="D323">
        <v>0.025818989450305</v>
      </c>
      <c r="E323">
        <v>0.052256870283354</v>
      </c>
      <c r="F323">
        <v>-0.071491393391129</v>
      </c>
      <c r="G323">
        <v>-0.02106239236985</v>
      </c>
      <c r="H323">
        <v>1.593892593892594</v>
      </c>
      <c r="I323">
        <v>2.354516568315933</v>
      </c>
    </row>
    <row r="324" spans="1:9">
      <c r="A324" s="8" t="s">
        <v>336</v>
      </c>
      <c r="B324">
        <f>HYPERLINK("https://www.suredividend.com/sure-analysis-research-database/","Axalta Coating Systems Ltd")</f>
        <v>0</v>
      </c>
      <c r="C324">
        <v>-0.004145936981757001</v>
      </c>
      <c r="D324">
        <v>0.09082652134423201</v>
      </c>
      <c r="E324">
        <v>0.10453709380748</v>
      </c>
      <c r="F324">
        <v>0.060641742714159</v>
      </c>
      <c r="G324">
        <v>0.148183556405353</v>
      </c>
      <c r="H324">
        <v>0.281750266808964</v>
      </c>
      <c r="I324">
        <v>0.4179456906729631</v>
      </c>
    </row>
    <row r="325" spans="1:9">
      <c r="A325" s="8" t="s">
        <v>337</v>
      </c>
      <c r="B325">
        <f>HYPERLINK("https://www.suredividend.com/sure-analysis-research-database/","AXT Inc")</f>
        <v>0</v>
      </c>
      <c r="C325">
        <v>-0.07772020725388501</v>
      </c>
      <c r="D325">
        <v>-0.207126948775055</v>
      </c>
      <c r="E325">
        <v>0.7365853658536581</v>
      </c>
      <c r="F325">
        <v>0.4833333333333331</v>
      </c>
      <c r="G325">
        <v>-0.07049608355091301</v>
      </c>
      <c r="H325">
        <v>-0.406666666666666</v>
      </c>
      <c r="I325">
        <v>-0.15035799522673</v>
      </c>
    </row>
    <row r="326" spans="1:9">
      <c r="A326" s="8" t="s">
        <v>338</v>
      </c>
      <c r="B326">
        <f>HYPERLINK("https://www.suredividend.com/sure-analysis-research-database/","Acuity Brands, Inc.")</f>
        <v>0</v>
      </c>
      <c r="C326">
        <v>-0.03679969301611601</v>
      </c>
      <c r="D326">
        <v>-0.022460699422924</v>
      </c>
      <c r="E326">
        <v>0.342429400920623</v>
      </c>
      <c r="F326">
        <v>0.226950382343567</v>
      </c>
      <c r="G326">
        <v>0.5236755173916681</v>
      </c>
      <c r="H326">
        <v>0.361100115499113</v>
      </c>
      <c r="I326">
        <v>0.9553085681168081</v>
      </c>
    </row>
    <row r="327" spans="1:9">
      <c r="A327" s="8" t="s">
        <v>339</v>
      </c>
      <c r="B327">
        <f>HYPERLINK("https://www.suredividend.com/sure-analysis-research-database/","Alteryx Inc")</f>
        <v>0</v>
      </c>
      <c r="C327">
        <v>0.008357709987463</v>
      </c>
      <c r="D327">
        <v>0.020943515972075</v>
      </c>
      <c r="E327">
        <v>0.3214676889375681</v>
      </c>
      <c r="F327">
        <v>0.023324851569126</v>
      </c>
      <c r="G327">
        <v>-0.156735977634107</v>
      </c>
      <c r="H327">
        <v>-0.23699604743083</v>
      </c>
      <c r="I327">
        <v>-0.365167061299657</v>
      </c>
    </row>
    <row r="328" spans="1:9">
      <c r="A328" s="8" t="s">
        <v>340</v>
      </c>
      <c r="B328">
        <f>HYPERLINK("https://www.suredividend.com/sure-analysis-research-database/","Autozone Inc.")</f>
        <v>0</v>
      </c>
      <c r="C328">
        <v>-0.06351462056743501</v>
      </c>
      <c r="D328">
        <v>-0.103491986261247</v>
      </c>
      <c r="E328">
        <v>0.06381281574049401</v>
      </c>
      <c r="F328">
        <v>0.08318733296978201</v>
      </c>
      <c r="G328">
        <v>0.214185073591572</v>
      </c>
      <c r="H328">
        <v>0.321097368843102</v>
      </c>
      <c r="I328">
        <v>1.548083046745637</v>
      </c>
    </row>
    <row r="329" spans="1:9">
      <c r="A329" s="8" t="s">
        <v>341</v>
      </c>
      <c r="B329">
        <f>HYPERLINK("https://www.suredividend.com/sure-analysis-research-database/","Aspen Technology Inc")</f>
        <v>0</v>
      </c>
      <c r="C329">
        <v>0.073051862054351</v>
      </c>
      <c r="D329">
        <v>-0.037308112732284</v>
      </c>
      <c r="E329">
        <v>0.036324567686483</v>
      </c>
      <c r="F329">
        <v>-0.079900068135362</v>
      </c>
      <c r="G329">
        <v>0.224667472793228</v>
      </c>
      <c r="H329">
        <v>-0.036483851020311</v>
      </c>
      <c r="I329">
        <v>0.100869565217391</v>
      </c>
    </row>
    <row r="330" spans="1:9">
      <c r="A330" s="8" t="s">
        <v>342</v>
      </c>
      <c r="B330">
        <f>HYPERLINK("https://www.suredividend.com/sure-analysis-research-database/","AZZ Inc")</f>
        <v>0</v>
      </c>
      <c r="C330">
        <v>0.004982953055336001</v>
      </c>
      <c r="D330">
        <v>0.07787446081664701</v>
      </c>
      <c r="E330">
        <v>0.494936254544887</v>
      </c>
      <c r="F330">
        <v>0.32585980208982</v>
      </c>
      <c r="G330">
        <v>0.9280309128964741</v>
      </c>
      <c r="H330">
        <v>0.70672557661002</v>
      </c>
      <c r="I330">
        <v>0.8883358793672691</v>
      </c>
    </row>
    <row r="331" spans="1:9">
      <c r="A331" s="8" t="s">
        <v>343</v>
      </c>
      <c r="B331">
        <f>HYPERLINK("https://www.suredividend.com/sure-analysis-research-database/","Barnes Group Inc.")</f>
        <v>0</v>
      </c>
      <c r="C331">
        <v>-0.002403362021509</v>
      </c>
      <c r="D331">
        <v>-0.012178259944692</v>
      </c>
      <c r="E331">
        <v>0.321603141964724</v>
      </c>
      <c r="F331">
        <v>0.148252893813652</v>
      </c>
      <c r="G331">
        <v>-0.108287287513141</v>
      </c>
      <c r="H331">
        <v>0.03413048137869201</v>
      </c>
      <c r="I331">
        <v>-0.267534321389772</v>
      </c>
    </row>
    <row r="332" spans="1:9">
      <c r="A332" s="8" t="s">
        <v>344</v>
      </c>
      <c r="B332">
        <f>HYPERLINK("https://www.suredividend.com/sure-analysis-research-database/","Boeing Co.")</f>
        <v>0</v>
      </c>
      <c r="C332">
        <v>0.076566125290023</v>
      </c>
      <c r="D332">
        <v>-0.062995616411367</v>
      </c>
      <c r="E332">
        <v>-0.198415708085787</v>
      </c>
      <c r="F332">
        <v>-0.2701603621576</v>
      </c>
      <c r="G332">
        <v>-0.10234511395272</v>
      </c>
      <c r="H332">
        <v>0.350944468115324</v>
      </c>
      <c r="I332">
        <v>-0.452389492003746</v>
      </c>
    </row>
    <row r="333" spans="1:9">
      <c r="A333" s="8" t="s">
        <v>345</v>
      </c>
      <c r="B333">
        <f>HYPERLINK("https://www.suredividend.com/sure-analysis-BAC/","Bank Of America Corp.")</f>
        <v>0</v>
      </c>
      <c r="C333">
        <v>0.057663674650104</v>
      </c>
      <c r="D333">
        <v>0.123265545848322</v>
      </c>
      <c r="E333">
        <v>0.31454157923434</v>
      </c>
      <c r="F333">
        <v>0.197024590459912</v>
      </c>
      <c r="G333">
        <v>0.389553547413537</v>
      </c>
      <c r="H333">
        <v>0.157556270096463</v>
      </c>
      <c r="I333">
        <v>0.636235752861767</v>
      </c>
    </row>
    <row r="334" spans="1:9">
      <c r="A334" s="8" t="s">
        <v>346</v>
      </c>
      <c r="B334">
        <f>HYPERLINK("https://www.suredividend.com/sure-analysis-BAH/","Booz Allen Hamilton Holding Corp")</f>
        <v>0</v>
      </c>
      <c r="C334">
        <v>0.00224570673712</v>
      </c>
      <c r="D334">
        <v>0.022575645259114</v>
      </c>
      <c r="E334">
        <v>0.214911367676023</v>
      </c>
      <c r="F334">
        <v>0.190501408689389</v>
      </c>
      <c r="G334">
        <v>0.4913901556848561</v>
      </c>
      <c r="H334">
        <v>0.7686695814241901</v>
      </c>
      <c r="I334">
        <v>1.496561346241172</v>
      </c>
    </row>
    <row r="335" spans="1:9">
      <c r="A335" s="8" t="s">
        <v>347</v>
      </c>
      <c r="B335">
        <f>HYPERLINK("https://www.suredividend.com/sure-analysis-research-database/","Banc of California Inc")</f>
        <v>0</v>
      </c>
      <c r="C335">
        <v>-0.121293800539083</v>
      </c>
      <c r="D335">
        <v>-0.111135347366125</v>
      </c>
      <c r="E335">
        <v>0.05919812853336801</v>
      </c>
      <c r="F335">
        <v>-0.022444787621632</v>
      </c>
      <c r="G335">
        <v>0.038729309053832</v>
      </c>
      <c r="H335">
        <v>-0.277998327879563</v>
      </c>
      <c r="I335">
        <v>0.04754942521348601</v>
      </c>
    </row>
    <row r="336" spans="1:9">
      <c r="A336" s="8" t="s">
        <v>348</v>
      </c>
      <c r="B336">
        <f>HYPERLINK("https://www.suredividend.com/sure-analysis-research-database/","Bandwidth Inc")</f>
        <v>0</v>
      </c>
      <c r="C336">
        <v>-0.131322094055013</v>
      </c>
      <c r="D336">
        <v>-0.035942885278188</v>
      </c>
      <c r="E336">
        <v>0.708551483420593</v>
      </c>
      <c r="F336">
        <v>0.353144436765721</v>
      </c>
      <c r="G336">
        <v>0.496941896024464</v>
      </c>
      <c r="H336">
        <v>-0.07815442561205201</v>
      </c>
      <c r="I336">
        <v>-0.7445864857813721</v>
      </c>
    </row>
    <row r="337" spans="1:9">
      <c r="A337" s="8" t="s">
        <v>349</v>
      </c>
      <c r="B337">
        <f>HYPERLINK("https://www.suredividend.com/sure-analysis-BANF/","Bancfirst Corp.")</f>
        <v>0</v>
      </c>
      <c r="C337">
        <v>-0.07984250246089901</v>
      </c>
      <c r="D337">
        <v>-0.04286024712932</v>
      </c>
      <c r="E337">
        <v>-0.061530910470071</v>
      </c>
      <c r="F337">
        <v>-0.126842861813256</v>
      </c>
      <c r="G337">
        <v>-0.081975155604829</v>
      </c>
      <c r="H337">
        <v>-0.07341529013456501</v>
      </c>
      <c r="I337">
        <v>0.7317327207532091</v>
      </c>
    </row>
    <row r="338" spans="1:9">
      <c r="A338" s="8" t="s">
        <v>350</v>
      </c>
      <c r="B338">
        <f>HYPERLINK("https://www.suredividend.com/sure-analysis-research-database/","Banner Corp.")</f>
        <v>0</v>
      </c>
      <c r="C338">
        <v>0.000432619511139</v>
      </c>
      <c r="D338">
        <v>0.015343207957656</v>
      </c>
      <c r="E338">
        <v>-0.03472486006119301</v>
      </c>
      <c r="F338">
        <v>-0.108435453618402</v>
      </c>
      <c r="G338">
        <v>0.035947953974792</v>
      </c>
      <c r="H338">
        <v>-0.116633082807292</v>
      </c>
      <c r="I338">
        <v>0.1210218871949</v>
      </c>
    </row>
    <row r="339" spans="1:9">
      <c r="A339" s="8" t="s">
        <v>351</v>
      </c>
      <c r="B339">
        <f>HYPERLINK("https://www.suredividend.com/sure-analysis-research-database/","Atlanta Braves Holdings Inc")</f>
        <v>0</v>
      </c>
      <c r="C339">
        <v>0.001676646706586</v>
      </c>
      <c r="D339">
        <v>0.002637257252457</v>
      </c>
      <c r="E339">
        <v>0.02</v>
      </c>
      <c r="F339">
        <v>-0.022440392706872</v>
      </c>
      <c r="G339">
        <v>-0.05969645868465401</v>
      </c>
      <c r="H339">
        <v>-0.05969645868465401</v>
      </c>
      <c r="I339">
        <v>-0.05969645868465401</v>
      </c>
    </row>
    <row r="340" spans="1:9">
      <c r="A340" s="8" t="s">
        <v>352</v>
      </c>
      <c r="B340">
        <f>HYPERLINK("https://www.suredividend.com/sure-analysis-research-database/","Atlanta Braves Holdings Inc")</f>
        <v>0</v>
      </c>
      <c r="C340">
        <v>0.022861546365271</v>
      </c>
      <c r="D340">
        <v>0.02708279597627</v>
      </c>
      <c r="E340">
        <v>0.09576224545954801</v>
      </c>
      <c r="F340">
        <v>0.006063668519454</v>
      </c>
      <c r="G340">
        <v>-0.06393982134461601</v>
      </c>
      <c r="H340">
        <v>-0.06393982134461601</v>
      </c>
      <c r="I340">
        <v>-0.06393982134461601</v>
      </c>
    </row>
    <row r="341" spans="1:9">
      <c r="A341" s="8" t="s">
        <v>353</v>
      </c>
      <c r="B341">
        <f>HYPERLINK("https://www.suredividend.com/sure-analysis-BAX/","Baxter International Inc.")</f>
        <v>0</v>
      </c>
      <c r="C341">
        <v>-0.073916334093898</v>
      </c>
      <c r="D341">
        <v>-0.230853089692828</v>
      </c>
      <c r="E341">
        <v>-0.07787455089487301</v>
      </c>
      <c r="F341">
        <v>-0.128679986966986</v>
      </c>
      <c r="G341">
        <v>-0.188609208649288</v>
      </c>
      <c r="H341">
        <v>-0.51724720262515</v>
      </c>
      <c r="I341">
        <v>-0.531058201956092</v>
      </c>
    </row>
    <row r="342" spans="1:9">
      <c r="A342" s="8" t="s">
        <v>354</v>
      </c>
      <c r="B342">
        <f>HYPERLINK("https://www.suredividend.com/sure-analysis-research-database/","Bed, Bath &amp; Beyond Inc.")</f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>
      <c r="A343" s="8" t="s">
        <v>355</v>
      </c>
      <c r="B343">
        <f>HYPERLINK("https://www.suredividend.com/sure-analysis-research-database/","Concrete Pumping Holdings Inc")</f>
        <v>0</v>
      </c>
      <c r="C343">
        <v>-0.01131221719457</v>
      </c>
      <c r="D343">
        <v>-0.201583434835566</v>
      </c>
      <c r="E343">
        <v>-0.184701492537313</v>
      </c>
      <c r="F343">
        <v>-0.20060975609756</v>
      </c>
      <c r="G343">
        <v>-0.089583333333333</v>
      </c>
      <c r="H343">
        <v>0.158127208480565</v>
      </c>
      <c r="I343">
        <v>0.337755102040816</v>
      </c>
    </row>
    <row r="344" spans="1:9">
      <c r="A344" s="8" t="s">
        <v>356</v>
      </c>
      <c r="B344">
        <f>HYPERLINK("https://www.suredividend.com/sure-analysis-research-database/","Beasley Broadcast Group Inc")</f>
        <v>0</v>
      </c>
      <c r="C344">
        <v>-0.104576061563831</v>
      </c>
      <c r="D344">
        <v>-0.211138014527845</v>
      </c>
      <c r="E344">
        <v>-0.162467866323907</v>
      </c>
      <c r="F344">
        <v>-0.257858769931662</v>
      </c>
      <c r="G344">
        <v>-0.373461538461538</v>
      </c>
      <c r="H344">
        <v>-0.5536986301369861</v>
      </c>
      <c r="I344">
        <v>-0.8049101796407181</v>
      </c>
    </row>
    <row r="345" spans="1:9">
      <c r="A345" s="8" t="s">
        <v>357</v>
      </c>
      <c r="B345">
        <f>HYPERLINK("https://www.suredividend.com/sure-analysis-research-database/","Barrett Business Services Inc.")</f>
        <v>0</v>
      </c>
      <c r="C345">
        <v>0.07201118620368201</v>
      </c>
      <c r="D345">
        <v>0.105633554247142</v>
      </c>
      <c r="E345">
        <v>0.19482798237002</v>
      </c>
      <c r="F345">
        <v>0.147262215168348</v>
      </c>
      <c r="G345">
        <v>0.4629578971481431</v>
      </c>
      <c r="H345">
        <v>0.8112629828290721</v>
      </c>
      <c r="I345">
        <v>0.8347958517659001</v>
      </c>
    </row>
    <row r="346" spans="1:9">
      <c r="A346" s="8" t="s">
        <v>358</v>
      </c>
      <c r="B346">
        <f>HYPERLINK("https://www.suredividend.com/sure-analysis-research-database/","Build A Bear Workshop Inc")</f>
        <v>0</v>
      </c>
      <c r="C346">
        <v>-0.081109550561797</v>
      </c>
      <c r="D346">
        <v>0.095089046598821</v>
      </c>
      <c r="E346">
        <v>0.122617066181643</v>
      </c>
      <c r="F346">
        <v>0.146057771471613</v>
      </c>
      <c r="G346">
        <v>0.225479866447513</v>
      </c>
      <c r="H346">
        <v>0.4604039130119361</v>
      </c>
      <c r="I346">
        <v>4.071803717126301</v>
      </c>
    </row>
    <row r="347" spans="1:9">
      <c r="A347" s="8" t="s">
        <v>359</v>
      </c>
      <c r="B347">
        <f>HYPERLINK("https://www.suredividend.com/sure-analysis-BBY/","Best Buy Co. Inc.")</f>
        <v>0</v>
      </c>
      <c r="C347">
        <v>0.203394470298384</v>
      </c>
      <c r="D347">
        <v>0.119080500735064</v>
      </c>
      <c r="E347">
        <v>0.208552239093201</v>
      </c>
      <c r="F347">
        <v>0.136807371145884</v>
      </c>
      <c r="G347">
        <v>0.22050933220426</v>
      </c>
      <c r="H347">
        <v>0.235773911845691</v>
      </c>
      <c r="I347">
        <v>0.649063773677626</v>
      </c>
    </row>
    <row r="348" spans="1:9">
      <c r="A348" s="8" t="s">
        <v>360</v>
      </c>
      <c r="B348">
        <f>HYPERLINK("https://www.suredividend.com/sure-analysis-BC/","Brunswick Corp.")</f>
        <v>0</v>
      </c>
      <c r="C348">
        <v>-0.05044992285982101</v>
      </c>
      <c r="D348">
        <v>-0.133793933190574</v>
      </c>
      <c r="E348">
        <v>-0.07940627788141701</v>
      </c>
      <c r="F348">
        <v>-0.194444821348986</v>
      </c>
      <c r="G348">
        <v>-0.07542176843855501</v>
      </c>
      <c r="H348">
        <v>0.09891205144013301</v>
      </c>
      <c r="I348">
        <v>0.9513305100815371</v>
      </c>
    </row>
    <row r="349" spans="1:9">
      <c r="A349" s="8" t="s">
        <v>361</v>
      </c>
      <c r="B349">
        <f>HYPERLINK("https://www.suredividend.com/sure-analysis-research-database/","BCB Bancorp Inc (NJ)")</f>
        <v>0</v>
      </c>
      <c r="C349">
        <v>-0.063522617901828</v>
      </c>
      <c r="D349">
        <v>-0.04253016079195401</v>
      </c>
      <c r="E349">
        <v>-0.130038267586996</v>
      </c>
      <c r="F349">
        <v>-0.197062221488694</v>
      </c>
      <c r="G349">
        <v>-0.128136200716845</v>
      </c>
      <c r="H349">
        <v>-0.3983576958274591</v>
      </c>
      <c r="I349">
        <v>0.06130017452006901</v>
      </c>
    </row>
    <row r="350" spans="1:9">
      <c r="A350" s="8" t="s">
        <v>362</v>
      </c>
      <c r="B350">
        <f>HYPERLINK("https://www.suredividend.com/sure-analysis-research-database/","Boise Cascade Co")</f>
        <v>0</v>
      </c>
      <c r="C350">
        <v>-0.01202946667525</v>
      </c>
      <c r="D350">
        <v>-0.001793380289542</v>
      </c>
      <c r="E350">
        <v>0.160100324244935</v>
      </c>
      <c r="F350">
        <v>-0.0004272473715750001</v>
      </c>
      <c r="G350">
        <v>0.721170625675096</v>
      </c>
      <c r="H350">
        <v>0.607009959198327</v>
      </c>
      <c r="I350">
        <v>5.3285173566621</v>
      </c>
    </row>
    <row r="351" spans="1:9">
      <c r="A351" s="8" t="s">
        <v>363</v>
      </c>
      <c r="B351">
        <f>HYPERLINK("https://www.suredividend.com/sure-analysis-research-database/","Brainstorm Cell Therapeutics, Inc.")</f>
        <v>0</v>
      </c>
      <c r="C351">
        <v>0.117119565217391</v>
      </c>
      <c r="D351">
        <v>0.181661396953147</v>
      </c>
      <c r="E351">
        <v>0.8518018018018011</v>
      </c>
      <c r="F351">
        <v>0.5058608058608051</v>
      </c>
      <c r="G351">
        <v>-0.8601700680272101</v>
      </c>
      <c r="H351">
        <v>-0.8615824915824911</v>
      </c>
      <c r="I351">
        <v>-0.885487465181058</v>
      </c>
    </row>
    <row r="352" spans="1:9">
      <c r="A352" s="8" t="s">
        <v>364</v>
      </c>
      <c r="B352">
        <f>HYPERLINK("https://www.suredividend.com/sure-analysis-research-database/","Brink`s Co.")</f>
        <v>0</v>
      </c>
      <c r="C352">
        <v>0.120517928286852</v>
      </c>
      <c r="D352">
        <v>0.209729220491885</v>
      </c>
      <c r="E352">
        <v>0.21904150015223</v>
      </c>
      <c r="F352">
        <v>0.16235213440768</v>
      </c>
      <c r="G352">
        <v>0.4549585186605221</v>
      </c>
      <c r="H352">
        <v>0.6550013750994711</v>
      </c>
      <c r="I352">
        <v>0.335771082723239</v>
      </c>
    </row>
    <row r="353" spans="1:9">
      <c r="A353" s="8" t="s">
        <v>365</v>
      </c>
      <c r="B353">
        <f>HYPERLINK("https://www.suredividend.com/sure-analysis-research-database/","Blucora Inc")</f>
        <v>0</v>
      </c>
      <c r="C353">
        <v>0.075553797468354</v>
      </c>
      <c r="D353">
        <v>0.262302692664809</v>
      </c>
      <c r="E353">
        <v>0.405894519131334</v>
      </c>
      <c r="F353">
        <v>0.06502154328241201</v>
      </c>
      <c r="G353">
        <v>0.7329509241555131</v>
      </c>
      <c r="H353">
        <v>0.572585309427414</v>
      </c>
      <c r="I353">
        <v>0.132916666666666</v>
      </c>
    </row>
    <row r="354" spans="1:9">
      <c r="A354" s="8" t="s">
        <v>366</v>
      </c>
      <c r="B354">
        <f>HYPERLINK("https://www.suredividend.com/sure-analysis-research-database/","Brightcove Inc")</f>
        <v>0</v>
      </c>
      <c r="C354">
        <v>0.03535353535353501</v>
      </c>
      <c r="D354">
        <v>0.019900497512437</v>
      </c>
      <c r="E354">
        <v>-0.156378600823045</v>
      </c>
      <c r="F354">
        <v>-0.208494208494208</v>
      </c>
      <c r="G354">
        <v>-0.5319634703196341</v>
      </c>
      <c r="H354">
        <v>-0.7092198581560281</v>
      </c>
      <c r="I354">
        <v>-0.800583657587548</v>
      </c>
    </row>
    <row r="355" spans="1:9">
      <c r="A355" s="8" t="s">
        <v>367</v>
      </c>
      <c r="B355">
        <f>HYPERLINK("https://www.suredividend.com/sure-analysis-BCPC/","Balchem Corp.")</f>
        <v>0</v>
      </c>
      <c r="C355">
        <v>-0.01542730299667</v>
      </c>
      <c r="D355">
        <v>-0.02403872600253</v>
      </c>
      <c r="E355">
        <v>0.126836062564742</v>
      </c>
      <c r="F355">
        <v>0.028879610299234</v>
      </c>
      <c r="G355">
        <v>0.114277154931753</v>
      </c>
      <c r="H355">
        <v>0.177209041857206</v>
      </c>
      <c r="I355">
        <v>0.484436509005598</v>
      </c>
    </row>
    <row r="356" spans="1:9">
      <c r="A356" s="8" t="s">
        <v>368</v>
      </c>
      <c r="B356">
        <f>HYPERLINK("https://www.suredividend.com/sure-analysis-research-database/","Biocryst Pharmaceuticals Inc.")</f>
        <v>0</v>
      </c>
      <c r="C356">
        <v>0.199619771863117</v>
      </c>
      <c r="D356">
        <v>0.218146718146718</v>
      </c>
      <c r="E356">
        <v>0.112874779541446</v>
      </c>
      <c r="F356">
        <v>0.053422370617695</v>
      </c>
      <c r="G356">
        <v>-0.283768444948921</v>
      </c>
      <c r="H356">
        <v>-0.415199258572752</v>
      </c>
      <c r="I356">
        <v>0.7824858757062141</v>
      </c>
    </row>
    <row r="357" spans="1:9">
      <c r="A357" s="8" t="s">
        <v>369</v>
      </c>
      <c r="B357">
        <f>HYPERLINK("https://www.suredividend.com/sure-analysis-research-database/","Belden Inc")</f>
        <v>0</v>
      </c>
      <c r="C357">
        <v>0.048114146665191</v>
      </c>
      <c r="D357">
        <v>0.060085692870487</v>
      </c>
      <c r="E357">
        <v>0.333887008115089</v>
      </c>
      <c r="F357">
        <v>0.227367338506513</v>
      </c>
      <c r="G357">
        <v>0.016240980807673</v>
      </c>
      <c r="H357">
        <v>0.604483613982509</v>
      </c>
      <c r="I357">
        <v>0.7243042097697221</v>
      </c>
    </row>
    <row r="358" spans="1:9">
      <c r="A358" s="8" t="s">
        <v>370</v>
      </c>
      <c r="B358">
        <f>HYPERLINK("https://www.suredividend.com/sure-analysis-research-database/","Bridge Bancorp, Inc.")</f>
        <v>0</v>
      </c>
      <c r="C358">
        <v>0.010339123242349</v>
      </c>
      <c r="D358">
        <v>0.250255885363357</v>
      </c>
      <c r="E358">
        <v>0.367279321229488</v>
      </c>
      <c r="F358">
        <v>0.010339123242349</v>
      </c>
      <c r="G358">
        <v>-0.163356164383561</v>
      </c>
      <c r="H358">
        <v>-0.149781790086935</v>
      </c>
      <c r="I358">
        <v>-0.020119045709059</v>
      </c>
    </row>
    <row r="359" spans="1:9">
      <c r="A359" s="8" t="s">
        <v>371</v>
      </c>
      <c r="B359">
        <f>HYPERLINK("https://www.suredividend.com/sure-analysis-research-database/","Flanigan`s Enterprises, Inc.")</f>
        <v>0</v>
      </c>
      <c r="C359">
        <v>-0.028368794326241</v>
      </c>
      <c r="D359">
        <v>0.016399843811011</v>
      </c>
      <c r="E359">
        <v>0.02078431372549</v>
      </c>
      <c r="F359">
        <v>0.012052877138413</v>
      </c>
      <c r="G359">
        <v>-0.167125286370675</v>
      </c>
      <c r="H359">
        <v>-0.235937642179294</v>
      </c>
      <c r="I359">
        <v>0.187077591003201</v>
      </c>
    </row>
    <row r="360" spans="1:9">
      <c r="A360" s="8" t="s">
        <v>372</v>
      </c>
      <c r="B360">
        <f>HYPERLINK("https://www.suredividend.com/sure-analysis-BDN/","Brandywine Realty Trust")</f>
        <v>0</v>
      </c>
      <c r="C360">
        <v>-0.023655913978494</v>
      </c>
      <c r="D360">
        <v>0.07422568203866201</v>
      </c>
      <c r="E360">
        <v>-0.023172752113948</v>
      </c>
      <c r="F360">
        <v>-0.106387166617458</v>
      </c>
      <c r="G360">
        <v>0.142483265388293</v>
      </c>
      <c r="H360">
        <v>-0.4704118889031461</v>
      </c>
      <c r="I360">
        <v>-0.5501298083592621</v>
      </c>
    </row>
    <row r="361" spans="1:9">
      <c r="A361" s="8" t="s">
        <v>373</v>
      </c>
      <c r="B361">
        <f>HYPERLINK("https://www.suredividend.com/sure-analysis-research-database/","Biodelivery Sciences International")</f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>
      <c r="A362" s="8" t="s">
        <v>374</v>
      </c>
      <c r="B362">
        <f>HYPERLINK("https://www.suredividend.com/sure-analysis-BDX/","Becton Dickinson &amp; Co.")</f>
        <v>0</v>
      </c>
      <c r="C362">
        <v>0.014674256799493</v>
      </c>
      <c r="D362">
        <v>0.012667283898661</v>
      </c>
      <c r="E362">
        <v>0.03453034695438401</v>
      </c>
      <c r="F362">
        <v>-0.009128388761968</v>
      </c>
      <c r="G362">
        <v>-0.031425245494636</v>
      </c>
      <c r="H362">
        <v>-0.03913269177015501</v>
      </c>
      <c r="I362">
        <v>0.104678413850187</v>
      </c>
    </row>
    <row r="363" spans="1:9">
      <c r="A363" s="8" t="s">
        <v>375</v>
      </c>
      <c r="B363">
        <f>HYPERLINK("https://www.suredividend.com/sure-analysis-research-database/","Bloom Energy Corp")</f>
        <v>0</v>
      </c>
      <c r="C363">
        <v>0.260832625318606</v>
      </c>
      <c r="D363">
        <v>0.421455938697318</v>
      </c>
      <c r="E363">
        <v>0.069164265129682</v>
      </c>
      <c r="F363">
        <v>0.002702702702702</v>
      </c>
      <c r="G363">
        <v>-0.0595690747782</v>
      </c>
      <c r="H363">
        <v>-0.226277372262773</v>
      </c>
      <c r="I363">
        <v>0.452054794520547</v>
      </c>
    </row>
    <row r="364" spans="1:9">
      <c r="A364" s="8" t="s">
        <v>376</v>
      </c>
      <c r="B364">
        <f>HYPERLINK("https://www.suredividend.com/sure-analysis-research-database/","HeartBeam Inc")</f>
        <v>0</v>
      </c>
      <c r="C364">
        <v>0.180487804878048</v>
      </c>
      <c r="D364">
        <v>0.180487804878048</v>
      </c>
      <c r="E364">
        <v>0.8059701492537311</v>
      </c>
      <c r="F364">
        <v>0.029787234042553</v>
      </c>
      <c r="G364">
        <v>-0.07984790874524701</v>
      </c>
      <c r="H364">
        <v>0.6133333333333331</v>
      </c>
      <c r="I364">
        <v>-0.4840085287846481</v>
      </c>
    </row>
    <row r="365" spans="1:9">
      <c r="A365" s="8" t="s">
        <v>377</v>
      </c>
      <c r="B365">
        <f>HYPERLINK("https://www.suredividend.com/sure-analysis-research-database/","Beacon Roofing Supply Inc")</f>
        <v>0</v>
      </c>
      <c r="C365">
        <v>0.027168122735989</v>
      </c>
      <c r="D365">
        <v>0.111482591653216</v>
      </c>
      <c r="E365">
        <v>0.208145363408521</v>
      </c>
      <c r="F365">
        <v>0.107906228453229</v>
      </c>
      <c r="G365">
        <v>0.3461323652611</v>
      </c>
      <c r="H365">
        <v>0.476416539050536</v>
      </c>
      <c r="I365">
        <v>1.756146369353916</v>
      </c>
    </row>
    <row r="366" spans="1:9">
      <c r="A366" s="8" t="s">
        <v>378</v>
      </c>
      <c r="B366">
        <f>HYPERLINK("https://www.suredividend.com/sure-analysis-research-database/","Bel Fuse Inc.")</f>
        <v>0</v>
      </c>
      <c r="C366">
        <v>0.142977056519306</v>
      </c>
      <c r="D366">
        <v>0.255208269318223</v>
      </c>
      <c r="E366">
        <v>0.5175831605851891</v>
      </c>
      <c r="F366">
        <v>0.26899216859423</v>
      </c>
      <c r="G366">
        <v>0.5274882446972601</v>
      </c>
      <c r="H366">
        <v>2.86474801086103</v>
      </c>
      <c r="I366">
        <v>4.271001748398377</v>
      </c>
    </row>
    <row r="367" spans="1:9">
      <c r="A367" s="8" t="s">
        <v>379</v>
      </c>
      <c r="B367">
        <f>HYPERLINK("https://www.suredividend.com/sure-analysis-research-database/","Bel Fuse Inc.")</f>
        <v>0</v>
      </c>
      <c r="C367">
        <v>0.067868852459016</v>
      </c>
      <c r="D367">
        <v>0.139133810624687</v>
      </c>
      <c r="E367">
        <v>0.183440552732504</v>
      </c>
      <c r="F367">
        <v>-0.01985567171635</v>
      </c>
      <c r="G367">
        <v>0.1673856046337</v>
      </c>
      <c r="H367">
        <v>3.003835421097275</v>
      </c>
      <c r="I367">
        <v>2.957809291191231</v>
      </c>
    </row>
    <row r="368" spans="1:9">
      <c r="A368" s="8" t="s">
        <v>380</v>
      </c>
      <c r="B368">
        <f>HYPERLINK("https://www.suredividend.com/sure-analysis-BEN/","Franklin Resources, Inc.")</f>
        <v>0</v>
      </c>
      <c r="C368">
        <v>-0.017596566523605</v>
      </c>
      <c r="D368">
        <v>-0.172127945835684</v>
      </c>
      <c r="E368">
        <v>-0.08882104031240401</v>
      </c>
      <c r="F368">
        <v>-0.214533026329786</v>
      </c>
      <c r="G368">
        <v>-0.087535228953316</v>
      </c>
      <c r="H368">
        <v>-0.067396778057545</v>
      </c>
      <c r="I368">
        <v>-0.152736856131831</v>
      </c>
    </row>
    <row r="369" spans="1:9">
      <c r="A369" s="8" t="s">
        <v>381</v>
      </c>
      <c r="B369">
        <f>HYPERLINK("https://www.suredividend.com/sure-analysis-research-database/","Berry Global Group Inc")</f>
        <v>0</v>
      </c>
      <c r="C369">
        <v>-0.019121445324797</v>
      </c>
      <c r="D369">
        <v>0.012782744401273</v>
      </c>
      <c r="E369">
        <v>-0.081618795409791</v>
      </c>
      <c r="F369">
        <v>-0.108601968535192</v>
      </c>
      <c r="G369">
        <v>-0.026207790337677</v>
      </c>
      <c r="H369">
        <v>0.017525861331965</v>
      </c>
      <c r="I369">
        <v>0.218927687744768</v>
      </c>
    </row>
    <row r="370" spans="1:9">
      <c r="A370" s="8" t="s">
        <v>382</v>
      </c>
      <c r="B370">
        <f>HYPERLINK("https://www.suredividend.com/sure-analysis-research-database/","Bright Horizons Family Solutions, Inc.")</f>
        <v>0</v>
      </c>
      <c r="C370">
        <v>-0.06396569828491401</v>
      </c>
      <c r="D370">
        <v>-0.08211772781877401</v>
      </c>
      <c r="E370">
        <v>0.181075411284089</v>
      </c>
      <c r="F370">
        <v>0.13508064516129</v>
      </c>
      <c r="G370">
        <v>0.17035010940919</v>
      </c>
      <c r="H370">
        <v>0.212811791383219</v>
      </c>
      <c r="I370">
        <v>-0.236473947180585</v>
      </c>
    </row>
    <row r="371" spans="1:9">
      <c r="A371" s="8" t="s">
        <v>383</v>
      </c>
      <c r="B371">
        <f>HYPERLINK("https://www.suredividend.com/sure-analysis-research-database/","Bankfinancial Corp")</f>
        <v>0</v>
      </c>
      <c r="C371">
        <v>0.009239370612840001</v>
      </c>
      <c r="D371">
        <v>0.000173146063982</v>
      </c>
      <c r="E371">
        <v>0.129176919715751</v>
      </c>
      <c r="F371">
        <v>-0.00399618638051</v>
      </c>
      <c r="G371">
        <v>0.286687631027253</v>
      </c>
      <c r="H371">
        <v>0.165011685707845</v>
      </c>
      <c r="I371">
        <v>-0.07718041968556401</v>
      </c>
    </row>
    <row r="372" spans="1:9">
      <c r="A372" s="8" t="s">
        <v>384</v>
      </c>
      <c r="B372">
        <f>HYPERLINK("https://www.suredividend.com/sure-analysis-BFS/","Saul Centers, Inc.")</f>
        <v>0</v>
      </c>
      <c r="C372">
        <v>0.0008259911894270001</v>
      </c>
      <c r="D372">
        <v>-0.025887018973094</v>
      </c>
      <c r="E372">
        <v>-0.046524865110154</v>
      </c>
      <c r="F372">
        <v>-0.045310333235281</v>
      </c>
      <c r="G372">
        <v>0.019984398588016</v>
      </c>
      <c r="H372">
        <v>-0.146833779279913</v>
      </c>
      <c r="I372">
        <v>-0.143861830840287</v>
      </c>
    </row>
    <row r="373" spans="1:9">
      <c r="A373" s="8" t="s">
        <v>385</v>
      </c>
      <c r="B373">
        <f>HYPERLINK("https://www.suredividend.com/sure-analysis-research-database/","Business First Bancshares Inc.")</f>
        <v>0</v>
      </c>
      <c r="C373">
        <v>-0.020518168268979</v>
      </c>
      <c r="D373">
        <v>-0.066574095502584</v>
      </c>
      <c r="E373">
        <v>-0.03377331016017601</v>
      </c>
      <c r="F373">
        <v>-0.143134453326446</v>
      </c>
      <c r="G373">
        <v>0.314066322977954</v>
      </c>
      <c r="H373">
        <v>-0.005785487464777</v>
      </c>
      <c r="I373">
        <v>-0.049779190302851</v>
      </c>
    </row>
    <row r="374" spans="1:9">
      <c r="A374" s="8" t="s">
        <v>386</v>
      </c>
      <c r="B374">
        <f>HYPERLINK("https://www.suredividend.com/sure-analysis-BG/","Bunge Global SA")</f>
        <v>0</v>
      </c>
      <c r="C374">
        <v>0.004444907455637</v>
      </c>
      <c r="D374">
        <v>0.133244673325599</v>
      </c>
      <c r="E374">
        <v>0.014363575258997</v>
      </c>
      <c r="F374">
        <v>0.04601543759266701</v>
      </c>
      <c r="G374">
        <v>0.134844061113526</v>
      </c>
      <c r="H374">
        <v>-0.027670265086611</v>
      </c>
      <c r="I374">
        <v>1.18746258121845</v>
      </c>
    </row>
    <row r="375" spans="1:9">
      <c r="A375" s="8" t="s">
        <v>387</v>
      </c>
      <c r="B375">
        <f>HYPERLINK("https://www.suredividend.com/sure-analysis-research-database/","BGC Partners Inc")</f>
        <v>0</v>
      </c>
      <c r="C375">
        <v>0.052256532066508</v>
      </c>
      <c r="D375">
        <v>-0.14902608628837</v>
      </c>
      <c r="E375">
        <v>0.182878961843475</v>
      </c>
      <c r="F375">
        <v>0.182878961843475</v>
      </c>
      <c r="G375">
        <v>0.276804242563984</v>
      </c>
      <c r="H375">
        <v>-0.210465344240674</v>
      </c>
      <c r="I375">
        <v>-0.256935824750914</v>
      </c>
    </row>
    <row r="376" spans="1:9">
      <c r="A376" s="8" t="s">
        <v>388</v>
      </c>
      <c r="B376">
        <f>HYPERLINK("https://www.suredividend.com/sure-analysis-research-database/","Big 5 Sporting Goods Corp")</f>
        <v>0</v>
      </c>
      <c r="C376">
        <v>0.020185318066951</v>
      </c>
      <c r="D376">
        <v>-0.174846703171919</v>
      </c>
      <c r="E376">
        <v>-0.445189093808853</v>
      </c>
      <c r="F376">
        <v>-0.455689460017311</v>
      </c>
      <c r="G376">
        <v>-0.542305269787948</v>
      </c>
      <c r="H376">
        <v>-0.6226719900302321</v>
      </c>
      <c r="I376">
        <v>1.782505105513955</v>
      </c>
    </row>
    <row r="377" spans="1:9">
      <c r="A377" s="8" t="s">
        <v>389</v>
      </c>
      <c r="B377">
        <f>HYPERLINK("https://www.suredividend.com/sure-analysis-BGS/","B&amp;G Foods, Inc")</f>
        <v>0</v>
      </c>
      <c r="C377">
        <v>-0.175485008818342</v>
      </c>
      <c r="D377">
        <v>-0.140150818466065</v>
      </c>
      <c r="E377">
        <v>-0.05567955722985801</v>
      </c>
      <c r="F377">
        <v>-0.094299413958444</v>
      </c>
      <c r="G377">
        <v>-0.254879146976084</v>
      </c>
      <c r="H377">
        <v>-0.513889249933712</v>
      </c>
      <c r="I377">
        <v>-0.413726940971394</v>
      </c>
    </row>
    <row r="378" spans="1:9">
      <c r="A378" s="8" t="s">
        <v>390</v>
      </c>
      <c r="B378">
        <f>HYPERLINK("https://www.suredividend.com/sure-analysis-research-database/","BGSF Inc")</f>
        <v>0</v>
      </c>
      <c r="C378">
        <v>-0.262276785714285</v>
      </c>
      <c r="D378">
        <v>-0.317148760330578</v>
      </c>
      <c r="E378">
        <v>-0.31132920755975</v>
      </c>
      <c r="F378">
        <v>-0.286415994645421</v>
      </c>
      <c r="G378">
        <v>-0.284446176496059</v>
      </c>
      <c r="H378">
        <v>-0.407036618404291</v>
      </c>
      <c r="I378">
        <v>-0.50914505097911</v>
      </c>
    </row>
    <row r="379" spans="1:9">
      <c r="A379" s="8" t="s">
        <v>391</v>
      </c>
      <c r="B379">
        <f>HYPERLINK("https://www.suredividend.com/sure-analysis-research-database/","Biglari Holdings Inc.")</f>
        <v>0</v>
      </c>
      <c r="C379">
        <v>-0.031059592807252</v>
      </c>
      <c r="D379">
        <v>0.03568781107698801</v>
      </c>
      <c r="E379">
        <v>0.289216978644872</v>
      </c>
      <c r="F379">
        <v>0.185957679015339</v>
      </c>
      <c r="G379">
        <v>-0.034217153014368</v>
      </c>
      <c r="H379">
        <v>0.448674270478447</v>
      </c>
      <c r="I379">
        <v>0.77996177996178</v>
      </c>
    </row>
    <row r="380" spans="1:9">
      <c r="A380" s="8" t="s">
        <v>392</v>
      </c>
      <c r="B380">
        <f>HYPERLINK("https://www.suredividend.com/sure-analysis-BHB/","Bar Harbor Bankshares Inc")</f>
        <v>0</v>
      </c>
      <c r="C380">
        <v>0.012183469652337</v>
      </c>
      <c r="D380">
        <v>0.03380414007580401</v>
      </c>
      <c r="E380">
        <v>-0.035373419682462</v>
      </c>
      <c r="F380">
        <v>-0.08958316245930201</v>
      </c>
      <c r="G380">
        <v>-0.002449917359246</v>
      </c>
      <c r="H380">
        <v>0.08661417322834601</v>
      </c>
      <c r="I380">
        <v>0.41044269006171</v>
      </c>
    </row>
    <row r="381" spans="1:9">
      <c r="A381" s="8" t="s">
        <v>393</v>
      </c>
      <c r="B381">
        <f>HYPERLINK("https://www.suredividend.com/sure-analysis-research-database/","Benchmark Electronics Inc.")</f>
        <v>0</v>
      </c>
      <c r="C381">
        <v>0.03474706182933</v>
      </c>
      <c r="D381">
        <v>0.311316172899465</v>
      </c>
      <c r="E381">
        <v>0.6040810991718181</v>
      </c>
      <c r="F381">
        <v>0.473573907918003</v>
      </c>
      <c r="G381">
        <v>0.661477114691149</v>
      </c>
      <c r="H381">
        <v>0.631630260496821</v>
      </c>
      <c r="I381">
        <v>0.998815516730826</v>
      </c>
    </row>
    <row r="382" spans="1:9">
      <c r="A382" s="8" t="s">
        <v>394</v>
      </c>
      <c r="B382">
        <f>HYPERLINK("https://www.suredividend.com/sure-analysis-research-database/","Brighthouse Financial Inc")</f>
        <v>0</v>
      </c>
      <c r="C382">
        <v>-0.160759741531231</v>
      </c>
      <c r="D382">
        <v>-0.065416484954208</v>
      </c>
      <c r="E382">
        <v>-0.183463516860354</v>
      </c>
      <c r="F382">
        <v>-0.190098261526832</v>
      </c>
      <c r="G382">
        <v>-0.05781490437458701</v>
      </c>
      <c r="H382">
        <v>-0.136757301107754</v>
      </c>
      <c r="I382">
        <v>0.129083245521601</v>
      </c>
    </row>
    <row r="383" spans="1:9">
      <c r="A383" s="8" t="s">
        <v>395</v>
      </c>
      <c r="B383">
        <f>HYPERLINK("https://www.suredividend.com/sure-analysis-research-database/","Berkshire Hills Bancorp Inc.")</f>
        <v>0</v>
      </c>
      <c r="C383">
        <v>-0.03820524211461501</v>
      </c>
      <c r="D383">
        <v>-0.021424697161453</v>
      </c>
      <c r="E383">
        <v>-0.04203539823008801</v>
      </c>
      <c r="F383">
        <v>-0.120740770824026</v>
      </c>
      <c r="G383">
        <v>-0.05590441304727001</v>
      </c>
      <c r="H383">
        <v>-0.137333343958942</v>
      </c>
      <c r="I383">
        <v>-0.181338294461082</v>
      </c>
    </row>
    <row r="384" spans="1:9">
      <c r="A384" s="8" t="s">
        <v>396</v>
      </c>
      <c r="B384">
        <f>HYPERLINK("https://www.suredividend.com/sure-analysis-research-database/","Braemar Hotels &amp; Resorts Inc")</f>
        <v>0</v>
      </c>
      <c r="C384">
        <v>0.059701492537313</v>
      </c>
      <c r="D384">
        <v>0.4278531925590741</v>
      </c>
      <c r="E384">
        <v>0.313963172018136</v>
      </c>
      <c r="F384">
        <v>0.165128205128205</v>
      </c>
      <c r="G384">
        <v>-0.28752414640877</v>
      </c>
      <c r="H384">
        <v>-0.5208206789498541</v>
      </c>
      <c r="I384">
        <v>-0.666333783704399</v>
      </c>
    </row>
    <row r="385" spans="1:9">
      <c r="A385" s="8" t="s">
        <v>397</v>
      </c>
      <c r="B385">
        <f>HYPERLINK("https://www.suredividend.com/sure-analysis-research-database/","Biohaven Ltd")</f>
        <v>0</v>
      </c>
      <c r="C385">
        <v>-0.188811188811188</v>
      </c>
      <c r="D385">
        <v>-0.420499569336778</v>
      </c>
      <c r="E385">
        <v>0.019085125719479</v>
      </c>
      <c r="F385">
        <v>-0.214018691588784</v>
      </c>
      <c r="G385">
        <v>0.4904740806380151</v>
      </c>
      <c r="H385">
        <v>3.608219178082192</v>
      </c>
      <c r="I385">
        <v>3.608219178082192</v>
      </c>
    </row>
    <row r="386" spans="1:9">
      <c r="A386" s="8" t="s">
        <v>398</v>
      </c>
      <c r="B386">
        <f>HYPERLINK("https://www.suredividend.com/sure-analysis-research-database/","Big Lots Inc")</f>
        <v>0</v>
      </c>
      <c r="C386">
        <v>-0.254901960784313</v>
      </c>
      <c r="D386">
        <v>-0.4913957934990441</v>
      </c>
      <c r="E386">
        <v>-0.5750798722044721</v>
      </c>
      <c r="F386">
        <v>-0.658536585365853</v>
      </c>
      <c r="G386">
        <v>-0.648148148148148</v>
      </c>
      <c r="H386">
        <v>-0.8825472239638981</v>
      </c>
      <c r="I386">
        <v>-0.8812833890468301</v>
      </c>
    </row>
    <row r="387" spans="1:9">
      <c r="A387" s="8" t="s">
        <v>399</v>
      </c>
      <c r="B387">
        <f>HYPERLINK("https://www.suredividend.com/sure-analysis-research-database/","Biogen Inc")</f>
        <v>0</v>
      </c>
      <c r="C387">
        <v>0.029736890188196</v>
      </c>
      <c r="D387">
        <v>0.027671407731582</v>
      </c>
      <c r="E387">
        <v>-0.057251589160254</v>
      </c>
      <c r="F387">
        <v>-0.128840282876685</v>
      </c>
      <c r="G387">
        <v>-0.260642833715972</v>
      </c>
      <c r="H387">
        <v>0.121096081161726</v>
      </c>
      <c r="I387">
        <v>-0.007921489239977</v>
      </c>
    </row>
    <row r="388" spans="1:9">
      <c r="A388" s="8" t="s">
        <v>400</v>
      </c>
      <c r="B388">
        <f>HYPERLINK("https://www.suredividend.com/sure-analysis-research-database/","Bio-Rad Laboratories Inc.")</f>
        <v>0</v>
      </c>
      <c r="C388">
        <v>0.025401021756993</v>
      </c>
      <c r="D388">
        <v>-0.154331172657631</v>
      </c>
      <c r="E388">
        <v>-0.07466632278032101</v>
      </c>
      <c r="F388">
        <v>-0.111090464244789</v>
      </c>
      <c r="G388">
        <v>-0.229600601245437</v>
      </c>
      <c r="H388">
        <v>-0.46884542073024</v>
      </c>
      <c r="I388">
        <v>-0.010105190550094</v>
      </c>
    </row>
    <row r="389" spans="1:9">
      <c r="A389" s="8" t="s">
        <v>401</v>
      </c>
      <c r="B389">
        <f>HYPERLINK("https://www.suredividend.com/sure-analysis-research-database/","Biocept Inc")</f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>
      <c r="A390" s="8" t="s">
        <v>402</v>
      </c>
      <c r="B390">
        <f>HYPERLINK("https://www.suredividend.com/sure-analysis-research-database/","Biolase Inc")</f>
        <v>0</v>
      </c>
      <c r="C390">
        <v>-0.136904761904761</v>
      </c>
      <c r="D390">
        <v>0.035714285714285</v>
      </c>
      <c r="E390">
        <v>-0.8791666666666661</v>
      </c>
      <c r="F390">
        <v>-0.8707664884135471</v>
      </c>
      <c r="G390">
        <v>-0.981410256410256</v>
      </c>
      <c r="H390">
        <v>-0.999689507494646</v>
      </c>
      <c r="I390">
        <v>-0.999957352941176</v>
      </c>
    </row>
    <row r="391" spans="1:9">
      <c r="A391" s="8" t="s">
        <v>403</v>
      </c>
      <c r="B391">
        <f>HYPERLINK("https://www.suredividend.com/sure-analysis-research-database/","BioPlus Acquisition Corp")</f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>
      <c r="A392" s="8" t="s">
        <v>404</v>
      </c>
      <c r="B392">
        <f>HYPERLINK("https://www.suredividend.com/sure-analysis-research-database/","BJ`s Wholesale Club Holdings Inc")</f>
        <v>0</v>
      </c>
      <c r="C392">
        <v>0.147975077881619</v>
      </c>
      <c r="D392">
        <v>0.121196754563894</v>
      </c>
      <c r="E392">
        <v>0.3545719099402661</v>
      </c>
      <c r="F392">
        <v>0.326732673267326</v>
      </c>
      <c r="G392">
        <v>0.399367088607594</v>
      </c>
      <c r="H392">
        <v>0.426911907066795</v>
      </c>
      <c r="I392">
        <v>2.571890145395799</v>
      </c>
    </row>
    <row r="393" spans="1:9">
      <c r="A393" s="8" t="s">
        <v>405</v>
      </c>
      <c r="B393">
        <f>HYPERLINK("https://www.suredividend.com/sure-analysis-research-database/","BJ`s Restaurant Inc.")</f>
        <v>0</v>
      </c>
      <c r="C393">
        <v>0.017590936195587</v>
      </c>
      <c r="D393">
        <v>-0.09994725738396601</v>
      </c>
      <c r="E393">
        <v>0.043411800672577</v>
      </c>
      <c r="F393">
        <v>-0.052207720077756</v>
      </c>
      <c r="G393">
        <v>0.045649509803921</v>
      </c>
      <c r="H393">
        <v>0.299200609059764</v>
      </c>
      <c r="I393">
        <v>-0.20598546904553</v>
      </c>
    </row>
    <row r="394" spans="1:9">
      <c r="A394" s="8" t="s">
        <v>406</v>
      </c>
      <c r="B394">
        <f>HYPERLINK("https://www.suredividend.com/sure-analysis-BK/","Bank Of New York Mellon Corp")</f>
        <v>0</v>
      </c>
      <c r="C394">
        <v>0.05069686411149801</v>
      </c>
      <c r="D394">
        <v>0.090082257740921</v>
      </c>
      <c r="E394">
        <v>0.264111474887548</v>
      </c>
      <c r="F394">
        <v>0.176192965075006</v>
      </c>
      <c r="G394">
        <v>0.427959209283273</v>
      </c>
      <c r="H394">
        <v>0.393452092142048</v>
      </c>
      <c r="I394">
        <v>0.5849822211826791</v>
      </c>
    </row>
    <row r="395" spans="1:9">
      <c r="A395" s="8" t="s">
        <v>407</v>
      </c>
      <c r="B395">
        <f>HYPERLINK("https://www.suredividend.com/sure-analysis-research-database/","Brookdale Senior Living Inc")</f>
        <v>0</v>
      </c>
      <c r="C395">
        <v>-0.100543478260869</v>
      </c>
      <c r="D395">
        <v>0.131623931623931</v>
      </c>
      <c r="E395">
        <v>0.265774378585085</v>
      </c>
      <c r="F395">
        <v>0.137457044673539</v>
      </c>
      <c r="G395">
        <v>0.6508728179551121</v>
      </c>
      <c r="H395">
        <v>0.18850987432675</v>
      </c>
      <c r="I395">
        <v>0.015337423312883</v>
      </c>
    </row>
    <row r="396" spans="1:9">
      <c r="A396" s="8" t="s">
        <v>408</v>
      </c>
      <c r="B396">
        <f>HYPERLINK("https://www.suredividend.com/sure-analysis-research-database/","Buckle, Inc.")</f>
        <v>0</v>
      </c>
      <c r="C396">
        <v>-0.03542377328785</v>
      </c>
      <c r="D396">
        <v>-0.04203975691367901</v>
      </c>
      <c r="E396">
        <v>-0.060360825532828</v>
      </c>
      <c r="F396">
        <v>-0.171883694263785</v>
      </c>
      <c r="G396">
        <v>0.186032180318189</v>
      </c>
      <c r="H396">
        <v>0.350601634977495</v>
      </c>
      <c r="I396">
        <v>2.139653066627948</v>
      </c>
    </row>
    <row r="397" spans="1:9">
      <c r="A397" s="8" t="s">
        <v>409</v>
      </c>
      <c r="B397">
        <f>HYPERLINK("https://www.suredividend.com/sure-analysis-BKH/","Black Hills Corporation")</f>
        <v>0</v>
      </c>
      <c r="C397">
        <v>-0.04424021464927801</v>
      </c>
      <c r="D397">
        <v>0.022048099745488</v>
      </c>
      <c r="E397">
        <v>0.015608275663479</v>
      </c>
      <c r="F397">
        <v>0.018055724355858</v>
      </c>
      <c r="G397">
        <v>-0.123751865357552</v>
      </c>
      <c r="H397">
        <v>-0.243538113769835</v>
      </c>
      <c r="I397">
        <v>-0.168585851536511</v>
      </c>
    </row>
    <row r="398" spans="1:9">
      <c r="A398" s="8" t="s">
        <v>410</v>
      </c>
      <c r="B398">
        <f>HYPERLINK("https://www.suredividend.com/sure-analysis-research-database/","Black Knight Inc")</f>
        <v>0</v>
      </c>
      <c r="C398">
        <v>0.05958041958041901</v>
      </c>
      <c r="D398">
        <v>0.321933344965974</v>
      </c>
      <c r="E398">
        <v>0.287559483344663</v>
      </c>
      <c r="F398">
        <v>0.226882591093117</v>
      </c>
      <c r="G398">
        <v>0.141651597347799</v>
      </c>
      <c r="H398">
        <v>-0.001713005666095</v>
      </c>
      <c r="I398">
        <v>0.40556586270872</v>
      </c>
    </row>
    <row r="399" spans="1:9">
      <c r="A399" s="8" t="s">
        <v>411</v>
      </c>
      <c r="B399">
        <f>HYPERLINK("https://www.suredividend.com/sure-analysis-research-database/","Booking Holdings Inc")</f>
        <v>0</v>
      </c>
      <c r="C399">
        <v>0.06247548325332401</v>
      </c>
      <c r="D399">
        <v>0.10147327889763</v>
      </c>
      <c r="E399">
        <v>0.189005467019753</v>
      </c>
      <c r="F399">
        <v>0.08544737224603001</v>
      </c>
      <c r="G399">
        <v>0.456149232641214</v>
      </c>
      <c r="H399">
        <v>0.6548205634008071</v>
      </c>
      <c r="I399">
        <v>1.165181567738431</v>
      </c>
    </row>
    <row r="400" spans="1:9">
      <c r="A400" s="8" t="s">
        <v>412</v>
      </c>
      <c r="B400">
        <f>HYPERLINK("https://www.suredividend.com/sure-analysis-research-database/","Bank Of South Carolina Corp.")</f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>
      <c r="A401" s="8" t="s">
        <v>413</v>
      </c>
      <c r="B401">
        <f>HYPERLINK("https://www.suredividend.com/sure-analysis-research-database/","BK Technologies Corp")</f>
        <v>0</v>
      </c>
      <c r="C401">
        <v>0.009209516500383</v>
      </c>
      <c r="D401">
        <v>0.09674728940783901</v>
      </c>
      <c r="E401">
        <v>0.06133979015334901</v>
      </c>
      <c r="F401">
        <v>0.075286402328833</v>
      </c>
      <c r="G401">
        <v>-0.123333333333333</v>
      </c>
      <c r="H401">
        <v>-0.015637515064863</v>
      </c>
      <c r="I401">
        <v>-0.266535033410305</v>
      </c>
    </row>
    <row r="402" spans="1:9">
      <c r="A402" s="8" t="s">
        <v>414</v>
      </c>
      <c r="B402">
        <f>HYPERLINK("https://www.suredividend.com/sure-analysis-research-database/","BankUnited Inc")</f>
        <v>0</v>
      </c>
      <c r="C402">
        <v>-0.0007059654076940001</v>
      </c>
      <c r="D402">
        <v>0.03254467004891001</v>
      </c>
      <c r="E402">
        <v>-0.023459732805337</v>
      </c>
      <c r="F402">
        <v>-0.109280659969229</v>
      </c>
      <c r="G402">
        <v>0.261125613634946</v>
      </c>
      <c r="H402">
        <v>-0.263763155910049</v>
      </c>
      <c r="I402">
        <v>0.004335208849218001</v>
      </c>
    </row>
    <row r="403" spans="1:9">
      <c r="A403" s="8" t="s">
        <v>415</v>
      </c>
      <c r="B403">
        <f>HYPERLINK("https://www.suredividend.com/sure-analysis-research-database/","BlackLine Inc")</f>
        <v>0</v>
      </c>
      <c r="C403">
        <v>-0.238623200397153</v>
      </c>
      <c r="D403">
        <v>-0.304354399758089</v>
      </c>
      <c r="E403">
        <v>-0.235587306861604</v>
      </c>
      <c r="F403">
        <v>-0.26313260730301</v>
      </c>
      <c r="G403">
        <v>-0.13352165725047</v>
      </c>
      <c r="H403">
        <v>-0.412538304392236</v>
      </c>
      <c r="I403">
        <v>-0.095715408805031</v>
      </c>
    </row>
    <row r="404" spans="1:9">
      <c r="A404" s="8" t="s">
        <v>416</v>
      </c>
      <c r="B404">
        <f>HYPERLINK("https://www.suredividend.com/sure-analysis-research-database/","Blue Bird Corp")</f>
        <v>0</v>
      </c>
      <c r="C404">
        <v>0.518458636486122</v>
      </c>
      <c r="D404">
        <v>0.715372907153729</v>
      </c>
      <c r="E404">
        <v>1.651764705882353</v>
      </c>
      <c r="F404">
        <v>1.09013353115727</v>
      </c>
      <c r="G404">
        <v>1.692307692307692</v>
      </c>
      <c r="H404">
        <v>3.60375816993464</v>
      </c>
      <c r="I404">
        <v>1.983059820010588</v>
      </c>
    </row>
    <row r="405" spans="1:9">
      <c r="A405" s="8" t="s">
        <v>417</v>
      </c>
      <c r="B405">
        <f>HYPERLINK("https://www.suredividend.com/sure-analysis-research-database/","Bellicum Pharmaceuticals Inc")</f>
        <v>0</v>
      </c>
      <c r="C405">
        <v>-0.06616729088639101</v>
      </c>
      <c r="D405">
        <v>-0.7008</v>
      </c>
      <c r="E405">
        <v>-0.7662500000000001</v>
      </c>
      <c r="F405">
        <v>-0.5013333333333331</v>
      </c>
      <c r="G405">
        <v>-0.750666666666666</v>
      </c>
      <c r="H405">
        <v>-0.750666666666666</v>
      </c>
      <c r="I405">
        <v>-0.750666666666666</v>
      </c>
    </row>
    <row r="406" spans="1:9">
      <c r="A406" s="8" t="s">
        <v>418</v>
      </c>
      <c r="B406">
        <f>HYPERLINK("https://www.suredividend.com/sure-analysis-research-database/","TopBuild Corp")</f>
        <v>0</v>
      </c>
      <c r="C406">
        <v>0.013842662632375</v>
      </c>
      <c r="D406">
        <v>-0.03787806278713601</v>
      </c>
      <c r="E406">
        <v>0.270546971276898</v>
      </c>
      <c r="F406">
        <v>0.07436007053919701</v>
      </c>
      <c r="G406">
        <v>0.7593856655290101</v>
      </c>
      <c r="H406">
        <v>0.9720927951346311</v>
      </c>
      <c r="I406">
        <v>3.860855899419729</v>
      </c>
    </row>
    <row r="407" spans="1:9">
      <c r="A407" s="8" t="s">
        <v>419</v>
      </c>
      <c r="B407">
        <f>HYPERLINK("https://www.suredividend.com/sure-analysis-research-database/","Builders Firstsource Inc")</f>
        <v>0</v>
      </c>
      <c r="C407">
        <v>-0.100479645800024</v>
      </c>
      <c r="D407">
        <v>-0.283397834713172</v>
      </c>
      <c r="E407">
        <v>-0.001978576789247</v>
      </c>
      <c r="F407">
        <v>-0.12375703845693</v>
      </c>
      <c r="G407">
        <v>0.195879659908436</v>
      </c>
      <c r="H407">
        <v>1.161986402601241</v>
      </c>
      <c r="I407">
        <v>9.019178082191781</v>
      </c>
    </row>
    <row r="408" spans="1:9">
      <c r="A408" s="8" t="s">
        <v>420</v>
      </c>
      <c r="B408">
        <f>HYPERLINK("https://www.suredividend.com/sure-analysis-research-database/","Biolife Solutions Inc")</f>
        <v>0</v>
      </c>
      <c r="C408">
        <v>0.09139784946236501</v>
      </c>
      <c r="D408">
        <v>0.176129779837775</v>
      </c>
      <c r="E408">
        <v>0.5959119496855341</v>
      </c>
      <c r="F408">
        <v>0.249230769230769</v>
      </c>
      <c r="G408">
        <v>-0.140194832698009</v>
      </c>
      <c r="H408">
        <v>0.377204884667571</v>
      </c>
      <c r="I408">
        <v>0.09967497291440901</v>
      </c>
    </row>
    <row r="409" spans="1:9">
      <c r="A409" s="8" t="s">
        <v>421</v>
      </c>
      <c r="B409">
        <f>HYPERLINK("https://www.suredividend.com/sure-analysis-BLK/","Blackrock Inc.")</f>
        <v>0</v>
      </c>
      <c r="C409">
        <v>-0.009170225016798001</v>
      </c>
      <c r="D409">
        <v>-0.06966605938602</v>
      </c>
      <c r="E409">
        <v>0.044430661035245</v>
      </c>
      <c r="F409">
        <v>-0.040945557387934</v>
      </c>
      <c r="G409">
        <v>0.163973557907794</v>
      </c>
      <c r="H409">
        <v>0.195620305122787</v>
      </c>
      <c r="I409">
        <v>0.9688347865642121</v>
      </c>
    </row>
    <row r="410" spans="1:9">
      <c r="A410" s="8" t="s">
        <v>422</v>
      </c>
      <c r="B410">
        <f>HYPERLINK("https://www.suredividend.com/sure-analysis-research-database/","Blackbaud Inc")</f>
        <v>0</v>
      </c>
      <c r="C410">
        <v>-0.006106870229007</v>
      </c>
      <c r="D410">
        <v>0.06069246435845201</v>
      </c>
      <c r="E410">
        <v>-0.07132667617689001</v>
      </c>
      <c r="F410">
        <v>-0.09896193771626201</v>
      </c>
      <c r="G410">
        <v>0.06271255611481401</v>
      </c>
      <c r="H410">
        <v>0.213797389683032</v>
      </c>
      <c r="I410">
        <v>0.013609511217564</v>
      </c>
    </row>
    <row r="411" spans="1:9">
      <c r="A411" s="8" t="s">
        <v>423</v>
      </c>
      <c r="B411">
        <f>HYPERLINK("https://www.suredividend.com/sure-analysis-research-database/","Ball Corp.")</f>
        <v>0</v>
      </c>
      <c r="C411">
        <v>-0.205101807366735</v>
      </c>
      <c r="D411">
        <v>-0.25950790149505</v>
      </c>
      <c r="E411">
        <v>-0.235424208082564</v>
      </c>
      <c r="F411">
        <v>-0.276583650936256</v>
      </c>
      <c r="G411">
        <v>-0.227521532462104</v>
      </c>
      <c r="H411">
        <v>0.09319963439402</v>
      </c>
      <c r="I411">
        <v>0.8134275581489411</v>
      </c>
    </row>
    <row r="412" spans="1:9">
      <c r="A412" s="8" t="s">
        <v>424</v>
      </c>
      <c r="B412">
        <f>HYPERLINK("https://www.suredividend.com/sure-analysis-research-database/","Bloomin Brands Inc")</f>
        <v>0</v>
      </c>
      <c r="C412">
        <v>-0.156933793755349</v>
      </c>
      <c r="D412">
        <v>-0.320325694434909</v>
      </c>
      <c r="E412">
        <v>-0.170228815690218</v>
      </c>
      <c r="F412">
        <v>-0.2701564003229</v>
      </c>
      <c r="G412">
        <v>-0.194453937411512</v>
      </c>
      <c r="H412">
        <v>0.059021742037279</v>
      </c>
      <c r="I412">
        <v>0.205853872435276</v>
      </c>
    </row>
    <row r="413" spans="1:9">
      <c r="A413" s="8" t="s">
        <v>425</v>
      </c>
      <c r="B413">
        <f>HYPERLINK("https://www.suredividend.com/sure-analysis-research-database/","Bluebird bio Inc")</f>
        <v>0</v>
      </c>
      <c r="C413">
        <v>-0.103960396039603</v>
      </c>
      <c r="D413">
        <v>-0.375862068965517</v>
      </c>
      <c r="E413">
        <v>-0.8118503118503111</v>
      </c>
      <c r="F413">
        <v>-0.344202898550724</v>
      </c>
      <c r="G413">
        <v>-0.7567204301075261</v>
      </c>
      <c r="H413">
        <v>-0.749307479224376</v>
      </c>
      <c r="I413">
        <v>-0.9890586841405321</v>
      </c>
    </row>
    <row r="414" spans="1:9">
      <c r="A414" s="8" t="s">
        <v>426</v>
      </c>
      <c r="B414">
        <f>HYPERLINK("https://www.suredividend.com/sure-analysis-research-database/","BMC Stock Holdings Inc")</f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>
      <c r="A415" s="8" t="s">
        <v>427</v>
      </c>
      <c r="B415">
        <f>HYPERLINK("https://www.suredividend.com/sure-analysis-BMI/","Badger Meter Inc.")</f>
        <v>0</v>
      </c>
      <c r="C415">
        <v>-0.031717875234141</v>
      </c>
      <c r="D415">
        <v>0.140082780886572</v>
      </c>
      <c r="E415">
        <v>0.253159609472945</v>
      </c>
      <c r="F415">
        <v>0.204208622060956</v>
      </c>
      <c r="G415">
        <v>0.237277215658914</v>
      </c>
      <c r="H415">
        <v>1.294032816107249</v>
      </c>
      <c r="I415">
        <v>2.483327694447577</v>
      </c>
    </row>
    <row r="416" spans="1:9">
      <c r="A416" s="8" t="s">
        <v>428</v>
      </c>
      <c r="B416">
        <f>HYPERLINK("https://www.suredividend.com/sure-analysis-BMRC/","Bank of Marin Bancorp")</f>
        <v>0</v>
      </c>
      <c r="C416">
        <v>-0.012666322981447</v>
      </c>
      <c r="D416">
        <v>-0.08119826806177101</v>
      </c>
      <c r="E416">
        <v>-0.210523569497928</v>
      </c>
      <c r="F416">
        <v>-0.270759027550174</v>
      </c>
      <c r="G416">
        <v>-0.107190275278081</v>
      </c>
      <c r="H416">
        <v>-0.462206977446816</v>
      </c>
      <c r="I416">
        <v>-0.5339409863940341</v>
      </c>
    </row>
    <row r="417" spans="1:9">
      <c r="A417" s="8" t="s">
        <v>429</v>
      </c>
      <c r="B417">
        <f>HYPERLINK("https://www.suredividend.com/sure-analysis-research-database/","Biomarin Pharmaceutical Inc.")</f>
        <v>0</v>
      </c>
      <c r="C417">
        <v>-0.022886897553887</v>
      </c>
      <c r="D417">
        <v>-0.06054255443008501</v>
      </c>
      <c r="E417">
        <v>-0.150094796713713</v>
      </c>
      <c r="F417">
        <v>-0.163140427297241</v>
      </c>
      <c r="G417">
        <v>-0.113296703296703</v>
      </c>
      <c r="H417">
        <v>0.03184143222506301</v>
      </c>
      <c r="I417">
        <v>0.000620039682539</v>
      </c>
    </row>
    <row r="418" spans="1:9">
      <c r="A418" s="8" t="s">
        <v>430</v>
      </c>
      <c r="B418">
        <f>HYPERLINK("https://www.suredividend.com/sure-analysis-research-database/","Bryn Mawr Bank Corp.")</f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>
      <c r="A419" s="8" t="s">
        <v>431</v>
      </c>
      <c r="B419">
        <f>HYPERLINK("https://www.suredividend.com/sure-analysis-BMY/","Bristol-Myers Squibb Co.")</f>
        <v>0</v>
      </c>
      <c r="C419">
        <v>-0.058128973660308</v>
      </c>
      <c r="D419">
        <v>-0.21241602965022</v>
      </c>
      <c r="E419">
        <v>-0.153718091009989</v>
      </c>
      <c r="F419">
        <v>-0.172685043908724</v>
      </c>
      <c r="G419">
        <v>-0.336075675848712</v>
      </c>
      <c r="H419">
        <v>-0.41761449392974</v>
      </c>
      <c r="I419">
        <v>0.04902178971007701</v>
      </c>
    </row>
    <row r="420" spans="1:9">
      <c r="A420" s="8" t="s">
        <v>432</v>
      </c>
      <c r="B420">
        <f>HYPERLINK("https://www.suredividend.com/sure-analysis-research-database/","Barnes &amp; Noble Education Inc")</f>
        <v>0</v>
      </c>
      <c r="C420">
        <v>-0.265677966101694</v>
      </c>
      <c r="D420">
        <v>-0.823163265306122</v>
      </c>
      <c r="E420">
        <v>-0.8635433070866141</v>
      </c>
      <c r="F420">
        <v>-0.8836912751677851</v>
      </c>
      <c r="G420">
        <v>-0.8466371681415931</v>
      </c>
      <c r="H420">
        <v>-0.9414527027027021</v>
      </c>
      <c r="I420">
        <v>-0.9465123456790121</v>
      </c>
    </row>
    <row r="421" spans="1:9">
      <c r="A421" s="8" t="s">
        <v>433</v>
      </c>
      <c r="B421">
        <f>HYPERLINK("https://www.suredividend.com/sure-analysis-research-database/","Benefitfocus Inc")</f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>
      <c r="A422" s="8" t="s">
        <v>434</v>
      </c>
      <c r="B422">
        <f>HYPERLINK("https://www.suredividend.com/sure-analysis-research-database/","Bank of Commerce Holdings")</f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>
      <c r="A423" s="8" t="s">
        <v>435</v>
      </c>
      <c r="B423">
        <f>HYPERLINK("https://www.suredividend.com/sure-analysis-research-database/","Bank of Hawaii Corp.")</f>
        <v>0</v>
      </c>
      <c r="C423">
        <v>-0.022335089922834</v>
      </c>
      <c r="D423">
        <v>-0.08855438959574401</v>
      </c>
      <c r="E423">
        <v>-0.109554526874552</v>
      </c>
      <c r="F423">
        <v>-0.195822232900622</v>
      </c>
      <c r="G423">
        <v>0.254174151669109</v>
      </c>
      <c r="H423">
        <v>-0.213779991046211</v>
      </c>
      <c r="I423">
        <v>-0.124681370173633</v>
      </c>
    </row>
    <row r="424" spans="1:9">
      <c r="A424" s="8" t="s">
        <v>436</v>
      </c>
      <c r="B424">
        <f>HYPERLINK("https://www.suredividend.com/sure-analysis-BOKF/","BOK Financial Corp.")</f>
        <v>0</v>
      </c>
      <c r="C424">
        <v>-0.023153344140998</v>
      </c>
      <c r="D424">
        <v>0.029378200236537</v>
      </c>
      <c r="E424">
        <v>0.171055392362568</v>
      </c>
      <c r="F424">
        <v>0.06878396800111</v>
      </c>
      <c r="G424">
        <v>0.041409132679955</v>
      </c>
      <c r="H424">
        <v>0.116463523648897</v>
      </c>
      <c r="I424">
        <v>0.365898724651336</v>
      </c>
    </row>
    <row r="425" spans="1:9">
      <c r="A425" s="8" t="s">
        <v>437</v>
      </c>
      <c r="B425">
        <f>HYPERLINK("https://www.suredividend.com/sure-analysis-research-database/","Boundless Bio Inc.")</f>
        <v>0</v>
      </c>
      <c r="C425">
        <v>-0.03800000000000001</v>
      </c>
      <c r="D425">
        <v>-0.324912280701754</v>
      </c>
      <c r="E425">
        <v>-0.324912280701754</v>
      </c>
      <c r="F425">
        <v>-0.324912280701754</v>
      </c>
      <c r="G425">
        <v>-0.324912280701754</v>
      </c>
      <c r="H425">
        <v>-0.324912280701754</v>
      </c>
      <c r="I425">
        <v>-0.324912280701754</v>
      </c>
    </row>
    <row r="426" spans="1:9">
      <c r="A426" s="8" t="s">
        <v>438</v>
      </c>
      <c r="B426">
        <f>HYPERLINK("https://www.suredividend.com/sure-analysis-research-database/","Boston Omaha Corp")</f>
        <v>0</v>
      </c>
      <c r="C426">
        <v>0.010196078431372</v>
      </c>
      <c r="D426">
        <v>-0.150955833882663</v>
      </c>
      <c r="E426">
        <v>-0.181182453909726</v>
      </c>
      <c r="F426">
        <v>-0.103376261747302</v>
      </c>
      <c r="G426">
        <v>-0.451681566624095</v>
      </c>
      <c r="H426">
        <v>0.259657701711491</v>
      </c>
      <c r="I426">
        <v>0.9515151515151511</v>
      </c>
    </row>
    <row r="427" spans="1:9">
      <c r="A427" s="8" t="s">
        <v>439</v>
      </c>
      <c r="B427">
        <f>HYPERLINK("https://www.suredividend.com/sure-analysis-research-database/","DMC Global Inc")</f>
        <v>0</v>
      </c>
      <c r="C427">
        <v>-0.034482758620689</v>
      </c>
      <c r="D427">
        <v>-0.263157894736842</v>
      </c>
      <c r="E427">
        <v>-0.240506329113924</v>
      </c>
      <c r="F427">
        <v>-0.3304994686503711</v>
      </c>
      <c r="G427">
        <v>-0.309967141292442</v>
      </c>
      <c r="H427">
        <v>-0.5842956120092371</v>
      </c>
      <c r="I427">
        <v>-0.8176624323831521</v>
      </c>
    </row>
    <row r="428" spans="1:9">
      <c r="A428" s="8" t="s">
        <v>440</v>
      </c>
      <c r="B428">
        <f>HYPERLINK("https://www.suredividend.com/sure-analysis-research-database/","Boot Barn Holdings Inc")</f>
        <v>0</v>
      </c>
      <c r="C428">
        <v>0.245233463035019</v>
      </c>
      <c r="D428">
        <v>0.4194943446440451</v>
      </c>
      <c r="E428">
        <v>0.7198710197501</v>
      </c>
      <c r="F428">
        <v>0.667665450755601</v>
      </c>
      <c r="G428">
        <v>0.7411588683351461</v>
      </c>
      <c r="H428">
        <v>0.47358121330724</v>
      </c>
      <c r="I428">
        <v>3.426348547717841</v>
      </c>
    </row>
    <row r="429" spans="1:9">
      <c r="A429" s="8" t="s">
        <v>441</v>
      </c>
      <c r="B429">
        <f>HYPERLINK("https://www.suredividend.com/sure-analysis-research-database/","Bank of the James Financial Group Inc.")</f>
        <v>0</v>
      </c>
      <c r="C429">
        <v>0.08517897882134401</v>
      </c>
      <c r="D429">
        <v>-0.038564733660072</v>
      </c>
      <c r="E429">
        <v>0.047829773961186</v>
      </c>
      <c r="F429">
        <v>-0.103082891827625</v>
      </c>
      <c r="G429">
        <v>0.224275968886307</v>
      </c>
      <c r="H429">
        <v>-0.09778348482178001</v>
      </c>
      <c r="I429">
        <v>-0.022869400814427</v>
      </c>
    </row>
    <row r="430" spans="1:9">
      <c r="A430" s="8" t="s">
        <v>442</v>
      </c>
      <c r="B430">
        <f>HYPERLINK("https://www.suredividend.com/sure-analysis-research-database/","Box Inc")</f>
        <v>0</v>
      </c>
      <c r="C430">
        <v>0.009073724007561</v>
      </c>
      <c r="D430">
        <v>-0.102555480833893</v>
      </c>
      <c r="E430">
        <v>0.102437009500206</v>
      </c>
      <c r="F430">
        <v>0.04217102694260001</v>
      </c>
      <c r="G430">
        <v>-0.070358760013932</v>
      </c>
      <c r="H430">
        <v>-0.006698920729438</v>
      </c>
      <c r="I430">
        <v>0.533026995979322</v>
      </c>
    </row>
    <row r="431" spans="1:9">
      <c r="A431" s="8" t="s">
        <v>443</v>
      </c>
      <c r="B431">
        <f>HYPERLINK("https://www.suredividend.com/sure-analysis-research-database/","Boston Private Financial Holdings Inc")</f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>
      <c r="A432" s="8" t="s">
        <v>444</v>
      </c>
      <c r="B432">
        <f>HYPERLINK("https://www.suredividend.com/sure-analysis-research-database/","Blueprint Medicines Corp")</f>
        <v>0</v>
      </c>
      <c r="C432">
        <v>-0.04799631506218301</v>
      </c>
      <c r="D432">
        <v>0.12277270751847</v>
      </c>
      <c r="E432">
        <v>0.40065058281377</v>
      </c>
      <c r="F432">
        <v>0.120338248048569</v>
      </c>
      <c r="G432">
        <v>0.721472597034815</v>
      </c>
      <c r="H432">
        <v>0.6502714787607791</v>
      </c>
      <c r="I432">
        <v>0.170328425821064</v>
      </c>
    </row>
    <row r="433" spans="1:9">
      <c r="A433" s="8" t="s">
        <v>445</v>
      </c>
      <c r="B433">
        <f>HYPERLINK("https://www.suredividend.com/sure-analysis-research-database/","Popular Inc.")</f>
        <v>0</v>
      </c>
      <c r="C433">
        <v>-0.020667327838765</v>
      </c>
      <c r="D433">
        <v>0.04756156298965301</v>
      </c>
      <c r="E433">
        <v>0.150450417876909</v>
      </c>
      <c r="F433">
        <v>0.077557552937162</v>
      </c>
      <c r="G433">
        <v>0.420377984885233</v>
      </c>
      <c r="H433">
        <v>0.134591231515513</v>
      </c>
      <c r="I433">
        <v>0.9483641542725211</v>
      </c>
    </row>
    <row r="434" spans="1:9">
      <c r="A434" s="8" t="s">
        <v>446</v>
      </c>
      <c r="B434">
        <f>HYPERLINK("https://www.suredividend.com/sure-analysis-research-database/","Princeton Bancorp Inc")</f>
        <v>0</v>
      </c>
      <c r="C434">
        <v>0.010784406587012</v>
      </c>
      <c r="D434">
        <v>0.001159307631996</v>
      </c>
      <c r="E434">
        <v>-0.092560086006353</v>
      </c>
      <c r="F434">
        <v>-0.13426686484654</v>
      </c>
      <c r="G434">
        <v>0.125317766688635</v>
      </c>
      <c r="H434">
        <v>0.044967161172545</v>
      </c>
      <c r="I434">
        <v>0.044967161172545</v>
      </c>
    </row>
    <row r="435" spans="1:9">
      <c r="A435" s="8" t="s">
        <v>447</v>
      </c>
      <c r="B435">
        <f>HYPERLINK("https://www.suredividend.com/sure-analysis-research-database/","Bio-Path Holdings Inc")</f>
        <v>0</v>
      </c>
      <c r="C435">
        <v>-0.173333333333333</v>
      </c>
      <c r="D435">
        <v>-0.6019261637239161</v>
      </c>
      <c r="E435">
        <v>-0.7699870153960301</v>
      </c>
      <c r="F435">
        <v>-0.7321814254859611</v>
      </c>
      <c r="G435">
        <v>-0.9257440565303311</v>
      </c>
      <c r="H435">
        <v>-0.9657458563535911</v>
      </c>
      <c r="I435">
        <v>-0.9900958466453671</v>
      </c>
    </row>
    <row r="436" spans="1:9">
      <c r="A436" s="8" t="s">
        <v>448</v>
      </c>
      <c r="B436">
        <f>HYPERLINK("https://www.suredividend.com/sure-analysis-BR/","Broadridge Financial Solutions, Inc.")</f>
        <v>0</v>
      </c>
      <c r="C436">
        <v>-0.016487882399682</v>
      </c>
      <c r="D436">
        <v>-0.029655195391891</v>
      </c>
      <c r="E436">
        <v>0.039789101955931</v>
      </c>
      <c r="F436">
        <v>-0.03366414705636901</v>
      </c>
      <c r="G436">
        <v>0.3084842025838</v>
      </c>
      <c r="H436">
        <v>0.390148505260438</v>
      </c>
      <c r="I436">
        <v>0.6478903359103461</v>
      </c>
    </row>
    <row r="437" spans="1:9">
      <c r="A437" s="8" t="s">
        <v>449</v>
      </c>
      <c r="B437">
        <f>HYPERLINK("https://www.suredividend.com/sure-analysis-BRC/","Brady Corp.")</f>
        <v>0</v>
      </c>
      <c r="C437">
        <v>0.092284915282118</v>
      </c>
      <c r="D437">
        <v>0.157946319422282</v>
      </c>
      <c r="E437">
        <v>0.172869272768059</v>
      </c>
      <c r="F437">
        <v>0.14029589304574</v>
      </c>
      <c r="G437">
        <v>0.346593766731021</v>
      </c>
      <c r="H437">
        <v>0.411387602320287</v>
      </c>
      <c r="I437">
        <v>0.520595597142929</v>
      </c>
    </row>
    <row r="438" spans="1:9">
      <c r="A438" s="8" t="s">
        <v>450</v>
      </c>
      <c r="B438">
        <f>HYPERLINK("https://www.suredividend.com/sure-analysis-research-database/","Bluerock Residential Growth REIT Inc")</f>
        <v>0</v>
      </c>
      <c r="C438">
        <v>-0.005979073243647001</v>
      </c>
      <c r="D438">
        <v>0.007957559681697</v>
      </c>
      <c r="E438">
        <v>0.007472720592969001</v>
      </c>
      <c r="F438">
        <v>0.020545185980932</v>
      </c>
      <c r="G438">
        <v>1.11695794734664</v>
      </c>
      <c r="H438">
        <v>2.548227886936919</v>
      </c>
      <c r="I438">
        <v>2.169043449253606</v>
      </c>
    </row>
    <row r="439" spans="1:9">
      <c r="A439" s="8" t="s">
        <v>451</v>
      </c>
      <c r="B439">
        <f>HYPERLINK("https://www.suredividend.com/sure-analysis-research-database/","Bridgford Foods Corp.")</f>
        <v>0</v>
      </c>
      <c r="C439">
        <v>-0.04287090558766801</v>
      </c>
      <c r="D439">
        <v>-0.04654510556621801</v>
      </c>
      <c r="E439">
        <v>-0.068011257035647</v>
      </c>
      <c r="F439">
        <v>-0.09681818181818101</v>
      </c>
      <c r="G439">
        <v>-0.1224583532072</v>
      </c>
      <c r="H439">
        <v>-0.224434035909445</v>
      </c>
      <c r="I439">
        <v>-0.6470692717584371</v>
      </c>
    </row>
    <row r="440" spans="1:9">
      <c r="A440" s="8" t="s">
        <v>452</v>
      </c>
      <c r="B440">
        <f>HYPERLINK("https://www.suredividend.com/sure-analysis-research-database/","Brookline Bancorp, Inc.")</f>
        <v>0</v>
      </c>
      <c r="C440">
        <v>-0.026143411976117</v>
      </c>
      <c r="D440">
        <v>-0.144332732328942</v>
      </c>
      <c r="E440">
        <v>-0.143538816044372</v>
      </c>
      <c r="F440">
        <v>-0.196141479099678</v>
      </c>
      <c r="G440">
        <v>-0.050020922158261</v>
      </c>
      <c r="H440">
        <v>-0.308317482275635</v>
      </c>
      <c r="I440">
        <v>-0.255985332282265</v>
      </c>
    </row>
    <row r="441" spans="1:9">
      <c r="A441" s="8" t="s">
        <v>453</v>
      </c>
      <c r="B441">
        <f>HYPERLINK("https://www.suredividend.com/sure-analysis-research-database/","Bruker Corp")</f>
        <v>0</v>
      </c>
      <c r="C441">
        <v>-0.128227377702562</v>
      </c>
      <c r="D441">
        <v>-0.297115784693637</v>
      </c>
      <c r="E441">
        <v>-0.05706711437761301</v>
      </c>
      <c r="F441">
        <v>-0.117122501640896</v>
      </c>
      <c r="G441">
        <v>-0.139038038018057</v>
      </c>
      <c r="H441">
        <v>0.0206077585119</v>
      </c>
      <c r="I441">
        <v>0.502212687312223</v>
      </c>
    </row>
    <row r="442" spans="1:9">
      <c r="A442" s="8" t="s">
        <v>454</v>
      </c>
      <c r="B442">
        <f>HYPERLINK("https://www.suredividend.com/sure-analysis-research-database/","Barnwell Industries Inc.")</f>
        <v>0</v>
      </c>
      <c r="C442">
        <v>-0.09824561403508701</v>
      </c>
      <c r="D442">
        <v>0.122270742358078</v>
      </c>
      <c r="E442">
        <v>0.023904382470119</v>
      </c>
      <c r="F442">
        <v>0.057613168724279</v>
      </c>
      <c r="G442">
        <v>-0.041116334601895</v>
      </c>
      <c r="H442">
        <v>-0.072871572871572</v>
      </c>
      <c r="I442">
        <v>1.054028132992327</v>
      </c>
    </row>
    <row r="443" spans="1:9">
      <c r="A443" s="8" t="s">
        <v>455</v>
      </c>
      <c r="B443">
        <f>HYPERLINK("https://www.suredividend.com/sure-analysis-BRO/","Brown &amp; Brown, Inc.")</f>
        <v>0</v>
      </c>
      <c r="C443">
        <v>0.05912717034256201</v>
      </c>
      <c r="D443">
        <v>0.053254203158596</v>
      </c>
      <c r="E443">
        <v>0.227617866544829</v>
      </c>
      <c r="F443">
        <v>0.273712813596051</v>
      </c>
      <c r="G443">
        <v>0.4327225060265431</v>
      </c>
      <c r="H443">
        <v>0.5452738890134581</v>
      </c>
      <c r="I443">
        <v>1.850458289788172</v>
      </c>
    </row>
    <row r="444" spans="1:9">
      <c r="A444" s="8" t="s">
        <v>456</v>
      </c>
      <c r="B444">
        <f>HYPERLINK("https://www.suredividend.com/sure-analysis-BRT/","BRT Apartments Corp")</f>
        <v>0</v>
      </c>
      <c r="C444">
        <v>-0.047134440278521</v>
      </c>
      <c r="D444">
        <v>0.159554428663611</v>
      </c>
      <c r="E444">
        <v>-0.03584551849724101</v>
      </c>
      <c r="F444">
        <v>-0.028192788196284</v>
      </c>
      <c r="G444">
        <v>-0.06635737677386801</v>
      </c>
      <c r="H444">
        <v>-0.13285077136799</v>
      </c>
      <c r="I444">
        <v>0.827483127369102</v>
      </c>
    </row>
    <row r="445" spans="1:9">
      <c r="A445" s="8" t="s">
        <v>457</v>
      </c>
      <c r="B445">
        <f>HYPERLINK("https://www.suredividend.com/sure-analysis-BRX/","Brixmor Property Group Inc")</f>
        <v>0</v>
      </c>
      <c r="C445">
        <v>0.010286225402504</v>
      </c>
      <c r="D445">
        <v>0.005523927374376</v>
      </c>
      <c r="E445">
        <v>0.023292474111923</v>
      </c>
      <c r="F445">
        <v>-0.006172377839271001</v>
      </c>
      <c r="G445">
        <v>0.095171838715463</v>
      </c>
      <c r="H445">
        <v>0.032048792745048</v>
      </c>
      <c r="I445">
        <v>0.608138218732425</v>
      </c>
    </row>
    <row r="446" spans="1:9">
      <c r="A446" s="8" t="s">
        <v>458</v>
      </c>
      <c r="B446">
        <f>HYPERLINK("https://www.suredividend.com/sure-analysis-research-database/","Berry Corp")</f>
        <v>0</v>
      </c>
      <c r="C446">
        <v>-0.13232104121475</v>
      </c>
      <c r="D446">
        <v>-0.043531211477625</v>
      </c>
      <c r="E446">
        <v>-0.01577209927864</v>
      </c>
      <c r="F446">
        <v>-0.035364958583604</v>
      </c>
      <c r="G446">
        <v>-0.01417506046597</v>
      </c>
      <c r="H446">
        <v>-0.317485719130536</v>
      </c>
      <c r="I446">
        <v>-0.149127327017849</v>
      </c>
    </row>
    <row r="447" spans="1:9">
      <c r="A447" s="8" t="s">
        <v>459</v>
      </c>
      <c r="B447">
        <f>HYPERLINK("https://www.suredividend.com/sure-analysis-research-database/","Bassett Furniture Industries Inc.")</f>
        <v>0</v>
      </c>
      <c r="C447">
        <v>0.024120348605938</v>
      </c>
      <c r="D447">
        <v>-0.060665362035225</v>
      </c>
      <c r="E447">
        <v>-0.159149886283335</v>
      </c>
      <c r="F447">
        <v>-0.104443629280139</v>
      </c>
      <c r="G447">
        <v>0.066602389309872</v>
      </c>
      <c r="H447">
        <v>-0.057012140302741</v>
      </c>
      <c r="I447">
        <v>0.42519249157063</v>
      </c>
    </row>
    <row r="448" spans="1:9">
      <c r="A448" s="8" t="s">
        <v>460</v>
      </c>
      <c r="B448">
        <f>HYPERLINK("https://www.suredividend.com/sure-analysis-research-database/","Biosig Technologies Inc")</f>
        <v>0</v>
      </c>
      <c r="C448">
        <v>0.402255639097744</v>
      </c>
      <c r="D448">
        <v>2.155668358714044</v>
      </c>
      <c r="E448">
        <v>-0.434848484848484</v>
      </c>
      <c r="F448">
        <v>-0.607368421052631</v>
      </c>
      <c r="G448">
        <v>-0.8495967741935481</v>
      </c>
      <c r="H448">
        <v>-0.8036635435308981</v>
      </c>
      <c r="I448">
        <v>-0.970490506329114</v>
      </c>
    </row>
    <row r="449" spans="1:9">
      <c r="A449" s="8" t="s">
        <v>461</v>
      </c>
      <c r="B449">
        <f>HYPERLINK("https://www.suredividend.com/sure-analysis-research-database/","BSquare Corp")</f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>
      <c r="A450" s="8" t="s">
        <v>462</v>
      </c>
      <c r="B450">
        <f>HYPERLINK("https://www.suredividend.com/sure-analysis-research-database/","Sierra Bancorp")</f>
        <v>0</v>
      </c>
      <c r="C450">
        <v>-0.05018761726078801</v>
      </c>
      <c r="D450">
        <v>0.103782840946255</v>
      </c>
      <c r="E450">
        <v>0.022680787236943</v>
      </c>
      <c r="F450">
        <v>-0.06213093115346301</v>
      </c>
      <c r="G450">
        <v>0.295013717552711</v>
      </c>
      <c r="H450">
        <v>0.06151547715775901</v>
      </c>
      <c r="I450">
        <v>0.044320443926438</v>
      </c>
    </row>
    <row r="451" spans="1:9">
      <c r="A451" s="8" t="s">
        <v>463</v>
      </c>
      <c r="B451">
        <f>HYPERLINK("https://www.suredividend.com/sure-analysis-research-database/","Biospecifics Technologies Corp.")</f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>
      <c r="A452" s="8" t="s">
        <v>464</v>
      </c>
      <c r="B452">
        <f>HYPERLINK("https://www.suredividend.com/sure-analysis-research-database/","Boston Scientific Corp.")</f>
        <v>0</v>
      </c>
      <c r="C452">
        <v>0.050115756502791</v>
      </c>
      <c r="D452">
        <v>0.136980241816573</v>
      </c>
      <c r="E452">
        <v>0.401235689623841</v>
      </c>
      <c r="F452">
        <v>0.333852274692959</v>
      </c>
      <c r="G452">
        <v>0.520907297830374</v>
      </c>
      <c r="H452">
        <v>0.9482061647296611</v>
      </c>
      <c r="I452">
        <v>0.8679748062015501</v>
      </c>
    </row>
    <row r="453" spans="1:9">
      <c r="A453" s="8" t="s">
        <v>465</v>
      </c>
      <c r="B453">
        <f>HYPERLINK("https://www.suredividend.com/sure-analysis-research-database/","Peabody Energy Corp.")</f>
        <v>0</v>
      </c>
      <c r="C453">
        <v>0.08203816643714301</v>
      </c>
      <c r="D453">
        <v>-0.11491508424212</v>
      </c>
      <c r="E453">
        <v>0.009070972036147</v>
      </c>
      <c r="F453">
        <v>-0.0212146043886</v>
      </c>
      <c r="G453">
        <v>0.197565372384598</v>
      </c>
      <c r="H453">
        <v>-0.157928468426768</v>
      </c>
      <c r="I453">
        <v>0.04183645150064001</v>
      </c>
    </row>
    <row r="454" spans="1:9">
      <c r="A454" s="8" t="s">
        <v>466</v>
      </c>
      <c r="B454">
        <f>HYPERLINK("https://www.suredividend.com/sure-analysis-research-database/","Burlington Stores Inc")</f>
        <v>0</v>
      </c>
      <c r="C454">
        <v>0.221020669081611</v>
      </c>
      <c r="D454">
        <v>0.03593057940884</v>
      </c>
      <c r="E454">
        <v>0.316693474264705</v>
      </c>
      <c r="F454">
        <v>0.178578774167009</v>
      </c>
      <c r="G454">
        <v>0.5256256656017041</v>
      </c>
      <c r="H454">
        <v>0.299523755527837</v>
      </c>
      <c r="I454">
        <v>0.402925694699473</v>
      </c>
    </row>
    <row r="455" spans="1:9">
      <c r="A455" s="8" t="s">
        <v>467</v>
      </c>
      <c r="B455">
        <f>HYPERLINK("https://www.suredividend.com/sure-analysis-research-database/","First Busey Corp.")</f>
        <v>0</v>
      </c>
      <c r="C455">
        <v>-0.039709649871904</v>
      </c>
      <c r="D455">
        <v>-0.038864244382334</v>
      </c>
      <c r="E455">
        <v>-0.013583512063755</v>
      </c>
      <c r="F455">
        <v>-0.064055399264228</v>
      </c>
      <c r="G455">
        <v>0.136334928278015</v>
      </c>
      <c r="H455">
        <v>0.08206154615961901</v>
      </c>
      <c r="I455">
        <v>0.168208521844823</v>
      </c>
    </row>
    <row r="456" spans="1:9">
      <c r="A456" s="8" t="s">
        <v>468</v>
      </c>
      <c r="B456">
        <f>HYPERLINK("https://www.suredividend.com/sure-analysis-research-database/","BrightView Holdings Inc")</f>
        <v>0</v>
      </c>
      <c r="C456">
        <v>0.09824281150159701</v>
      </c>
      <c r="D456">
        <v>0.3805220883534131</v>
      </c>
      <c r="E456">
        <v>0.736111111111111</v>
      </c>
      <c r="F456">
        <v>0.633016627078384</v>
      </c>
      <c r="G456">
        <v>0.8115942028985501</v>
      </c>
      <c r="H456">
        <v>0.025354213273676</v>
      </c>
      <c r="I456">
        <v>-0.246987951807229</v>
      </c>
    </row>
    <row r="457" spans="1:9">
      <c r="A457" s="8" t="s">
        <v>469</v>
      </c>
      <c r="B457">
        <f>HYPERLINK("https://www.suredividend.com/sure-analysis-research-database/","Babcock &amp; Wilcox Enterprises Inc")</f>
        <v>0</v>
      </c>
      <c r="C457">
        <v>0.043859649122807</v>
      </c>
      <c r="D457">
        <v>-0.184931506849315</v>
      </c>
      <c r="E457">
        <v>-0.265432098765432</v>
      </c>
      <c r="F457">
        <v>-0.184931506849315</v>
      </c>
      <c r="G457">
        <v>-0.79553264604811</v>
      </c>
      <c r="H457">
        <v>-0.8363136176066021</v>
      </c>
      <c r="I457">
        <v>-0.7193396226415091</v>
      </c>
    </row>
    <row r="458" spans="1:9">
      <c r="A458" s="8" t="s">
        <v>470</v>
      </c>
      <c r="B458">
        <f>HYPERLINK("https://www.suredividend.com/sure-analysis-research-database/","BorgWarner Inc")</f>
        <v>0</v>
      </c>
      <c r="C458">
        <v>-0.056601202077058</v>
      </c>
      <c r="D458">
        <v>0.075499372288722</v>
      </c>
      <c r="E458">
        <v>0.054527062436777</v>
      </c>
      <c r="F458">
        <v>-0.028128396004683</v>
      </c>
      <c r="G458">
        <v>-0.249969660720167</v>
      </c>
      <c r="H458">
        <v>-0.10624133291671</v>
      </c>
      <c r="I458">
        <v>-0.057395131463556</v>
      </c>
    </row>
    <row r="459" spans="1:9">
      <c r="A459" s="8" t="s">
        <v>471</v>
      </c>
      <c r="B459">
        <f>HYPERLINK("https://www.suredividend.com/sure-analysis-research-database/","Bridgewater Bancshares Inc")</f>
        <v>0</v>
      </c>
      <c r="C459">
        <v>-0.06547619047619001</v>
      </c>
      <c r="D459">
        <v>-0.059075342465753</v>
      </c>
      <c r="E459">
        <v>-0.009909909909909</v>
      </c>
      <c r="F459">
        <v>-0.187130177514792</v>
      </c>
      <c r="G459">
        <v>-0.0009090909090900001</v>
      </c>
      <c r="H459">
        <v>-0.329469188529591</v>
      </c>
      <c r="I459">
        <v>-0.011690647482014</v>
      </c>
    </row>
    <row r="460" spans="1:9">
      <c r="A460" s="8" t="s">
        <v>472</v>
      </c>
      <c r="B460">
        <f>HYPERLINK("https://www.suredividend.com/sure-analysis-research-database/","Broadwind Inc")</f>
        <v>0</v>
      </c>
      <c r="C460">
        <v>0.8479262672811051</v>
      </c>
      <c r="D460">
        <v>0.6708333333333331</v>
      </c>
      <c r="E460">
        <v>0.743478260869565</v>
      </c>
      <c r="F460">
        <v>0.447653429602888</v>
      </c>
      <c r="G460">
        <v>-0.033734939759036</v>
      </c>
      <c r="H460">
        <v>1.056410256410256</v>
      </c>
      <c r="I460">
        <v>1.077720207253885</v>
      </c>
    </row>
    <row r="461" spans="1:9">
      <c r="A461" s="8" t="s">
        <v>473</v>
      </c>
      <c r="B461">
        <f>HYPERLINK("https://www.suredividend.com/sure-analysis-research-database/","Bankwell Financial Group Inc")</f>
        <v>0</v>
      </c>
      <c r="C461">
        <v>0.026328484884708</v>
      </c>
      <c r="D461">
        <v>-0.033303576455071</v>
      </c>
      <c r="E461">
        <v>-0.09803436023847301</v>
      </c>
      <c r="F461">
        <v>-0.176636195812626</v>
      </c>
      <c r="G461">
        <v>0.0008576400742730001</v>
      </c>
      <c r="H461">
        <v>-0.234563105559606</v>
      </c>
      <c r="I461">
        <v>-0.001080362336906</v>
      </c>
    </row>
    <row r="462" spans="1:9">
      <c r="A462" s="8" t="s">
        <v>474</v>
      </c>
      <c r="B462">
        <f>HYPERLINK("https://www.suredividend.com/sure-analysis-research-database/","BWX Technologies Inc")</f>
        <v>0</v>
      </c>
      <c r="C462">
        <v>0.030419551822212</v>
      </c>
      <c r="D462">
        <v>-0.148345056878553</v>
      </c>
      <c r="E462">
        <v>0.128023405382229</v>
      </c>
      <c r="F462">
        <v>0.171538362806243</v>
      </c>
      <c r="G462">
        <v>0.407905361058077</v>
      </c>
      <c r="H462">
        <v>0.7560012249801721</v>
      </c>
      <c r="I462">
        <v>0.9782470232303031</v>
      </c>
    </row>
    <row r="463" spans="1:9">
      <c r="A463" s="8" t="s">
        <v>475</v>
      </c>
      <c r="B463">
        <f>HYPERLINK("https://www.suredividend.com/sure-analysis-research-database/","Bluelinx Hldgs Inc")</f>
        <v>0</v>
      </c>
      <c r="C463">
        <v>-0.02232679215058</v>
      </c>
      <c r="D463">
        <v>-0.18821182143154</v>
      </c>
      <c r="E463">
        <v>0.04988710891302001</v>
      </c>
      <c r="F463">
        <v>-0.138204924543288</v>
      </c>
      <c r="G463">
        <v>0.045839134625682</v>
      </c>
      <c r="H463">
        <v>0.077814569536424</v>
      </c>
      <c r="I463">
        <v>4.033505154639176</v>
      </c>
    </row>
    <row r="464" spans="1:9">
      <c r="A464" s="8" t="s">
        <v>476</v>
      </c>
      <c r="B464">
        <f>HYPERLINK("https://www.suredividend.com/sure-analysis-BXMT/","Blackstone Mortgage Trust Inc")</f>
        <v>0</v>
      </c>
      <c r="C464">
        <v>-0.03908431044109401</v>
      </c>
      <c r="D464">
        <v>-0.115066999866308</v>
      </c>
      <c r="E464">
        <v>-0.124306721620108</v>
      </c>
      <c r="F464">
        <v>-0.164992770710217</v>
      </c>
      <c r="G464">
        <v>-0.021441852266718</v>
      </c>
      <c r="H464">
        <v>-0.306964981798266</v>
      </c>
      <c r="I464">
        <v>-0.233963759052447</v>
      </c>
    </row>
    <row r="465" spans="1:9">
      <c r="A465" s="8" t="s">
        <v>477</v>
      </c>
      <c r="B465">
        <f>HYPERLINK("https://www.suredividend.com/sure-analysis-BXP/","Boston Properties, Inc.")</f>
        <v>0</v>
      </c>
      <c r="C465">
        <v>-0.026289845547157</v>
      </c>
      <c r="D465">
        <v>-0.046294776347595</v>
      </c>
      <c r="E465">
        <v>-0.05493376881440901</v>
      </c>
      <c r="F465">
        <v>-0.14170673773246</v>
      </c>
      <c r="G465">
        <v>0.159770864035164</v>
      </c>
      <c r="H465">
        <v>-0.377312355715833</v>
      </c>
      <c r="I465">
        <v>-0.452253331447739</v>
      </c>
    </row>
    <row r="466" spans="1:9">
      <c r="A466" s="8" t="s">
        <v>478</v>
      </c>
      <c r="B466">
        <f>HYPERLINK("https://www.suredividend.com/sure-analysis-research-database/","Byline Bancorp Inc")</f>
        <v>0</v>
      </c>
      <c r="C466">
        <v>-0.028929188255613</v>
      </c>
      <c r="D466">
        <v>0.07153917621554601</v>
      </c>
      <c r="E466">
        <v>0.04007695367056</v>
      </c>
      <c r="F466">
        <v>-0.03762216935111101</v>
      </c>
      <c r="G466">
        <v>0.154363380657612</v>
      </c>
      <c r="H466">
        <v>-0.078395777585634</v>
      </c>
      <c r="I466">
        <v>0.289275907337235</v>
      </c>
    </row>
    <row r="467" spans="1:9">
      <c r="A467" s="8" t="s">
        <v>479</v>
      </c>
      <c r="B467">
        <f>HYPERLINK("https://www.suredividend.com/sure-analysis-research-database/","Boyd Gaming Corp.")</f>
        <v>0</v>
      </c>
      <c r="C467">
        <v>-0.026088554106191</v>
      </c>
      <c r="D467">
        <v>-0.16830490152548</v>
      </c>
      <c r="E467">
        <v>-0.09719348262595601</v>
      </c>
      <c r="F467">
        <v>-0.151035861167698</v>
      </c>
      <c r="G467">
        <v>-0.217431741181159</v>
      </c>
      <c r="H467">
        <v>-0.103731156543557</v>
      </c>
      <c r="I467">
        <v>1.182370595427766</v>
      </c>
    </row>
    <row r="468" spans="1:9">
      <c r="A468" s="8" t="s">
        <v>480</v>
      </c>
      <c r="B468">
        <f>HYPERLINK("https://www.suredividend.com/sure-analysis-research-database/","Broadway Financial Corp.")</f>
        <v>0</v>
      </c>
      <c r="C468">
        <v>0.07430997876857701</v>
      </c>
      <c r="D468">
        <v>-0.102836879432624</v>
      </c>
      <c r="E468">
        <v>-0.196825396825396</v>
      </c>
      <c r="F468">
        <v>-0.254424094184213</v>
      </c>
      <c r="G468">
        <v>-0.362656187021362</v>
      </c>
      <c r="H468">
        <v>-0.5919354838709671</v>
      </c>
      <c r="I468">
        <v>-0.531377343113284</v>
      </c>
    </row>
    <row r="469" spans="1:9">
      <c r="A469" s="8" t="s">
        <v>481</v>
      </c>
      <c r="B469">
        <f>HYPERLINK("https://www.suredividend.com/sure-analysis-research-database/","Beyond Meat Inc")</f>
        <v>0</v>
      </c>
      <c r="C469">
        <v>-0.08333333333333301</v>
      </c>
      <c r="D469">
        <v>-0.048872180451127</v>
      </c>
      <c r="E469">
        <v>-0.165934065934065</v>
      </c>
      <c r="F469">
        <v>-0.147191011235955</v>
      </c>
      <c r="G469">
        <v>-0.294609665427509</v>
      </c>
      <c r="H469">
        <v>-0.6938281565147231</v>
      </c>
      <c r="I469">
        <v>-0.9452578434908041</v>
      </c>
    </row>
    <row r="470" spans="1:9">
      <c r="A470" s="8" t="s">
        <v>482</v>
      </c>
      <c r="B470">
        <f>HYPERLINK("https://www.suredividend.com/sure-analysis-research-database/","Beazer Homes USA Inc.")</f>
        <v>0</v>
      </c>
      <c r="C470">
        <v>-0.029360967184801</v>
      </c>
      <c r="D470">
        <v>-0.08349641226353501</v>
      </c>
      <c r="E470">
        <v>-0.038987688098495</v>
      </c>
      <c r="F470">
        <v>-0.168393015685113</v>
      </c>
      <c r="G470">
        <v>0.223867595818815</v>
      </c>
      <c r="H470">
        <v>0.7281672816728161</v>
      </c>
      <c r="I470">
        <v>1.914937759336099</v>
      </c>
    </row>
    <row r="471" spans="1:9">
      <c r="A471" s="8" t="s">
        <v>483</v>
      </c>
      <c r="B471">
        <f>HYPERLINK("https://www.suredividend.com/sure-analysis-C/","Citigroup Inc")</f>
        <v>0</v>
      </c>
      <c r="C471">
        <v>-0.003548387096774</v>
      </c>
      <c r="D471">
        <v>0.079637697495233</v>
      </c>
      <c r="E471">
        <v>0.297144308879076</v>
      </c>
      <c r="F471">
        <v>0.223005489469443</v>
      </c>
      <c r="G471">
        <v>0.342798271619965</v>
      </c>
      <c r="H471">
        <v>0.290508558131373</v>
      </c>
      <c r="I471">
        <v>0.133827631772133</v>
      </c>
    </row>
    <row r="472" spans="1:9">
      <c r="A472" s="8" t="s">
        <v>484</v>
      </c>
      <c r="B472">
        <f>HYPERLINK("https://www.suredividend.com/sure-analysis-research-database/","Cable One Inc")</f>
        <v>0</v>
      </c>
      <c r="C472">
        <v>-0.038118951664655</v>
      </c>
      <c r="D472">
        <v>-0.146182131710155</v>
      </c>
      <c r="E472">
        <v>-0.275647653770712</v>
      </c>
      <c r="F472">
        <v>-0.316746244675299</v>
      </c>
      <c r="G472">
        <v>-0.4336816451161311</v>
      </c>
      <c r="H472">
        <v>-0.700070364043277</v>
      </c>
      <c r="I472">
        <v>-0.664521761769268</v>
      </c>
    </row>
    <row r="473" spans="1:9">
      <c r="A473" s="8" t="s">
        <v>485</v>
      </c>
      <c r="B473">
        <f>HYPERLINK("https://www.suredividend.com/sure-analysis-research-database/","Camden National Corp.")</f>
        <v>0</v>
      </c>
      <c r="C473">
        <v>0.017615602390689</v>
      </c>
      <c r="D473">
        <v>0.014367329532983</v>
      </c>
      <c r="E473">
        <v>-0.06476941579166401</v>
      </c>
      <c r="F473">
        <v>-0.09608592632331901</v>
      </c>
      <c r="G473">
        <v>0.07333160803986701</v>
      </c>
      <c r="H473">
        <v>-0.16010239740787</v>
      </c>
      <c r="I473">
        <v>-0.014116270281472</v>
      </c>
    </row>
    <row r="474" spans="1:9">
      <c r="A474" s="8" t="s">
        <v>486</v>
      </c>
      <c r="B474">
        <f>HYPERLINK("https://www.suredividend.com/sure-analysis-research-database/","Credit Acceptance Corp.")</f>
        <v>0</v>
      </c>
      <c r="C474">
        <v>-0.09247067726068801</v>
      </c>
      <c r="D474">
        <v>-0.145919384703033</v>
      </c>
      <c r="E474">
        <v>0.052640818028218</v>
      </c>
      <c r="F474">
        <v>-0.09950631652056301</v>
      </c>
      <c r="G474">
        <v>-0.06361382756534101</v>
      </c>
      <c r="H474">
        <v>-0.176827908094102</v>
      </c>
      <c r="I474">
        <v>-0.024205687319474</v>
      </c>
    </row>
    <row r="475" spans="1:9">
      <c r="A475" s="8" t="s">
        <v>487</v>
      </c>
      <c r="B475">
        <f>HYPERLINK("https://www.suredividend.com/sure-analysis-research-database/","Caci International Inc.")</f>
        <v>0</v>
      </c>
      <c r="C475">
        <v>-0.008289589320918</v>
      </c>
      <c r="D475">
        <v>0.10012647554806</v>
      </c>
      <c r="E475">
        <v>0.290793297471093</v>
      </c>
      <c r="F475">
        <v>0.289199036620762</v>
      </c>
      <c r="G475">
        <v>0.345189767381918</v>
      </c>
      <c r="H475">
        <v>0.435171181080709</v>
      </c>
      <c r="I475">
        <v>1.006825282384042</v>
      </c>
    </row>
    <row r="476" spans="1:9">
      <c r="A476" s="8" t="s">
        <v>488</v>
      </c>
      <c r="B476">
        <f>HYPERLINK("https://www.suredividend.com/sure-analysis-research-database/","Cadence Bank")</f>
        <v>0</v>
      </c>
      <c r="C476">
        <v>-0.028101439342015</v>
      </c>
      <c r="D476">
        <v>0.021702164452258</v>
      </c>
      <c r="E476">
        <v>0.05282305816142</v>
      </c>
      <c r="F476">
        <v>-0.032851009265669</v>
      </c>
      <c r="G476">
        <v>0.389685164767855</v>
      </c>
      <c r="H476">
        <v>0.122310471599925</v>
      </c>
      <c r="I476">
        <v>0.091025202066638</v>
      </c>
    </row>
    <row r="477" spans="1:9">
      <c r="A477" s="8" t="s">
        <v>489</v>
      </c>
      <c r="B477">
        <f>HYPERLINK("https://www.suredividend.com/sure-analysis-CAG/","Conagra Brands Inc")</f>
        <v>0</v>
      </c>
      <c r="C477">
        <v>-0.032552083333333</v>
      </c>
      <c r="D477">
        <v>0.081242337258839</v>
      </c>
      <c r="E477">
        <v>0.021077766134712</v>
      </c>
      <c r="F477">
        <v>0.06133759963431701</v>
      </c>
      <c r="G477">
        <v>-0.08676640947403001</v>
      </c>
      <c r="H477">
        <v>-0.009330031100103001</v>
      </c>
      <c r="I477">
        <v>0.196028798055447</v>
      </c>
    </row>
    <row r="478" spans="1:9">
      <c r="A478" s="8" t="s">
        <v>490</v>
      </c>
      <c r="B478">
        <f>HYPERLINK("https://www.suredividend.com/sure-analysis-CAH/","Cardinal Health, Inc.")</f>
        <v>0</v>
      </c>
      <c r="C478">
        <v>-0.012133975130364</v>
      </c>
      <c r="D478">
        <v>-0.129496555453835</v>
      </c>
      <c r="E478">
        <v>-0.065175781305603</v>
      </c>
      <c r="F478">
        <v>-0.018351476209646</v>
      </c>
      <c r="G478">
        <v>0.207629975604673</v>
      </c>
      <c r="H478">
        <v>0.9213815378854071</v>
      </c>
      <c r="I478">
        <v>1.644677355268951</v>
      </c>
    </row>
    <row r="479" spans="1:9">
      <c r="A479" s="8" t="s">
        <v>491</v>
      </c>
      <c r="B479">
        <f>HYPERLINK("https://www.suredividend.com/sure-analysis-research-database/","Cai International Inc")</f>
        <v>0</v>
      </c>
      <c r="C479">
        <v>0.00143061516452</v>
      </c>
      <c r="D479">
        <v>0.007897597604083</v>
      </c>
      <c r="E479">
        <v>0.386378828014755</v>
      </c>
      <c r="F479">
        <v>0.8276941353864431</v>
      </c>
      <c r="G479">
        <v>0.828380381478506</v>
      </c>
      <c r="H479">
        <v>1.457530795932786</v>
      </c>
      <c r="I479">
        <v>5.184291898577613</v>
      </c>
    </row>
    <row r="480" spans="1:9">
      <c r="A480" s="8" t="s">
        <v>492</v>
      </c>
      <c r="B480">
        <f>HYPERLINK("https://www.suredividend.com/sure-analysis-CAKE/","Cheesecake Factory Inc.")</f>
        <v>0</v>
      </c>
      <c r="C480">
        <v>0.156644895111982</v>
      </c>
      <c r="D480">
        <v>0.071888346805606</v>
      </c>
      <c r="E480">
        <v>0.181889073009064</v>
      </c>
      <c r="F480">
        <v>0.141381247812107</v>
      </c>
      <c r="G480">
        <v>0.210627310878484</v>
      </c>
      <c r="H480">
        <v>0.351680891830691</v>
      </c>
      <c r="I480">
        <v>0.002532168880161</v>
      </c>
    </row>
    <row r="481" spans="1:9">
      <c r="A481" s="8" t="s">
        <v>493</v>
      </c>
      <c r="B481">
        <f>HYPERLINK("https://www.suredividend.com/sure-analysis-research-database/","Caleres Inc")</f>
        <v>0</v>
      </c>
      <c r="C481">
        <v>-0.135747594111721</v>
      </c>
      <c r="D481">
        <v>-0.126878897624823</v>
      </c>
      <c r="E481">
        <v>0.145534472360407</v>
      </c>
      <c r="F481">
        <v>0.073431747576938</v>
      </c>
      <c r="G481">
        <v>0.4626481676837541</v>
      </c>
      <c r="H481">
        <v>0.159311892296185</v>
      </c>
      <c r="I481">
        <v>0.8466898954703831</v>
      </c>
    </row>
    <row r="482" spans="1:9">
      <c r="A482" s="8" t="s">
        <v>494</v>
      </c>
      <c r="B482">
        <f>HYPERLINK("https://www.suredividend.com/sure-analysis-research-database/","Calithera Biosciences Inc")</f>
        <v>0</v>
      </c>
      <c r="C482">
        <v>0</v>
      </c>
      <c r="D482">
        <v>0</v>
      </c>
      <c r="E482">
        <v>-0.361022364217252</v>
      </c>
      <c r="F482">
        <v>-0.333333333333333</v>
      </c>
      <c r="G482">
        <v>-0.9420289855072461</v>
      </c>
      <c r="H482">
        <v>-0.8888888888888881</v>
      </c>
      <c r="I482">
        <v>-0.8888888888888881</v>
      </c>
    </row>
    <row r="483" spans="1:9">
      <c r="A483" s="8" t="s">
        <v>495</v>
      </c>
      <c r="B483">
        <f>HYPERLINK("https://www.suredividend.com/sure-analysis-research-database/","Cal-Maine Foods, Inc.")</f>
        <v>0</v>
      </c>
      <c r="C483">
        <v>0.018044849334267</v>
      </c>
      <c r="D483">
        <v>0.027675253912363</v>
      </c>
      <c r="E483">
        <v>0.165047375786421</v>
      </c>
      <c r="F483">
        <v>0.03471853732714601</v>
      </c>
      <c r="G483">
        <v>0.279533193878674</v>
      </c>
      <c r="H483">
        <v>0.455880142305957</v>
      </c>
      <c r="I483">
        <v>0.7111660134337281</v>
      </c>
    </row>
    <row r="484" spans="1:9">
      <c r="A484" s="8" t="s">
        <v>496</v>
      </c>
      <c r="B484">
        <f>HYPERLINK("https://www.suredividend.com/sure-analysis-research-database/","Calix Inc")</f>
        <v>0</v>
      </c>
      <c r="C484">
        <v>0.177408637873754</v>
      </c>
      <c r="D484">
        <v>-0.029307039167351</v>
      </c>
      <c r="E484">
        <v>-0.129879695556101</v>
      </c>
      <c r="F484">
        <v>-0.188830395971618</v>
      </c>
      <c r="G484">
        <v>-0.30181245074862</v>
      </c>
      <c r="H484">
        <v>-0.08400103385887801</v>
      </c>
      <c r="I484">
        <v>4.771986970684039</v>
      </c>
    </row>
    <row r="485" spans="1:9">
      <c r="A485" s="8" t="s">
        <v>497</v>
      </c>
      <c r="B485">
        <f>HYPERLINK("https://www.suredividend.com/sure-analysis-research-database/","Calamp Corp.")</f>
        <v>0</v>
      </c>
      <c r="C485">
        <v>-0.8083989501312331</v>
      </c>
      <c r="D485">
        <v>-0.6995884773662551</v>
      </c>
      <c r="E485">
        <v>-0.899240855762594</v>
      </c>
      <c r="F485">
        <v>-0.873549281136324</v>
      </c>
      <c r="G485">
        <v>-0.9824645688205621</v>
      </c>
      <c r="H485">
        <v>-0.995710928319624</v>
      </c>
      <c r="I485">
        <v>-0.9969829723921311</v>
      </c>
    </row>
    <row r="486" spans="1:9">
      <c r="A486" s="8" t="s">
        <v>498</v>
      </c>
      <c r="B486">
        <f>HYPERLINK("https://www.suredividend.com/sure-analysis-research-database/","Capricor Therapeutics Inc")</f>
        <v>0</v>
      </c>
      <c r="C486">
        <v>-0.04029304029304</v>
      </c>
      <c r="D486">
        <v>0.039682539682539</v>
      </c>
      <c r="E486">
        <v>0.5321637426900581</v>
      </c>
      <c r="F486">
        <v>0.071574642126789</v>
      </c>
      <c r="G486">
        <v>0.117270788912579</v>
      </c>
      <c r="H486">
        <v>0.467787114845938</v>
      </c>
      <c r="I486">
        <v>0.6375000000000001</v>
      </c>
    </row>
    <row r="487" spans="1:9">
      <c r="A487" s="8" t="s">
        <v>499</v>
      </c>
      <c r="B487">
        <f>HYPERLINK("https://www.suredividend.com/sure-analysis-research-database/","Avis Budget Group Inc")</f>
        <v>0</v>
      </c>
      <c r="C487">
        <v>-0.110188306882657</v>
      </c>
      <c r="D487">
        <v>-0.029419678894968</v>
      </c>
      <c r="E487">
        <v>-0.372465374250377</v>
      </c>
      <c r="F487">
        <v>-0.389540787543721</v>
      </c>
      <c r="G487">
        <v>-0.375668195426644</v>
      </c>
      <c r="H487">
        <v>-0.383787828485619</v>
      </c>
      <c r="I487">
        <v>3.022751352255618</v>
      </c>
    </row>
    <row r="488" spans="1:9">
      <c r="A488" s="8" t="s">
        <v>500</v>
      </c>
      <c r="B488">
        <f>HYPERLINK("https://www.suredividend.com/sure-analysis-research-database/","Cara Therapeutics Inc")</f>
        <v>0</v>
      </c>
      <c r="C488">
        <v>-0.212067659681898</v>
      </c>
      <c r="D488">
        <v>-0.405523809523809</v>
      </c>
      <c r="E488">
        <v>-0.4798333333333331</v>
      </c>
      <c r="F488">
        <v>-0.159892328398384</v>
      </c>
      <c r="G488">
        <v>-0.815870206489675</v>
      </c>
      <c r="H488">
        <v>-0.9297072072072071</v>
      </c>
      <c r="I488">
        <v>-0.9688522954091811</v>
      </c>
    </row>
    <row r="489" spans="1:9">
      <c r="A489" s="8" t="s">
        <v>501</v>
      </c>
      <c r="B489">
        <f>HYPERLINK("https://www.suredividend.com/sure-analysis-research-database/","Carter Bankshares Inc")</f>
        <v>0</v>
      </c>
      <c r="C489">
        <v>-0.034324942791762</v>
      </c>
      <c r="D489">
        <v>-0.033587786259541</v>
      </c>
      <c r="E489">
        <v>-0.073884418434528</v>
      </c>
      <c r="F489">
        <v>-0.154308617234468</v>
      </c>
      <c r="G489">
        <v>-0.213175885643256</v>
      </c>
      <c r="H489">
        <v>-0.159920371599203</v>
      </c>
      <c r="I489">
        <v>0.480701754385964</v>
      </c>
    </row>
    <row r="490" spans="1:9">
      <c r="A490" s="8" t="s">
        <v>502</v>
      </c>
      <c r="B490">
        <f>HYPERLINK("https://www.suredividend.com/sure-analysis-research-database/","CarGurus Inc")</f>
        <v>0</v>
      </c>
      <c r="C490">
        <v>0.158337019018133</v>
      </c>
      <c r="D490">
        <v>0.125</v>
      </c>
      <c r="E490">
        <v>0.227272727272727</v>
      </c>
      <c r="F490">
        <v>0.084023178807947</v>
      </c>
      <c r="G490">
        <v>0.290147783251231</v>
      </c>
      <c r="H490">
        <v>0.018273716951788</v>
      </c>
      <c r="I490">
        <v>-0.252568493150684</v>
      </c>
    </row>
    <row r="491" spans="1:9">
      <c r="A491" s="8" t="s">
        <v>503</v>
      </c>
      <c r="B491">
        <f>HYPERLINK("https://www.suredividend.com/sure-analysis-research-database/","Cars.com")</f>
        <v>0</v>
      </c>
      <c r="C491">
        <v>0.180974477958236</v>
      </c>
      <c r="D491">
        <v>0.102925243770314</v>
      </c>
      <c r="E491">
        <v>0.086446104589114</v>
      </c>
      <c r="F491">
        <v>0.073273589878755</v>
      </c>
      <c r="G491">
        <v>0.05986465382613201</v>
      </c>
      <c r="H491">
        <v>0.963355834136933</v>
      </c>
      <c r="I491">
        <v>-0.011650485436893</v>
      </c>
    </row>
    <row r="492" spans="1:9">
      <c r="A492" s="8" t="s">
        <v>504</v>
      </c>
      <c r="B492">
        <f>HYPERLINK("https://www.suredividend.com/sure-analysis-research-database/","Maplebear Inc.")</f>
        <v>0</v>
      </c>
      <c r="C492">
        <v>-0.121002132196162</v>
      </c>
      <c r="D492">
        <v>-0.041000290782204</v>
      </c>
      <c r="E492">
        <v>0.390974272458877</v>
      </c>
      <c r="F492">
        <v>0.405198125266297</v>
      </c>
      <c r="G492">
        <v>-0.021364985163204</v>
      </c>
      <c r="H492">
        <v>-0.021364985163204</v>
      </c>
      <c r="I492">
        <v>-0.021364985163204</v>
      </c>
    </row>
    <row r="493" spans="1:9">
      <c r="A493" s="8" t="s">
        <v>505</v>
      </c>
      <c r="B493">
        <f>HYPERLINK("https://www.suredividend.com/sure-analysis-research-database/","Casa Systems Inc")</f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>
      <c r="A494" s="8" t="s">
        <v>506</v>
      </c>
      <c r="B494">
        <f>HYPERLINK("https://www.suredividend.com/sure-analysis-research-database/","Pathward Financial Inc")</f>
        <v>0</v>
      </c>
      <c r="C494">
        <v>0.010025993316004</v>
      </c>
      <c r="D494">
        <v>0.06085070866387401</v>
      </c>
      <c r="E494">
        <v>0.040600640811056</v>
      </c>
      <c r="F494">
        <v>0.029786186856975</v>
      </c>
      <c r="G494">
        <v>0.07805173855659901</v>
      </c>
      <c r="H494">
        <v>0.319885383482507</v>
      </c>
      <c r="I494">
        <v>1.046674717923829</v>
      </c>
    </row>
    <row r="495" spans="1:9">
      <c r="A495" s="8" t="s">
        <v>507</v>
      </c>
      <c r="B495">
        <f>HYPERLINK("https://www.suredividend.com/sure-analysis-research-database/","CASI Pharmaceuticals Inc")</f>
        <v>0</v>
      </c>
      <c r="C495">
        <v>0.329501915708812</v>
      </c>
      <c r="D495">
        <v>-0.385296722763507</v>
      </c>
      <c r="E495">
        <v>-0.537333333333333</v>
      </c>
      <c r="F495">
        <v>-0.51536312849162</v>
      </c>
      <c r="G495">
        <v>0.416326530612244</v>
      </c>
      <c r="H495">
        <v>0.032738095238095</v>
      </c>
      <c r="I495">
        <v>-0.9884717607973421</v>
      </c>
    </row>
    <row r="496" spans="1:9">
      <c r="A496" s="8" t="s">
        <v>508</v>
      </c>
      <c r="B496">
        <f>HYPERLINK("https://www.suredividend.com/sure-analysis-CASS/","Cass Information Systems Inc")</f>
        <v>0</v>
      </c>
      <c r="C496">
        <v>-0.061289226237679</v>
      </c>
      <c r="D496">
        <v>-0.117662092054486</v>
      </c>
      <c r="E496">
        <v>0.010837899955594</v>
      </c>
      <c r="F496">
        <v>-0.06208613956647201</v>
      </c>
      <c r="G496">
        <v>0.039369604648187</v>
      </c>
      <c r="H496">
        <v>0.291430673270845</v>
      </c>
      <c r="I496">
        <v>0.07152278828696</v>
      </c>
    </row>
    <row r="497" spans="1:9">
      <c r="A497" s="8" t="s">
        <v>509</v>
      </c>
      <c r="B497">
        <f>HYPERLINK("https://www.suredividend.com/sure-analysis-CASY/","Casey`s General Stores, Inc.")</f>
        <v>0</v>
      </c>
      <c r="C497">
        <v>-0.003728854665615</v>
      </c>
      <c r="D497">
        <v>0.071358479813941</v>
      </c>
      <c r="E497">
        <v>0.201901801225198</v>
      </c>
      <c r="F497">
        <v>0.201508073060816</v>
      </c>
      <c r="G497">
        <v>0.5264838893079701</v>
      </c>
      <c r="H497">
        <v>0.6221416435740721</v>
      </c>
      <c r="I497">
        <v>1.554777721200154</v>
      </c>
    </row>
    <row r="498" spans="1:9">
      <c r="A498" s="8" t="s">
        <v>510</v>
      </c>
      <c r="B498">
        <f>HYPERLINK("https://www.suredividend.com/sure-analysis-CAT/","Caterpillar Inc.")</f>
        <v>0</v>
      </c>
      <c r="C498">
        <v>-0.04655072463768101</v>
      </c>
      <c r="D498">
        <v>-0.029630575811328</v>
      </c>
      <c r="E498">
        <v>0.288483828145228</v>
      </c>
      <c r="F498">
        <v>0.121752462849239</v>
      </c>
      <c r="G498">
        <v>0.4223448323575441</v>
      </c>
      <c r="H498">
        <v>0.5107716077450121</v>
      </c>
      <c r="I498">
        <v>1.972789048018848</v>
      </c>
    </row>
    <row r="499" spans="1:9">
      <c r="A499" s="8" t="s">
        <v>511</v>
      </c>
      <c r="B499">
        <f>HYPERLINK("https://www.suredividend.com/sure-analysis-CATC/","Cambridge Bancorp")</f>
        <v>0</v>
      </c>
      <c r="C499">
        <v>-0.008082065951137</v>
      </c>
      <c r="D499">
        <v>0.010843479462726</v>
      </c>
      <c r="E499">
        <v>0.04578476917502201</v>
      </c>
      <c r="F499">
        <v>-0.033780162467853</v>
      </c>
      <c r="G499">
        <v>0.200291680576199</v>
      </c>
      <c r="H499">
        <v>-0.132274247717096</v>
      </c>
      <c r="I499">
        <v>0.036873783654899</v>
      </c>
    </row>
    <row r="500" spans="1:9">
      <c r="A500" s="8" t="s">
        <v>512</v>
      </c>
      <c r="B500">
        <f>HYPERLINK("https://www.suredividend.com/sure-analysis-research-database/","Cardtronics plc")</f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>
      <c r="A501" s="8" t="s">
        <v>513</v>
      </c>
      <c r="B501">
        <f>HYPERLINK("https://www.suredividend.com/sure-analysis-research-database/","Cato Corp.")</f>
        <v>0</v>
      </c>
      <c r="C501">
        <v>0.192156862745098</v>
      </c>
      <c r="D501">
        <v>-0.042911563769165</v>
      </c>
      <c r="E501">
        <v>-0.052693901716992</v>
      </c>
      <c r="F501">
        <v>-0.121996303142329</v>
      </c>
      <c r="G501">
        <v>-0.218559218559218</v>
      </c>
      <c r="H501">
        <v>-0.412384385661405</v>
      </c>
      <c r="I501">
        <v>-0.374543509345842</v>
      </c>
    </row>
    <row r="502" spans="1:9">
      <c r="A502" s="8" t="s">
        <v>514</v>
      </c>
      <c r="B502">
        <f>HYPERLINK("https://www.suredividend.com/sure-analysis-research-database/","Cathay General Bancorp")</f>
        <v>0</v>
      </c>
      <c r="C502">
        <v>0.010546155018777</v>
      </c>
      <c r="D502">
        <v>-0.085459151679333</v>
      </c>
      <c r="E502">
        <v>-0.04006655819366101</v>
      </c>
      <c r="F502">
        <v>-0.15163135287575</v>
      </c>
      <c r="G502">
        <v>0.137526519405965</v>
      </c>
      <c r="H502">
        <v>-0.037280939165977</v>
      </c>
      <c r="I502">
        <v>0.323599348002076</v>
      </c>
    </row>
    <row r="503" spans="1:9">
      <c r="A503" s="8" t="s">
        <v>515</v>
      </c>
      <c r="B503">
        <f>HYPERLINK("https://www.suredividend.com/sure-analysis-CB/","Chubb Limited")</f>
        <v>0</v>
      </c>
      <c r="C503">
        <v>0.060607263345902</v>
      </c>
      <c r="D503">
        <v>0.077510427520266</v>
      </c>
      <c r="E503">
        <v>0.206156534942745</v>
      </c>
      <c r="F503">
        <v>0.186309977531941</v>
      </c>
      <c r="G503">
        <v>0.40959263606272</v>
      </c>
      <c r="H503">
        <v>0.292291949072419</v>
      </c>
      <c r="I503">
        <v>0.96440372826508</v>
      </c>
    </row>
    <row r="504" spans="1:9">
      <c r="A504" s="8" t="s">
        <v>516</v>
      </c>
      <c r="B504">
        <f>HYPERLINK("https://www.suredividend.com/sure-analysis-research-database/","Colony Bankcorp, Inc.")</f>
        <v>0</v>
      </c>
      <c r="C504">
        <v>0.044444444444444</v>
      </c>
      <c r="D504">
        <v>0.07665805340223901</v>
      </c>
      <c r="E504">
        <v>0.05664517405419001</v>
      </c>
      <c r="F504">
        <v>-0.08953546937352201</v>
      </c>
      <c r="G504">
        <v>0.244228895760091</v>
      </c>
      <c r="H504">
        <v>-0.211224113046688</v>
      </c>
      <c r="I504">
        <v>-0.133033276765291</v>
      </c>
    </row>
    <row r="505" spans="1:9">
      <c r="A505" s="8" t="s">
        <v>517</v>
      </c>
      <c r="B505">
        <f>HYPERLINK("https://www.suredividend.com/sure-analysis-research-database/","Cymabay Therapeutics Inc")</f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>
      <c r="A506" s="8" t="s">
        <v>518</v>
      </c>
      <c r="B506">
        <f>HYPERLINK("https://www.suredividend.com/sure-analysis-research-database/","Cincinnati Bell, Inc.")</f>
        <v>0</v>
      </c>
      <c r="C506">
        <v>0.009784735812133001</v>
      </c>
      <c r="D506">
        <v>0.001941747572815</v>
      </c>
      <c r="E506">
        <v>0.012426422498365</v>
      </c>
      <c r="F506">
        <v>0.013089005235602</v>
      </c>
      <c r="G506">
        <v>0.024487094639311</v>
      </c>
      <c r="H506">
        <v>1.711033274956217</v>
      </c>
      <c r="I506">
        <v>-0.264608076009501</v>
      </c>
    </row>
    <row r="507" spans="1:9">
      <c r="A507" s="8" t="s">
        <v>519</v>
      </c>
      <c r="B507">
        <f>HYPERLINK("https://www.suredividend.com/sure-analysis-research-database/","CB Financial Services Inc")</f>
        <v>0</v>
      </c>
      <c r="C507">
        <v>0.028094555481497</v>
      </c>
      <c r="D507">
        <v>0.04157994542343001</v>
      </c>
      <c r="E507">
        <v>0.017361095425037</v>
      </c>
      <c r="F507">
        <v>-0.01084034646942</v>
      </c>
      <c r="G507">
        <v>0.233526505482948</v>
      </c>
      <c r="H507">
        <v>0.179625788337838</v>
      </c>
      <c r="I507">
        <v>0.253297418830626</v>
      </c>
    </row>
    <row r="508" spans="1:9">
      <c r="A508" s="8" t="s">
        <v>520</v>
      </c>
      <c r="B508">
        <f>HYPERLINK("https://www.suredividend.com/sure-analysis-research-database/","CBL&amp; Associates Properties, Inc.")</f>
        <v>0</v>
      </c>
      <c r="C508">
        <v>0.042012927054478</v>
      </c>
      <c r="D508">
        <v>-0.014354526676186</v>
      </c>
      <c r="E508">
        <v>-0.00260286624626</v>
      </c>
      <c r="F508">
        <v>-0.059156033365153</v>
      </c>
      <c r="G508">
        <v>0.006784756823788001</v>
      </c>
      <c r="H508">
        <v>-0.069949520964252</v>
      </c>
      <c r="I508">
        <v>-0.09320283811039001</v>
      </c>
    </row>
    <row r="509" spans="1:9">
      <c r="A509" s="8" t="s">
        <v>521</v>
      </c>
      <c r="B509">
        <f>HYPERLINK("https://www.suredividend.com/sure-analysis-research-database/","Cellular Biomedicine Group Inc")</f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>
      <c r="A510" s="8" t="s">
        <v>522</v>
      </c>
      <c r="B510">
        <f>HYPERLINK("https://www.suredividend.com/sure-analysis-CBOE/","Cboe Global Markets Inc.")</f>
        <v>0</v>
      </c>
      <c r="C510">
        <v>-0.05685470767029201</v>
      </c>
      <c r="D510">
        <v>-0.054622538832304</v>
      </c>
      <c r="E510">
        <v>-0.014146664238381</v>
      </c>
      <c r="F510">
        <v>-0.021324227439534</v>
      </c>
      <c r="G510">
        <v>0.331394479200238</v>
      </c>
      <c r="H510">
        <v>0.5892927978382371</v>
      </c>
      <c r="I510">
        <v>0.7093441772618021</v>
      </c>
    </row>
    <row r="511" spans="1:9">
      <c r="A511" s="8" t="s">
        <v>523</v>
      </c>
      <c r="B511">
        <f>HYPERLINK("https://www.suredividend.com/sure-analysis-research-database/","CBRE Group Inc")</f>
        <v>0</v>
      </c>
      <c r="C511">
        <v>-0.010172234423766</v>
      </c>
      <c r="D511">
        <v>-0.077859142795606</v>
      </c>
      <c r="E511">
        <v>0.035930316961045</v>
      </c>
      <c r="F511">
        <v>-0.08013750134278601</v>
      </c>
      <c r="G511">
        <v>0.07117838378784</v>
      </c>
      <c r="H511">
        <v>0.061485062600718</v>
      </c>
      <c r="I511">
        <v>0.7383272431993501</v>
      </c>
    </row>
    <row r="512" spans="1:9">
      <c r="A512" s="8" t="s">
        <v>524</v>
      </c>
      <c r="B512">
        <f>HYPERLINK("https://www.suredividend.com/sure-analysis-CBRL/","Cracker Barrel Old Country Store Inc")</f>
        <v>0</v>
      </c>
      <c r="C512">
        <v>-0.098602050326188</v>
      </c>
      <c r="D512">
        <v>-0.269614387811199</v>
      </c>
      <c r="E512">
        <v>-0.305600427322813</v>
      </c>
      <c r="F512">
        <v>-0.333708088089412</v>
      </c>
      <c r="G512">
        <v>-0.424128035057218</v>
      </c>
      <c r="H512">
        <v>-0.400123547755673</v>
      </c>
      <c r="I512">
        <v>-0.62158380791857</v>
      </c>
    </row>
    <row r="513" spans="1:9">
      <c r="A513" s="8" t="s">
        <v>525</v>
      </c>
      <c r="B513">
        <f>HYPERLINK("https://www.suredividend.com/sure-analysis-CBSH/","Commerce Bancshares, Inc.")</f>
        <v>0</v>
      </c>
      <c r="C513">
        <v>-0.026590267337851</v>
      </c>
      <c r="D513">
        <v>0.037488001774399</v>
      </c>
      <c r="E513">
        <v>0.04927898328618</v>
      </c>
      <c r="F513">
        <v>0.026096822995461</v>
      </c>
      <c r="G513">
        <v>0.186337658021662</v>
      </c>
      <c r="H513">
        <v>-0.09134145197808201</v>
      </c>
      <c r="I513">
        <v>0.234761751968996</v>
      </c>
    </row>
    <row r="514" spans="1:9">
      <c r="A514" s="8" t="s">
        <v>526</v>
      </c>
      <c r="B514">
        <f>HYPERLINK("https://www.suredividend.com/sure-analysis-research-database/","Cabot Corp.")</f>
        <v>0</v>
      </c>
      <c r="C514">
        <v>-0.031511882783824</v>
      </c>
      <c r="D514">
        <v>0.113215132507663</v>
      </c>
      <c r="E514">
        <v>0.252731151839189</v>
      </c>
      <c r="F514">
        <v>0.178017589892277</v>
      </c>
      <c r="G514">
        <v>0.312988986356876</v>
      </c>
      <c r="H514">
        <v>0.308373077609732</v>
      </c>
      <c r="I514">
        <v>1.461152325305402</v>
      </c>
    </row>
    <row r="515" spans="1:9">
      <c r="A515" s="8" t="s">
        <v>527</v>
      </c>
      <c r="B515">
        <f>HYPERLINK("https://www.suredividend.com/sure-analysis-CBU/","Community Financial System Inc.")</f>
        <v>0</v>
      </c>
      <c r="C515">
        <v>-0.03661670235546</v>
      </c>
      <c r="D515">
        <v>-0.037961907653751</v>
      </c>
      <c r="E515">
        <v>-0.05248903275536301</v>
      </c>
      <c r="F515">
        <v>-0.128055150172586</v>
      </c>
      <c r="G515">
        <v>-0.148938585108033</v>
      </c>
      <c r="H515">
        <v>-0.28571201762937</v>
      </c>
      <c r="I515">
        <v>-0.185844295209709</v>
      </c>
    </row>
    <row r="516" spans="1:9">
      <c r="A516" s="8" t="s">
        <v>528</v>
      </c>
      <c r="B516">
        <f>HYPERLINK("https://www.suredividend.com/sure-analysis-research-database/","Cbiz Inc")</f>
        <v>0</v>
      </c>
      <c r="C516">
        <v>-0.023941798941798</v>
      </c>
      <c r="D516">
        <v>-0.030991464215364</v>
      </c>
      <c r="E516">
        <v>0.275760719225449</v>
      </c>
      <c r="F516">
        <v>0.178942323054801</v>
      </c>
      <c r="G516">
        <v>0.377707244212098</v>
      </c>
      <c r="H516">
        <v>0.7539814594723081</v>
      </c>
      <c r="I516">
        <v>2.640355204736064</v>
      </c>
    </row>
    <row r="517" spans="1:9">
      <c r="A517" s="8" t="s">
        <v>529</v>
      </c>
      <c r="B517">
        <f>HYPERLINK("https://www.suredividend.com/sure-analysis-CC/","Chemours Company")</f>
        <v>0</v>
      </c>
      <c r="C517">
        <v>-0.128267643834035</v>
      </c>
      <c r="D517">
        <v>-0.038553335030549</v>
      </c>
      <c r="E517">
        <v>-0.14590923386256</v>
      </c>
      <c r="F517">
        <v>-0.220377908664546</v>
      </c>
      <c r="G517">
        <v>-0.267586854744625</v>
      </c>
      <c r="H517">
        <v>-0.4239614862127311</v>
      </c>
      <c r="I517">
        <v>0.318330078870719</v>
      </c>
    </row>
    <row r="518" spans="1:9">
      <c r="A518" s="8" t="s">
        <v>530</v>
      </c>
      <c r="B518">
        <f>HYPERLINK("https://www.suredividend.com/sure-analysis-research-database/","Capital City Bank Group, Inc.")</f>
        <v>0</v>
      </c>
      <c r="C518">
        <v>-0.018234865061998</v>
      </c>
      <c r="D518">
        <v>-0.04403409090909</v>
      </c>
      <c r="E518">
        <v>-0.04234731629574801</v>
      </c>
      <c r="F518">
        <v>-0.078467215752322</v>
      </c>
      <c r="G518">
        <v>-0.173345616459388</v>
      </c>
      <c r="H518">
        <v>0.06765235462556801</v>
      </c>
      <c r="I518">
        <v>0.298262874118657</v>
      </c>
    </row>
    <row r="519" spans="1:9">
      <c r="A519" s="8" t="s">
        <v>531</v>
      </c>
      <c r="B519">
        <f>HYPERLINK("https://www.suredividend.com/sure-analysis-research-database/","Chase Corp.")</f>
        <v>0</v>
      </c>
      <c r="C519">
        <v>0.006473513854898001</v>
      </c>
      <c r="D519">
        <v>0.011825396825396</v>
      </c>
      <c r="E519">
        <v>0.14217882099982</v>
      </c>
      <c r="F519">
        <v>0.477973568281938</v>
      </c>
      <c r="G519">
        <v>0.33252226009321</v>
      </c>
      <c r="H519">
        <v>0.191369509575156</v>
      </c>
      <c r="I519">
        <v>0.203191018489069</v>
      </c>
    </row>
    <row r="520" spans="1:9">
      <c r="A520" s="8" t="s">
        <v>532</v>
      </c>
      <c r="B520">
        <f>HYPERLINK("https://www.suredividend.com/sure-analysis-CCI/","Crown Castle Inc")</f>
        <v>0</v>
      </c>
      <c r="C520">
        <v>0.046489859594383</v>
      </c>
      <c r="D520">
        <v>-0.085467273325492</v>
      </c>
      <c r="E520">
        <v>-0.120556788415332</v>
      </c>
      <c r="F520">
        <v>-0.113890050857532</v>
      </c>
      <c r="G520">
        <v>-0.072408722787383</v>
      </c>
      <c r="H520">
        <v>-0.403104426471268</v>
      </c>
      <c r="I520">
        <v>-0.097787238468587</v>
      </c>
    </row>
    <row r="521" spans="1:9">
      <c r="A521" s="8" t="s">
        <v>533</v>
      </c>
      <c r="B521">
        <f>HYPERLINK("https://www.suredividend.com/sure-analysis-research-database/","Crown Holdings, Inc.")</f>
        <v>0</v>
      </c>
      <c r="C521">
        <v>-0.019441793893129</v>
      </c>
      <c r="D521">
        <v>0.060082062550128</v>
      </c>
      <c r="E521">
        <v>-0.07102516062981801</v>
      </c>
      <c r="F521">
        <v>-0.104415500660168</v>
      </c>
      <c r="G521">
        <v>-0.004946821966455001</v>
      </c>
      <c r="H521">
        <v>-0.237507118517048</v>
      </c>
      <c r="I521">
        <v>0.423093900655201</v>
      </c>
    </row>
    <row r="522" spans="1:9">
      <c r="A522" s="8" t="s">
        <v>534</v>
      </c>
      <c r="B522">
        <f>HYPERLINK("https://www.suredividend.com/sure-analysis-research-database/","Carnival Corp.")</f>
        <v>0</v>
      </c>
      <c r="C522">
        <v>0.182719546742209</v>
      </c>
      <c r="D522">
        <v>0.066411238825031</v>
      </c>
      <c r="E522">
        <v>-0.06860011154489601</v>
      </c>
      <c r="F522">
        <v>-0.09924487594390501</v>
      </c>
      <c r="G522">
        <v>0.281657712970069</v>
      </c>
      <c r="H522">
        <v>0.211901306240928</v>
      </c>
      <c r="I522">
        <v>-0.669182464689685</v>
      </c>
    </row>
    <row r="523" spans="1:9">
      <c r="A523" s="8" t="s">
        <v>535</v>
      </c>
      <c r="B523">
        <f>HYPERLINK("https://www.suredividend.com/sure-analysis-research-database/","CMC Materials Inc")</f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>
      <c r="A524" s="8" t="s">
        <v>536</v>
      </c>
      <c r="B524">
        <f>HYPERLINK("https://www.suredividend.com/sure-analysis-research-database/","CNB Financial Corp (PA)")</f>
        <v>0</v>
      </c>
      <c r="C524">
        <v>-0.01670209849531</v>
      </c>
      <c r="D524">
        <v>-0.04577853629153601</v>
      </c>
      <c r="E524">
        <v>-0.046912367076612</v>
      </c>
      <c r="F524">
        <v>-0.127493367848061</v>
      </c>
      <c r="G524">
        <v>0.09091743803692201</v>
      </c>
      <c r="H524">
        <v>-0.160324562604628</v>
      </c>
      <c r="I524">
        <v>-0.09211173568559601</v>
      </c>
    </row>
    <row r="525" spans="1:9">
      <c r="A525" s="8" t="s">
        <v>537</v>
      </c>
      <c r="B525">
        <f>HYPERLINK("https://www.suredividend.com/sure-analysis-research-database/","Clear Channel Outdoor Holdings Inc.")</f>
        <v>0</v>
      </c>
      <c r="C525">
        <v>-0.115384615384615</v>
      </c>
      <c r="D525">
        <v>-0.206896551724138</v>
      </c>
      <c r="E525">
        <v>-0.09803921568627401</v>
      </c>
      <c r="F525">
        <v>-0.241758241758241</v>
      </c>
      <c r="G525">
        <v>-0.007194244604316001</v>
      </c>
      <c r="H525">
        <v>-0.07382550335570401</v>
      </c>
      <c r="I525">
        <v>-0.7234468937875751</v>
      </c>
    </row>
    <row r="526" spans="1:9">
      <c r="A526" s="8" t="s">
        <v>538</v>
      </c>
      <c r="B526">
        <f>HYPERLINK("https://www.suredividend.com/sure-analysis-CCOI/","Cogent Communications Holdings Inc")</f>
        <v>0</v>
      </c>
      <c r="C526">
        <v>-0.111729331306745</v>
      </c>
      <c r="D526">
        <v>-0.151724488240971</v>
      </c>
      <c r="E526">
        <v>-0.151975108599812</v>
      </c>
      <c r="F526">
        <v>-0.241838517519844</v>
      </c>
      <c r="G526">
        <v>-0.01972817067509</v>
      </c>
      <c r="H526">
        <v>0.07043796471109201</v>
      </c>
      <c r="I526">
        <v>0.229971945658942</v>
      </c>
    </row>
    <row r="527" spans="1:9">
      <c r="A527" s="8" t="s">
        <v>539</v>
      </c>
      <c r="B527">
        <f>HYPERLINK("https://www.suredividend.com/sure-analysis-research-database/","Cross Country Healthcares, Inc.")</f>
        <v>0</v>
      </c>
      <c r="C527">
        <v>-0.106447688564476</v>
      </c>
      <c r="D527">
        <v>-0.211909871244635</v>
      </c>
      <c r="E527">
        <v>-0.296792723791287</v>
      </c>
      <c r="F527">
        <v>-0.351148409893993</v>
      </c>
      <c r="G527">
        <v>-0.463672873311427</v>
      </c>
      <c r="H527">
        <v>-0.211486849168008</v>
      </c>
      <c r="I527">
        <v>0.9932157394843961</v>
      </c>
    </row>
    <row r="528" spans="1:9">
      <c r="A528" s="8" t="s">
        <v>540</v>
      </c>
      <c r="B528">
        <f>HYPERLINK("https://www.suredividend.com/sure-analysis-research-database/","Century Communities Inc")</f>
        <v>0</v>
      </c>
      <c r="C528">
        <v>-0.03383710298564</v>
      </c>
      <c r="D528">
        <v>-0.03337853591225901</v>
      </c>
      <c r="E528">
        <v>0.05174872964388601</v>
      </c>
      <c r="F528">
        <v>-0.102885537865715</v>
      </c>
      <c r="G528">
        <v>0.155139203798341</v>
      </c>
      <c r="H528">
        <v>0.563275529716855</v>
      </c>
      <c r="I528">
        <v>2.033142097817526</v>
      </c>
    </row>
    <row r="529" spans="1:9">
      <c r="A529" s="8" t="s">
        <v>541</v>
      </c>
      <c r="B529">
        <f>HYPERLINK("https://www.suredividend.com/sure-analysis-research-database/","ChemoCentryx Inc")</f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>
      <c r="A530" s="8" t="s">
        <v>542</v>
      </c>
      <c r="B530">
        <f>HYPERLINK("https://www.suredividend.com/sure-analysis-research-database/","Coeur Mining Inc")</f>
        <v>0</v>
      </c>
      <c r="C530">
        <v>0.046875</v>
      </c>
      <c r="D530">
        <v>0.680250783699059</v>
      </c>
      <c r="E530">
        <v>0.7459283387622151</v>
      </c>
      <c r="F530">
        <v>0.644171779141104</v>
      </c>
      <c r="G530">
        <v>0.7070063694267511</v>
      </c>
      <c r="H530">
        <v>0.310513447432762</v>
      </c>
      <c r="I530">
        <v>0.6492307692307691</v>
      </c>
    </row>
    <row r="531" spans="1:9">
      <c r="A531" s="8" t="s">
        <v>543</v>
      </c>
      <c r="B531">
        <f>HYPERLINK("https://www.suredividend.com/sure-analysis-research-database/","CDK Global Inc")</f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>
      <c r="A532" s="8" t="s">
        <v>544</v>
      </c>
      <c r="B532">
        <f>HYPERLINK("https://www.suredividend.com/sure-analysis-research-database/","Cardlytics Inc")</f>
        <v>0</v>
      </c>
      <c r="C532">
        <v>-0.434133679428942</v>
      </c>
      <c r="D532">
        <v>0.175202156334231</v>
      </c>
      <c r="E532">
        <v>0.07654320987654301</v>
      </c>
      <c r="F532">
        <v>-0.05320304017372401</v>
      </c>
      <c r="G532">
        <v>0.6483931947069941</v>
      </c>
      <c r="H532">
        <v>-0.6955307262569831</v>
      </c>
      <c r="I532">
        <v>-0.662799690641918</v>
      </c>
    </row>
    <row r="533" spans="1:9">
      <c r="A533" s="8" t="s">
        <v>545</v>
      </c>
      <c r="B533">
        <f>HYPERLINK("https://www.suredividend.com/sure-analysis-research-database/","Avid Bioservices Inc")</f>
        <v>0</v>
      </c>
      <c r="C533">
        <v>-0.091324200913242</v>
      </c>
      <c r="D533">
        <v>0.304918032786885</v>
      </c>
      <c r="E533">
        <v>0.5047258979206041</v>
      </c>
      <c r="F533">
        <v>0.224615384615384</v>
      </c>
      <c r="G533">
        <v>-0.5374782103428241</v>
      </c>
      <c r="H533">
        <v>-0.447222222222222</v>
      </c>
      <c r="I533">
        <v>1.062176165803109</v>
      </c>
    </row>
    <row r="534" spans="1:9">
      <c r="A534" s="8" t="s">
        <v>546</v>
      </c>
      <c r="B534">
        <f>HYPERLINK("https://www.suredividend.com/sure-analysis-research-database/","Caredx Inc")</f>
        <v>0</v>
      </c>
      <c r="C534">
        <v>0.451335877862595</v>
      </c>
      <c r="D534">
        <v>0.273869346733668</v>
      </c>
      <c r="E534">
        <v>0.5632065775950661</v>
      </c>
      <c r="F534">
        <v>0.2675</v>
      </c>
      <c r="G534">
        <v>0.8128724672228841</v>
      </c>
      <c r="H534">
        <v>-0.4203506097560971</v>
      </c>
      <c r="I534">
        <v>-0.5932067397699911</v>
      </c>
    </row>
    <row r="535" spans="1:9">
      <c r="A535" s="8" t="s">
        <v>547</v>
      </c>
      <c r="B535">
        <f>HYPERLINK("https://www.suredividend.com/sure-analysis-research-database/","Cadence Design Systems, Inc.")</f>
        <v>0</v>
      </c>
      <c r="C535">
        <v>0.036544148711449</v>
      </c>
      <c r="D535">
        <v>-0.07426738774996801</v>
      </c>
      <c r="E535">
        <v>0.13469765290785</v>
      </c>
      <c r="F535">
        <v>0.08095605242868101</v>
      </c>
      <c r="G535">
        <v>0.323414392951858</v>
      </c>
      <c r="H535">
        <v>0.8143834350157141</v>
      </c>
      <c r="I535">
        <v>3.490163184383102</v>
      </c>
    </row>
    <row r="536" spans="1:9">
      <c r="A536" s="8" t="s">
        <v>548</v>
      </c>
      <c r="B536">
        <f>HYPERLINK("https://www.suredividend.com/sure-analysis-research-database/","Cedar Realty Trust Inc")</f>
        <v>0</v>
      </c>
      <c r="C536">
        <v>-0.001377410468319</v>
      </c>
      <c r="D536">
        <v>0.101823708206686</v>
      </c>
      <c r="E536">
        <v>0.215423302598491</v>
      </c>
      <c r="F536">
        <v>0.158327375270109</v>
      </c>
      <c r="G536">
        <v>0.681305620778618</v>
      </c>
      <c r="H536">
        <v>33.70975463794135</v>
      </c>
      <c r="I536">
        <v>6.178040147521101</v>
      </c>
    </row>
    <row r="537" spans="1:9">
      <c r="A537" s="8" t="s">
        <v>549</v>
      </c>
      <c r="B537">
        <f>HYPERLINK("https://www.suredividend.com/sure-analysis-research-database/","Cidara Therapeutics Inc")</f>
        <v>0</v>
      </c>
      <c r="C537">
        <v>-0.04464285714285701</v>
      </c>
      <c r="D537">
        <v>-0.060029282576866</v>
      </c>
      <c r="E537">
        <v>-0.13383702104695</v>
      </c>
      <c r="F537">
        <v>-0.191435768261964</v>
      </c>
      <c r="G537">
        <v>-0.494488188976377</v>
      </c>
      <c r="H537">
        <v>0.36595744680851</v>
      </c>
      <c r="I537">
        <v>-0.6037037037037031</v>
      </c>
    </row>
    <row r="538" spans="1:9">
      <c r="A538" s="8" t="s">
        <v>550</v>
      </c>
      <c r="B538">
        <f>HYPERLINK("https://www.suredividend.com/sure-analysis-research-database/","CDW Corp")</f>
        <v>0</v>
      </c>
      <c r="C538">
        <v>0.021486567251206</v>
      </c>
      <c r="D538">
        <v>-0.09228613226618301</v>
      </c>
      <c r="E538">
        <v>0.06573894528725101</v>
      </c>
      <c r="F538">
        <v>-0.003366261121239</v>
      </c>
      <c r="G538">
        <v>0.330707997896883</v>
      </c>
      <c r="H538">
        <v>0.30711639304892</v>
      </c>
      <c r="I538">
        <v>1.296143535594116</v>
      </c>
    </row>
    <row r="539" spans="1:9">
      <c r="A539" s="8" t="s">
        <v>551</v>
      </c>
      <c r="B539">
        <f>HYPERLINK("https://www.suredividend.com/sure-analysis-research-database/","Chromadex Corp")</f>
        <v>0</v>
      </c>
      <c r="C539">
        <v>-0.146666666666666</v>
      </c>
      <c r="D539">
        <v>1</v>
      </c>
      <c r="E539">
        <v>1.302158273381295</v>
      </c>
      <c r="F539">
        <v>1.237762237762238</v>
      </c>
      <c r="G539">
        <v>1.012578616352201</v>
      </c>
      <c r="H539">
        <v>0.495327102803738</v>
      </c>
      <c r="I539">
        <v>-0.21760391198044</v>
      </c>
    </row>
    <row r="540" spans="1:9">
      <c r="A540" s="8" t="s">
        <v>552</v>
      </c>
      <c r="B540">
        <f>HYPERLINK("https://www.suredividend.com/sure-analysis-research-database/","Codexis Inc.")</f>
        <v>0</v>
      </c>
      <c r="C540">
        <v>-0.07648725212464501</v>
      </c>
      <c r="D540">
        <v>-0.109289617486338</v>
      </c>
      <c r="E540">
        <v>0.481818181818181</v>
      </c>
      <c r="F540">
        <v>0.068852459016393</v>
      </c>
      <c r="G540">
        <v>0.268482490272373</v>
      </c>
      <c r="H540">
        <v>-0.6756218905472631</v>
      </c>
      <c r="I540">
        <v>-0.8084606345475911</v>
      </c>
    </row>
    <row r="541" spans="1:9">
      <c r="A541" s="8" t="s">
        <v>553</v>
      </c>
      <c r="B541">
        <f>HYPERLINK("https://www.suredividend.com/sure-analysis-research-database/","Cadiz Inc.")</f>
        <v>0</v>
      </c>
      <c r="C541">
        <v>0.254237288135593</v>
      </c>
      <c r="D541">
        <v>0.049645390070921</v>
      </c>
      <c r="E541">
        <v>-0.077881619937694</v>
      </c>
      <c r="F541">
        <v>0.057142857142857</v>
      </c>
      <c r="G541">
        <v>-0.415019762845849</v>
      </c>
      <c r="H541">
        <v>0.315555555555555</v>
      </c>
      <c r="I541">
        <v>-0.7086614173228341</v>
      </c>
    </row>
    <row r="542" spans="1:9">
      <c r="A542" s="8" t="s">
        <v>554</v>
      </c>
      <c r="B542">
        <f>HYPERLINK("https://www.suredividend.com/sure-analysis-CE/","Celanese Corp")</f>
        <v>0</v>
      </c>
      <c r="C542">
        <v>-0.09992011307073001</v>
      </c>
      <c r="D542">
        <v>-0.06077305553026201</v>
      </c>
      <c r="E542">
        <v>0.043113259011424</v>
      </c>
      <c r="F542">
        <v>-0.048596473564726</v>
      </c>
      <c r="G542">
        <v>0.269797510340349</v>
      </c>
      <c r="H542">
        <v>-0.048618720652969</v>
      </c>
      <c r="I542">
        <v>0.6175272054227521</v>
      </c>
    </row>
    <row r="543" spans="1:9">
      <c r="A543" s="8" t="s">
        <v>555</v>
      </c>
      <c r="B543">
        <f>HYPERLINK("https://www.suredividend.com/sure-analysis-research-database/","Ceco Environmental Corp.")</f>
        <v>0</v>
      </c>
      <c r="C543">
        <v>-0.006377551020408</v>
      </c>
      <c r="D543">
        <v>0.136673151750972</v>
      </c>
      <c r="E543">
        <v>0.19539641943734</v>
      </c>
      <c r="F543">
        <v>0.152366863905325</v>
      </c>
      <c r="G543">
        <v>0.774487471526196</v>
      </c>
      <c r="H543">
        <v>2.498502994011976</v>
      </c>
      <c r="I543">
        <v>1.614093959731544</v>
      </c>
    </row>
    <row r="544" spans="1:9">
      <c r="A544" s="8" t="s">
        <v>556</v>
      </c>
      <c r="B544">
        <f>HYPERLINK("https://www.suredividend.com/sure-analysis-research-database/","Camber Energy Inc")</f>
        <v>0</v>
      </c>
      <c r="C544">
        <v>-0.127325581395348</v>
      </c>
      <c r="D544">
        <v>-0.344541484716157</v>
      </c>
      <c r="E544">
        <v>-0.3918152350081031</v>
      </c>
      <c r="F544">
        <v>-0.342819614711033</v>
      </c>
      <c r="G544">
        <v>-0.8583962264150941</v>
      </c>
      <c r="H544">
        <v>-0.99507868852459</v>
      </c>
      <c r="I544">
        <v>-0.999988840148698</v>
      </c>
    </row>
    <row r="545" spans="1:9">
      <c r="A545" s="8" t="s">
        <v>557</v>
      </c>
      <c r="B545">
        <f>HYPERLINK("https://www.suredividend.com/sure-analysis-research-database/","Consol Energy Inc")</f>
        <v>0</v>
      </c>
      <c r="C545">
        <v>0.135344429033749</v>
      </c>
      <c r="D545">
        <v>0.038042903941667</v>
      </c>
      <c r="E545">
        <v>-0.05520823314417601</v>
      </c>
      <c r="F545">
        <v>-0.022878742663881</v>
      </c>
      <c r="G545">
        <v>0.555256491450285</v>
      </c>
      <c r="H545">
        <v>0.8598108192028351</v>
      </c>
      <c r="I545">
        <v>3.02923791905428</v>
      </c>
    </row>
    <row r="546" spans="1:9">
      <c r="A546" s="8" t="s">
        <v>558</v>
      </c>
      <c r="B546">
        <f>HYPERLINK("https://www.suredividend.com/sure-analysis-research-database/","Celcuity Inc")</f>
        <v>0</v>
      </c>
      <c r="C546">
        <v>-0.192655367231638</v>
      </c>
      <c r="D546">
        <v>-0.203455964325529</v>
      </c>
      <c r="E546">
        <v>-0.036412677006068</v>
      </c>
      <c r="F546">
        <v>-0.019217570350034</v>
      </c>
      <c r="G546">
        <v>0.311610830656264</v>
      </c>
      <c r="H546">
        <v>0.979224376731301</v>
      </c>
      <c r="I546">
        <v>-0.29466929911155</v>
      </c>
    </row>
    <row r="547" spans="1:9">
      <c r="A547" s="8" t="s">
        <v>559</v>
      </c>
      <c r="B547">
        <f>HYPERLINK("https://www.suredividend.com/sure-analysis-research-database/","Celsius Holdings Inc")</f>
        <v>0</v>
      </c>
      <c r="C547">
        <v>-0.048732943469785</v>
      </c>
      <c r="D547">
        <v>-0.182670835194283</v>
      </c>
      <c r="E547">
        <v>0.436420722135007</v>
      </c>
      <c r="F547">
        <v>0.342626559060895</v>
      </c>
      <c r="G547">
        <v>0.590958487285372</v>
      </c>
      <c r="H547">
        <v>2.14028314028314</v>
      </c>
      <c r="I547">
        <v>56.94348135834719</v>
      </c>
    </row>
    <row r="548" spans="1:9">
      <c r="A548" s="8" t="s">
        <v>560</v>
      </c>
      <c r="B548">
        <f>HYPERLINK("https://www.suredividend.com/sure-analysis-research-database/","Chembio Diagnostics Inc.")</f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>
      <c r="A549" s="8" t="s">
        <v>561</v>
      </c>
      <c r="B549">
        <f>HYPERLINK("https://www.suredividend.com/sure-analysis-research-database/","Central Garden &amp; Pet Co.")</f>
        <v>0</v>
      </c>
      <c r="C549">
        <v>0.006738868832731001</v>
      </c>
      <c r="D549">
        <v>0.004080652904464</v>
      </c>
      <c r="E549">
        <v>0.431250042769843</v>
      </c>
      <c r="F549">
        <v>0.288155009731221</v>
      </c>
      <c r="G549">
        <v>0.663214062767146</v>
      </c>
      <c r="H549">
        <v>0.437625014606517</v>
      </c>
      <c r="I549">
        <v>1.275273870522067</v>
      </c>
    </row>
    <row r="550" spans="1:9">
      <c r="A550" s="8" t="s">
        <v>562</v>
      </c>
      <c r="B550">
        <f>HYPERLINK("https://www.suredividend.com/sure-analysis-research-database/","Central Garden &amp; Pet Co.")</f>
        <v>0</v>
      </c>
      <c r="C550">
        <v>0.002509760178471</v>
      </c>
      <c r="D550">
        <v>0.003349148758024</v>
      </c>
      <c r="E550">
        <v>0.116737077534791</v>
      </c>
      <c r="F550">
        <v>0.020379200726612</v>
      </c>
      <c r="G550">
        <v>0.232853223593964</v>
      </c>
      <c r="H550">
        <v>0.069176778491553</v>
      </c>
      <c r="I550">
        <v>0.728365384615384</v>
      </c>
    </row>
    <row r="551" spans="1:9">
      <c r="A551" s="8" t="s">
        <v>563</v>
      </c>
      <c r="B551">
        <f>HYPERLINK("https://www.suredividend.com/sure-analysis-research-database/","Century Aluminum Co.")</f>
        <v>0</v>
      </c>
      <c r="C551">
        <v>-0.099145299145299</v>
      </c>
      <c r="D551">
        <v>0.389279437609841</v>
      </c>
      <c r="E551">
        <v>1.091269841269841</v>
      </c>
      <c r="F551">
        <v>0.302306425041186</v>
      </c>
      <c r="G551">
        <v>0.8193325661680091</v>
      </c>
      <c r="H551">
        <v>0.24782951854775</v>
      </c>
      <c r="I551">
        <v>1.843525179856115</v>
      </c>
    </row>
    <row r="552" spans="1:9">
      <c r="A552" s="8" t="s">
        <v>564</v>
      </c>
      <c r="B552">
        <f>HYPERLINK("https://www.suredividend.com/sure-analysis-research-database/","Cerner Corp.")</f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>
      <c r="A553" s="8" t="s">
        <v>565</v>
      </c>
      <c r="B553">
        <f>HYPERLINK("https://www.suredividend.com/sure-analysis-research-database/","Cerus Corp.")</f>
        <v>0</v>
      </c>
      <c r="C553">
        <v>-0.037837837837837</v>
      </c>
      <c r="D553">
        <v>-0.252100840336134</v>
      </c>
      <c r="E553">
        <v>0.078787878787878</v>
      </c>
      <c r="F553">
        <v>-0.175925925925925</v>
      </c>
      <c r="G553">
        <v>-0.299212598425196</v>
      </c>
      <c r="H553">
        <v>-0.661596958174904</v>
      </c>
      <c r="I553">
        <v>-0.6204690831556501</v>
      </c>
    </row>
    <row r="554" spans="1:9">
      <c r="A554" s="8" t="s">
        <v>566</v>
      </c>
      <c r="B554">
        <f>HYPERLINK("https://www.suredividend.com/sure-analysis-research-database/","Cemtrex Inc.")</f>
        <v>0</v>
      </c>
      <c r="C554">
        <v>0.103448275862069</v>
      </c>
      <c r="D554">
        <v>-0.9238095238095241</v>
      </c>
      <c r="E554">
        <v>-0.945299145299145</v>
      </c>
      <c r="F554">
        <v>-0.936127744510978</v>
      </c>
      <c r="G554">
        <v>-0.968780487804878</v>
      </c>
      <c r="H554">
        <v>-0.9991295418533951</v>
      </c>
      <c r="I554">
        <v>-0.9998555174282101</v>
      </c>
    </row>
    <row r="555" spans="1:9">
      <c r="A555" s="8" t="s">
        <v>567</v>
      </c>
      <c r="B555">
        <f>HYPERLINK("https://www.suredividend.com/sure-analysis-research-database/","Ceva Inc.")</f>
        <v>0</v>
      </c>
      <c r="C555">
        <v>-0.034648700673724</v>
      </c>
      <c r="D555">
        <v>-0.165210153974199</v>
      </c>
      <c r="E555">
        <v>-0.06784386617100301</v>
      </c>
      <c r="F555">
        <v>-0.116688683399383</v>
      </c>
      <c r="G555">
        <v>-0.195991983967935</v>
      </c>
      <c r="H555">
        <v>-0.461187214611872</v>
      </c>
      <c r="I555">
        <v>-0.153586497890295</v>
      </c>
    </row>
    <row r="556" spans="1:9">
      <c r="A556" s="8" t="s">
        <v>568</v>
      </c>
      <c r="B556">
        <f>HYPERLINK("https://www.suredividend.com/sure-analysis-CF/","CF Industries Holdings Inc")</f>
        <v>0</v>
      </c>
      <c r="C556">
        <v>0.045309733087557</v>
      </c>
      <c r="D556">
        <v>-0.065476647718543</v>
      </c>
      <c r="E556">
        <v>0.017670024481067</v>
      </c>
      <c r="F556">
        <v>-0.007547280442461001</v>
      </c>
      <c r="G556">
        <v>0.164808597980958</v>
      </c>
      <c r="H556">
        <v>-0.121467846016534</v>
      </c>
      <c r="I556">
        <v>1.096730758873269</v>
      </c>
    </row>
    <row r="557" spans="1:9">
      <c r="A557" s="8" t="s">
        <v>569</v>
      </c>
      <c r="B557">
        <f>HYPERLINK("https://www.suredividend.com/sure-analysis-research-database/","CF Bankshares Inc")</f>
        <v>0</v>
      </c>
      <c r="C557">
        <v>0.072400653238976</v>
      </c>
      <c r="D557">
        <v>-0.07981764508052701</v>
      </c>
      <c r="E557">
        <v>0.183510158962836</v>
      </c>
      <c r="F557">
        <v>0.019642348800496</v>
      </c>
      <c r="G557">
        <v>0.301532769556025</v>
      </c>
      <c r="H557">
        <v>-0.017990219780767</v>
      </c>
      <c r="I557">
        <v>0.68386142760678</v>
      </c>
    </row>
    <row r="558" spans="1:9">
      <c r="A558" s="8" t="s">
        <v>570</v>
      </c>
      <c r="B558">
        <f>HYPERLINK("https://www.suredividend.com/sure-analysis-CFFI/","C &amp; F Financial Corp")</f>
        <v>0</v>
      </c>
      <c r="C558">
        <v>0.073950381679389</v>
      </c>
      <c r="D558">
        <v>-0.13090313102668</v>
      </c>
      <c r="E558">
        <v>-0.219420512491525</v>
      </c>
      <c r="F558">
        <v>-0.328454610273958</v>
      </c>
      <c r="G558">
        <v>-0.148097126767386</v>
      </c>
      <c r="H558">
        <v>-0.002698164450686</v>
      </c>
      <c r="I558">
        <v>0.10151452129872</v>
      </c>
    </row>
    <row r="559" spans="1:9">
      <c r="A559" s="8" t="s">
        <v>571</v>
      </c>
      <c r="B559">
        <f>HYPERLINK("https://www.suredividend.com/sure-analysis-research-database/","Capitol Federal Financial")</f>
        <v>0</v>
      </c>
      <c r="C559">
        <v>0.013833992094861</v>
      </c>
      <c r="D559">
        <v>-0.08997374583126301</v>
      </c>
      <c r="E559">
        <v>-0.057019962501378</v>
      </c>
      <c r="F559">
        <v>-0.154971338209132</v>
      </c>
      <c r="G559">
        <v>-0.145327624410642</v>
      </c>
      <c r="H559">
        <v>-0.354619565217391</v>
      </c>
      <c r="I559">
        <v>-0.4325597858549211</v>
      </c>
    </row>
    <row r="560" spans="1:9">
      <c r="A560" s="8" t="s">
        <v>572</v>
      </c>
      <c r="B560">
        <f>HYPERLINK("https://www.suredividend.com/sure-analysis-CFG/","Citizens Financial Group Inc")</f>
        <v>0</v>
      </c>
      <c r="C560">
        <v>-0.03992128197919501</v>
      </c>
      <c r="D560">
        <v>0.019917510624762</v>
      </c>
      <c r="E560">
        <v>0.200068876573882</v>
      </c>
      <c r="F560">
        <v>0.05594498573005501</v>
      </c>
      <c r="G560">
        <v>0.244533527696792</v>
      </c>
      <c r="H560">
        <v>-0.079425496813707</v>
      </c>
      <c r="I560">
        <v>0.272496925885903</v>
      </c>
    </row>
    <row r="561" spans="1:9">
      <c r="A561" s="8" t="s">
        <v>573</v>
      </c>
      <c r="B561">
        <f>HYPERLINK("https://www.suredividend.com/sure-analysis-research-database/","Conformis Inc.")</f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>
      <c r="A562" s="8" t="s">
        <v>574</v>
      </c>
      <c r="B562">
        <f>HYPERLINK("https://www.suredividend.com/sure-analysis-CFR/","Cullen Frost Bankers Inc.")</f>
        <v>0</v>
      </c>
      <c r="C562">
        <v>-0.042038071138424</v>
      </c>
      <c r="D562">
        <v>-0.073058116586644</v>
      </c>
      <c r="E562">
        <v>0.005529915263884</v>
      </c>
      <c r="F562">
        <v>-0.055363928785509</v>
      </c>
      <c r="G562">
        <v>-0.062273600068536</v>
      </c>
      <c r="H562">
        <v>-0.167883440880473</v>
      </c>
      <c r="I562">
        <v>0.25397548832819</v>
      </c>
    </row>
    <row r="563" spans="1:9">
      <c r="A563" s="8" t="s">
        <v>575</v>
      </c>
      <c r="B563">
        <f>HYPERLINK("https://www.suredividend.com/sure-analysis-research-database/","Cancer Genetics Inc.")</f>
        <v>0</v>
      </c>
      <c r="C563">
        <v>-0.291858678955453</v>
      </c>
      <c r="D563">
        <v>0.6405693950177931</v>
      </c>
      <c r="E563">
        <v>0.092417061611374</v>
      </c>
      <c r="F563">
        <v>0.664259927797834</v>
      </c>
      <c r="G563">
        <v>0.7011070110701101</v>
      </c>
      <c r="H563">
        <v>-0.35998889351659</v>
      </c>
      <c r="I563">
        <v>-0.943086419753086</v>
      </c>
    </row>
    <row r="564" spans="1:9">
      <c r="A564" s="8" t="s">
        <v>576</v>
      </c>
      <c r="B564">
        <f>HYPERLINK("https://www.suredividend.com/sure-analysis-research-database/","Cognex Corp.")</f>
        <v>0</v>
      </c>
      <c r="C564">
        <v>-0.05254185426410701</v>
      </c>
      <c r="D564">
        <v>0.062765691422855</v>
      </c>
      <c r="E564">
        <v>0.147675526845282</v>
      </c>
      <c r="F564">
        <v>0.04594181812917501</v>
      </c>
      <c r="G564">
        <v>-0.213431362587275</v>
      </c>
      <c r="H564">
        <v>-0.09299756458861601</v>
      </c>
      <c r="I564">
        <v>0.034351937351915</v>
      </c>
    </row>
    <row r="565" spans="1:9">
      <c r="A565" s="8" t="s">
        <v>577</v>
      </c>
      <c r="B565">
        <f>HYPERLINK("https://www.suredividend.com/sure-analysis-research-database/","Comstock Holding Co. Inc")</f>
        <v>0</v>
      </c>
      <c r="C565">
        <v>-0.233716475095785</v>
      </c>
      <c r="D565">
        <v>0.269868145357573</v>
      </c>
      <c r="E565">
        <v>0.4563106796116501</v>
      </c>
      <c r="F565">
        <v>0.353851708109571</v>
      </c>
      <c r="G565">
        <v>0.6129032258064511</v>
      </c>
      <c r="H565">
        <v>0.398601398601398</v>
      </c>
      <c r="I565">
        <v>1.362204724409448</v>
      </c>
    </row>
    <row r="566" spans="1:9">
      <c r="A566" s="8" t="s">
        <v>578</v>
      </c>
      <c r="B566">
        <f>HYPERLINK("https://www.suredividend.com/sure-analysis-CHCO/","City Holding Co.")</f>
        <v>0</v>
      </c>
      <c r="C566">
        <v>-0.024964539007092</v>
      </c>
      <c r="D566">
        <v>0.004585962686806</v>
      </c>
      <c r="E566">
        <v>0.046962529281138</v>
      </c>
      <c r="F566">
        <v>-0.038306389559128</v>
      </c>
      <c r="G566">
        <v>0.11628601865565</v>
      </c>
      <c r="H566">
        <v>0.377470456057476</v>
      </c>
      <c r="I566">
        <v>0.679015160150461</v>
      </c>
    </row>
    <row r="567" spans="1:9">
      <c r="A567" s="8" t="s">
        <v>579</v>
      </c>
      <c r="B567">
        <f>HYPERLINK("https://www.suredividend.com/sure-analysis-CHCT/","Community Healthcare Trust Inc")</f>
        <v>0</v>
      </c>
      <c r="C567">
        <v>-0.032985434679886</v>
      </c>
      <c r="D567">
        <v>-0.115698344350779</v>
      </c>
      <c r="E567">
        <v>-0.135371923491718</v>
      </c>
      <c r="F567">
        <v>-0.09253215812422901</v>
      </c>
      <c r="G567">
        <v>-0.294025085863858</v>
      </c>
      <c r="H567">
        <v>-0.29602539498618</v>
      </c>
      <c r="I567">
        <v>-0.236466341354855</v>
      </c>
    </row>
    <row r="568" spans="1:9">
      <c r="A568" s="8" t="s">
        <v>580</v>
      </c>
      <c r="B568">
        <f>HYPERLINK("https://www.suredividend.com/sure-analysis-CHD/","Church &amp; Dwight Co., Inc.")</f>
        <v>0</v>
      </c>
      <c r="C568">
        <v>0.006875030474425001</v>
      </c>
      <c r="D568">
        <v>0.034048089302927</v>
      </c>
      <c r="E568">
        <v>0.146873014092931</v>
      </c>
      <c r="F568">
        <v>0.141900672294286</v>
      </c>
      <c r="G568">
        <v>0.174045910027716</v>
      </c>
      <c r="H568">
        <v>0.249770134474242</v>
      </c>
      <c r="I568">
        <v>0.460896727743705</v>
      </c>
    </row>
    <row r="569" spans="1:9">
      <c r="A569" s="8" t="s">
        <v>581</v>
      </c>
      <c r="B569">
        <f>HYPERLINK("https://www.suredividend.com/sure-analysis-CHDN/","Churchill Downs, Inc.")</f>
        <v>0</v>
      </c>
      <c r="C569">
        <v>-0.025999420625724</v>
      </c>
      <c r="D569">
        <v>0.188599204595669</v>
      </c>
      <c r="E569">
        <v>0.152442159383033</v>
      </c>
      <c r="F569">
        <v>-0.003260950122285</v>
      </c>
      <c r="G569">
        <v>-0.029566858795447</v>
      </c>
      <c r="H569">
        <v>0.275504881421388</v>
      </c>
      <c r="I569">
        <v>1.446358020649161</v>
      </c>
    </row>
    <row r="570" spans="1:9">
      <c r="A570" s="8" t="s">
        <v>582</v>
      </c>
      <c r="B570">
        <f>HYPERLINK("https://www.suredividend.com/sure-analysis-CHE/","Chemed Corp.")</f>
        <v>0</v>
      </c>
      <c r="C570">
        <v>-0.062543000834927</v>
      </c>
      <c r="D570">
        <v>-0.162980605648179</v>
      </c>
      <c r="E570">
        <v>-0.04667029883307101</v>
      </c>
      <c r="F570">
        <v>-0.06895673010397201</v>
      </c>
      <c r="G570">
        <v>0.005567372607047</v>
      </c>
      <c r="H570">
        <v>0.13895354793269</v>
      </c>
      <c r="I570">
        <v>0.5866530393776891</v>
      </c>
    </row>
    <row r="571" spans="1:9">
      <c r="A571" s="8" t="s">
        <v>583</v>
      </c>
      <c r="B571">
        <f>HYPERLINK("https://www.suredividend.com/sure-analysis-research-database/","Chefs` Warehouse Inc")</f>
        <v>0</v>
      </c>
      <c r="C571">
        <v>0.013684482313452</v>
      </c>
      <c r="D571">
        <v>0.04331650279032601</v>
      </c>
      <c r="E571">
        <v>0.41937816341287</v>
      </c>
      <c r="F571">
        <v>0.334012911994563</v>
      </c>
      <c r="G571">
        <v>0.216986980781153</v>
      </c>
      <c r="H571">
        <v>0.105915492957746</v>
      </c>
      <c r="I571">
        <v>0.218119764194849</v>
      </c>
    </row>
    <row r="572" spans="1:9">
      <c r="A572" s="8" t="s">
        <v>584</v>
      </c>
      <c r="B572">
        <f>HYPERLINK("https://www.suredividend.com/sure-analysis-research-database/","Chegg Inc")</f>
        <v>0</v>
      </c>
      <c r="C572">
        <v>-0.268774703557312</v>
      </c>
      <c r="D572">
        <v>-0.5509708737864071</v>
      </c>
      <c r="E572">
        <v>-0.6589861751152071</v>
      </c>
      <c r="F572">
        <v>-0.674295774647887</v>
      </c>
      <c r="G572">
        <v>-0.635108481262327</v>
      </c>
      <c r="H572">
        <v>-0.8192476795310211</v>
      </c>
      <c r="I572">
        <v>-0.9060436769933971</v>
      </c>
    </row>
    <row r="573" spans="1:9">
      <c r="A573" s="8" t="s">
        <v>585</v>
      </c>
      <c r="B573">
        <f>HYPERLINK("https://www.suredividend.com/sure-analysis-research-database/","Choice Hotels International, Inc.")</f>
        <v>0</v>
      </c>
      <c r="C573">
        <v>-0.065826101195349</v>
      </c>
      <c r="D573">
        <v>-0.054796143303176</v>
      </c>
      <c r="E573">
        <v>0.02094411829709</v>
      </c>
      <c r="F573">
        <v>0.009357567350953</v>
      </c>
      <c r="G573">
        <v>-0.027423088856535</v>
      </c>
      <c r="H573">
        <v>-0.120214479527059</v>
      </c>
      <c r="I573">
        <v>0.382829164242776</v>
      </c>
    </row>
    <row r="574" spans="1:9">
      <c r="A574" s="8" t="s">
        <v>586</v>
      </c>
      <c r="B574">
        <f>HYPERLINK("https://www.suredividend.com/sure-analysis-research-database/","Chesapeake Energy Corp.")</f>
        <v>0</v>
      </c>
      <c r="C574">
        <v>0.009010120957788</v>
      </c>
      <c r="D574">
        <v>0.09675519961839001</v>
      </c>
      <c r="E574">
        <v>0.199931502381107</v>
      </c>
      <c r="F574">
        <v>0.170299911720495</v>
      </c>
      <c r="G574">
        <v>0.124027504236268</v>
      </c>
      <c r="H574">
        <v>-0.061240026539187</v>
      </c>
      <c r="I574">
        <v>1.208624868980941</v>
      </c>
    </row>
    <row r="575" spans="1:9">
      <c r="A575" s="8" t="s">
        <v>587</v>
      </c>
      <c r="B575">
        <f>HYPERLINK("https://www.suredividend.com/sure-analysis-research-database/","Chiasma Inc")</f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>
      <c r="A576" s="8" t="s">
        <v>588</v>
      </c>
      <c r="B576">
        <f>HYPERLINK("https://www.suredividend.com/sure-analysis-research-database/","Chemung Financial Corp.")</f>
        <v>0</v>
      </c>
      <c r="C576">
        <v>-0.005997693194924001</v>
      </c>
      <c r="D576">
        <v>0.033906072668552</v>
      </c>
      <c r="E576">
        <v>-0.058582433572055</v>
      </c>
      <c r="F576">
        <v>-0.122840944946004</v>
      </c>
      <c r="G576">
        <v>0.157210341577125</v>
      </c>
      <c r="H576">
        <v>0.05977953437581401</v>
      </c>
      <c r="I576">
        <v>0.10875528131867</v>
      </c>
    </row>
    <row r="577" spans="1:9">
      <c r="A577" s="8" t="s">
        <v>589</v>
      </c>
      <c r="B577">
        <f>HYPERLINK("https://www.suredividend.com/sure-analysis-research-database/","Cherry Hill Mortgage Investment Corporation")</f>
        <v>0</v>
      </c>
      <c r="C577">
        <v>0.06628242074927901</v>
      </c>
      <c r="D577">
        <v>0.048633941729962</v>
      </c>
      <c r="E577">
        <v>0.024590163934426</v>
      </c>
      <c r="F577">
        <v>-0.04479153220601501</v>
      </c>
      <c r="G577">
        <v>-0.153337452232214</v>
      </c>
      <c r="H577">
        <v>-0.262948207171314</v>
      </c>
      <c r="I577">
        <v>-0.546779685930571</v>
      </c>
    </row>
    <row r="578" spans="1:9">
      <c r="A578" s="8" t="s">
        <v>590</v>
      </c>
      <c r="B578">
        <f>HYPERLINK("https://www.suredividend.com/sure-analysis-research-database/","Coherus Biosciences Inc")</f>
        <v>0</v>
      </c>
      <c r="C578">
        <v>-0.248888888888888</v>
      </c>
      <c r="D578">
        <v>-0.235294117647058</v>
      </c>
      <c r="E578">
        <v>-0.265217391304347</v>
      </c>
      <c r="F578">
        <v>-0.4924924924924921</v>
      </c>
      <c r="G578">
        <v>-0.6858736059479551</v>
      </c>
      <c r="H578">
        <v>-0.7813712807244501</v>
      </c>
      <c r="I578">
        <v>-0.9056393076493571</v>
      </c>
    </row>
    <row r="579" spans="1:9">
      <c r="A579" s="8" t="s">
        <v>591</v>
      </c>
      <c r="B579">
        <f>HYPERLINK("https://www.suredividend.com/sure-analysis-CHRW/","C.H. Robinson Worldwide, Inc.")</f>
        <v>0</v>
      </c>
      <c r="C579">
        <v>0.109029962169557</v>
      </c>
      <c r="D579">
        <v>0.214724731756435</v>
      </c>
      <c r="E579">
        <v>0.04237822342702501</v>
      </c>
      <c r="F579">
        <v>0.03791281436897</v>
      </c>
      <c r="G579">
        <v>0.003342938417491</v>
      </c>
      <c r="H579">
        <v>-0.11272512126328</v>
      </c>
      <c r="I579">
        <v>0.284366550948656</v>
      </c>
    </row>
    <row r="580" spans="1:9">
      <c r="A580" s="8" t="s">
        <v>592</v>
      </c>
      <c r="B580">
        <f>HYPERLINK("https://www.suredividend.com/sure-analysis-research-database/","Chico`s Fas, Inc.")</f>
        <v>0</v>
      </c>
      <c r="C580">
        <v>0.005298013245033001</v>
      </c>
      <c r="D580">
        <v>0.016064257028112</v>
      </c>
      <c r="E580">
        <v>0.362657091561938</v>
      </c>
      <c r="F580">
        <v>0.00131926121372</v>
      </c>
      <c r="G580">
        <v>0.5649484536082471</v>
      </c>
      <c r="H580">
        <v>0.367567567567567</v>
      </c>
      <c r="I580">
        <v>0.43294064340734</v>
      </c>
    </row>
    <row r="581" spans="1:9">
      <c r="A581" s="8" t="s">
        <v>593</v>
      </c>
      <c r="B581">
        <f>HYPERLINK("https://www.suredividend.com/sure-analysis-research-database/","Charter Communications Inc.")</f>
        <v>0</v>
      </c>
      <c r="C581">
        <v>0.032947761194029</v>
      </c>
      <c r="D581">
        <v>-0.018333333333333</v>
      </c>
      <c r="E581">
        <v>-0.24909130364021</v>
      </c>
      <c r="F581">
        <v>-0.287768858701245</v>
      </c>
      <c r="G581">
        <v>-0.177838496035163</v>
      </c>
      <c r="H581">
        <v>-0.426318516215936</v>
      </c>
      <c r="I581">
        <v>-0.297457110953202</v>
      </c>
    </row>
    <row r="582" spans="1:9">
      <c r="A582" s="8" t="s">
        <v>594</v>
      </c>
      <c r="B582">
        <f>HYPERLINK("https://www.suredividend.com/sure-analysis-research-database/","Chuy`s Holdings Inc")</f>
        <v>0</v>
      </c>
      <c r="C582">
        <v>-0.106789491641078</v>
      </c>
      <c r="D582">
        <v>-0.234950321449444</v>
      </c>
      <c r="E582">
        <v>-0.276595744680851</v>
      </c>
      <c r="F582">
        <v>-0.315197488883076</v>
      </c>
      <c r="G582">
        <v>-0.391445839144584</v>
      </c>
      <c r="H582">
        <v>0.152796125055041</v>
      </c>
      <c r="I582">
        <v>0.280195599022004</v>
      </c>
    </row>
    <row r="583" spans="1:9">
      <c r="A583" s="8" t="s">
        <v>595</v>
      </c>
      <c r="B583">
        <f>HYPERLINK("https://www.suredividend.com/sure-analysis-CI/","Cigna Group (The)")</f>
        <v>0</v>
      </c>
      <c r="C583">
        <v>-0.020790746950433</v>
      </c>
      <c r="D583">
        <v>-0.009477202594870001</v>
      </c>
      <c r="E583">
        <v>0.321659779520098</v>
      </c>
      <c r="F583">
        <v>0.138450152146909</v>
      </c>
      <c r="G583">
        <v>0.314186096680718</v>
      </c>
      <c r="H583">
        <v>0.333280753987814</v>
      </c>
      <c r="I583">
        <v>1.28173679244901</v>
      </c>
    </row>
    <row r="584" spans="1:9">
      <c r="A584" s="8" t="s">
        <v>596</v>
      </c>
      <c r="B584">
        <f>HYPERLINK("https://www.suredividend.com/sure-analysis-research-database/","Citizens, Inc.")</f>
        <v>0</v>
      </c>
      <c r="C584">
        <v>0.40566037735849</v>
      </c>
      <c r="D584">
        <v>0.268085106382978</v>
      </c>
      <c r="E584">
        <v>-0.050955414012738</v>
      </c>
      <c r="F584">
        <v>0.107806691449814</v>
      </c>
      <c r="G584">
        <v>0.330357142857142</v>
      </c>
      <c r="H584">
        <v>-0.235897435897435</v>
      </c>
      <c r="I584">
        <v>-0.5617647058823521</v>
      </c>
    </row>
    <row r="585" spans="1:9">
      <c r="A585" s="8" t="s">
        <v>597</v>
      </c>
      <c r="B585">
        <f>HYPERLINK("https://www.suredividend.com/sure-analysis-research-database/","CIENA Corp.")</f>
        <v>0</v>
      </c>
      <c r="C585">
        <v>-0.06269207129686501</v>
      </c>
      <c r="D585">
        <v>-0.134178652535957</v>
      </c>
      <c r="E585">
        <v>-0.012092420643489</v>
      </c>
      <c r="F585">
        <v>0.016440790935347</v>
      </c>
      <c r="G585">
        <v>0.057070240295748</v>
      </c>
      <c r="H585">
        <v>-0.059609455292908</v>
      </c>
      <c r="I585">
        <v>0.011496794163166</v>
      </c>
    </row>
    <row r="586" spans="1:9">
      <c r="A586" s="8" t="s">
        <v>598</v>
      </c>
      <c r="B586">
        <f>HYPERLINK("https://www.suredividend.com/sure-analysis-CIM/","Chimera Investment Corp")</f>
        <v>0</v>
      </c>
      <c r="C586">
        <v>-0.09423676012461001</v>
      </c>
      <c r="D586">
        <v>-0.106710806264545</v>
      </c>
      <c r="E586">
        <v>-0.216270309246393</v>
      </c>
      <c r="F586">
        <v>-0.203375550547636</v>
      </c>
      <c r="G586">
        <v>-0.175458000113436</v>
      </c>
      <c r="H586">
        <v>-0.494039850343687</v>
      </c>
      <c r="I586">
        <v>-0.626767479027734</v>
      </c>
    </row>
    <row r="587" spans="1:9">
      <c r="A587" s="8" t="s">
        <v>599</v>
      </c>
      <c r="B587">
        <f>HYPERLINK("https://www.suredividend.com/sure-analysis-CINF/","Cincinnati Financial Corp.")</f>
        <v>0</v>
      </c>
      <c r="C587">
        <v>-0.010494880546075</v>
      </c>
      <c r="D587">
        <v>-0.004019306411996</v>
      </c>
      <c r="E587">
        <v>0.154726592565819</v>
      </c>
      <c r="F587">
        <v>0.128539885228943</v>
      </c>
      <c r="G587">
        <v>0.186210621172586</v>
      </c>
      <c r="H587">
        <v>-0.02433401984143</v>
      </c>
      <c r="I587">
        <v>0.315701399201979</v>
      </c>
    </row>
    <row r="588" spans="1:9">
      <c r="A588" s="8" t="s">
        <v>600</v>
      </c>
      <c r="B588">
        <f>HYPERLINK("https://www.suredividend.com/sure-analysis-CIO/","City Office REIT Inc")</f>
        <v>0</v>
      </c>
      <c r="C588">
        <v>0.016563146997929</v>
      </c>
      <c r="D588">
        <v>0.142205783143741</v>
      </c>
      <c r="E588">
        <v>-0.07209675895303701</v>
      </c>
      <c r="F588">
        <v>-0.166242146374596</v>
      </c>
      <c r="G588">
        <v>-0.03960880195599</v>
      </c>
      <c r="H588">
        <v>-0.5731659610720401</v>
      </c>
      <c r="I588">
        <v>-0.424822819656768</v>
      </c>
    </row>
    <row r="589" spans="1:9">
      <c r="A589" s="8" t="s">
        <v>601</v>
      </c>
      <c r="B589">
        <f>HYPERLINK("https://www.suredividend.com/sure-analysis-research-database/","Circor International Inc")</f>
        <v>0</v>
      </c>
      <c r="C589">
        <v>0.003944065973467001</v>
      </c>
      <c r="D589">
        <v>-0.000178539546509</v>
      </c>
      <c r="E589">
        <v>0.90865712338105</v>
      </c>
      <c r="F589">
        <v>1.337228714524207</v>
      </c>
      <c r="G589">
        <v>2.198172472872644</v>
      </c>
      <c r="H589">
        <v>0.73374613003096</v>
      </c>
      <c r="I589">
        <v>0.451529289787454</v>
      </c>
    </row>
    <row r="590" spans="1:9">
      <c r="A590" s="8" t="s">
        <v>602</v>
      </c>
      <c r="B590">
        <f>HYPERLINK("https://www.suredividend.com/sure-analysis-research-database/","CIT Group Inc")</f>
        <v>0</v>
      </c>
      <c r="C590">
        <v>0.120418848167539</v>
      </c>
      <c r="D590">
        <v>0.009009416792557</v>
      </c>
      <c r="E590">
        <v>0.07937545520390001</v>
      </c>
      <c r="F590">
        <v>0.042072458122321</v>
      </c>
      <c r="G590">
        <v>0.535705879313611</v>
      </c>
      <c r="H590">
        <v>0.293020108275328</v>
      </c>
      <c r="I590">
        <v>0.448208282127214</v>
      </c>
    </row>
    <row r="591" spans="1:9">
      <c r="A591" s="8" t="s">
        <v>603</v>
      </c>
      <c r="B591">
        <f>HYPERLINK("https://www.suredividend.com/sure-analysis-CIVB/","Civista Bancshares Inc")</f>
        <v>0</v>
      </c>
      <c r="C591">
        <v>0.02172338884866</v>
      </c>
      <c r="D591">
        <v>-0.025646691618213</v>
      </c>
      <c r="E591">
        <v>-0.108930274267598</v>
      </c>
      <c r="F591">
        <v>-0.201710862050432</v>
      </c>
      <c r="G591">
        <v>-0.076582767241266</v>
      </c>
      <c r="H591">
        <v>-0.25034534055892</v>
      </c>
      <c r="I591">
        <v>-0.191121251554984</v>
      </c>
    </row>
    <row r="592" spans="1:9">
      <c r="A592" s="8" t="s">
        <v>604</v>
      </c>
      <c r="B592">
        <f>HYPERLINK("https://www.suredividend.com/sure-analysis-research-database/","Compx International, Inc.")</f>
        <v>0</v>
      </c>
      <c r="C592">
        <v>-0.301053247513165</v>
      </c>
      <c r="D592">
        <v>-0.202337228714524</v>
      </c>
      <c r="E592">
        <v>0.03782027333466501</v>
      </c>
      <c r="F592">
        <v>-0.045518652139692</v>
      </c>
      <c r="G592">
        <v>0.274167311128296</v>
      </c>
      <c r="H592">
        <v>0.251499546861821</v>
      </c>
      <c r="I592">
        <v>1.077391304347826</v>
      </c>
    </row>
    <row r="593" spans="1:9">
      <c r="A593" s="8" t="s">
        <v>605</v>
      </c>
      <c r="B593">
        <f>HYPERLINK("https://www.suredividend.com/sure-analysis-research-database/","Citizens Holding Co")</f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>
      <c r="A594" s="8" t="s">
        <v>606</v>
      </c>
      <c r="B594">
        <f>HYPERLINK("https://www.suredividend.com/sure-analysis-research-database/","SEACOR Holdings Inc")</f>
        <v>0</v>
      </c>
      <c r="C594">
        <v>0.02292334237121</v>
      </c>
      <c r="D594">
        <v>-0.011904761904761</v>
      </c>
      <c r="E594">
        <v>0.297686053783614</v>
      </c>
      <c r="F594">
        <v>0.001206272617611</v>
      </c>
      <c r="G594">
        <v>0.644867221561632</v>
      </c>
      <c r="H594">
        <v>-0.033535165346995</v>
      </c>
      <c r="I594">
        <v>-0.214364818688651</v>
      </c>
    </row>
    <row r="595" spans="1:9">
      <c r="A595" s="8" t="s">
        <v>607</v>
      </c>
      <c r="B595">
        <f>HYPERLINK("https://www.suredividend.com/sure-analysis-research-database/","CKX Lands Inc")</f>
        <v>0</v>
      </c>
      <c r="C595">
        <v>-0.021044992743105</v>
      </c>
      <c r="D595">
        <v>0.014285714285714</v>
      </c>
      <c r="E595">
        <v>0.055555555555555</v>
      </c>
      <c r="F595">
        <v>0.04059797742928301</v>
      </c>
      <c r="G595">
        <v>0.35035035035035</v>
      </c>
      <c r="H595">
        <v>0.178165938864628</v>
      </c>
      <c r="I595">
        <v>0.34902698053961</v>
      </c>
    </row>
    <row r="596" spans="1:9">
      <c r="A596" s="8" t="s">
        <v>608</v>
      </c>
      <c r="B596">
        <f>HYPERLINK("https://www.suredividend.com/sure-analysis-CL/","Colgate-Palmolive Co.")</f>
        <v>0</v>
      </c>
      <c r="C596">
        <v>-0.002019557823129</v>
      </c>
      <c r="D596">
        <v>0.07141471474966801</v>
      </c>
      <c r="E596">
        <v>0.223894955425404</v>
      </c>
      <c r="F596">
        <v>0.191804487704319</v>
      </c>
      <c r="G596">
        <v>0.279657413262969</v>
      </c>
      <c r="H596">
        <v>0.25390970354364</v>
      </c>
      <c r="I596">
        <v>0.429837599444451</v>
      </c>
    </row>
    <row r="597" spans="1:9">
      <c r="A597" s="8" t="s">
        <v>609</v>
      </c>
      <c r="B597">
        <f>HYPERLINK("https://www.suredividend.com/sure-analysis-research-database/","Clarus Corp")</f>
        <v>0</v>
      </c>
      <c r="C597">
        <v>-0.007529089664613001</v>
      </c>
      <c r="D597">
        <v>0.284569755796934</v>
      </c>
      <c r="E597">
        <v>0.113429596861697</v>
      </c>
      <c r="F597">
        <v>-0.018179141826746</v>
      </c>
      <c r="G597">
        <v>-0.220193139570229</v>
      </c>
      <c r="H597">
        <v>-0.672525530243519</v>
      </c>
      <c r="I597">
        <v>-0.458203705659212</v>
      </c>
    </row>
    <row r="598" spans="1:9">
      <c r="A598" s="8" t="s">
        <v>610</v>
      </c>
      <c r="B598">
        <f>HYPERLINK("https://www.suredividend.com/sure-analysis-research-database/","Core Laboratories Inc")</f>
        <v>0</v>
      </c>
      <c r="C598">
        <v>0.134950248756219</v>
      </c>
      <c r="D598">
        <v>0.143498038822541</v>
      </c>
      <c r="E598">
        <v>0.033011071614553</v>
      </c>
      <c r="F598">
        <v>0.034762344856522</v>
      </c>
      <c r="G598">
        <v>-0.286644021686021</v>
      </c>
      <c r="H598">
        <v>-0.409207301874026</v>
      </c>
      <c r="I598">
        <v>-0.613015405167569</v>
      </c>
    </row>
    <row r="599" spans="1:9">
      <c r="A599" s="8" t="s">
        <v>611</v>
      </c>
      <c r="B599">
        <f>HYPERLINK("https://www.suredividend.com/sure-analysis-research-database/","Columbia Financial, Inc")</f>
        <v>0</v>
      </c>
      <c r="C599">
        <v>-0.07603092783505101</v>
      </c>
      <c r="D599">
        <v>-0.134580567290283</v>
      </c>
      <c r="E599">
        <v>-0.204217536071032</v>
      </c>
      <c r="F599">
        <v>-0.256224066390041</v>
      </c>
      <c r="G599">
        <v>-0.252735799895779</v>
      </c>
      <c r="H599">
        <v>-0.332712889716147</v>
      </c>
      <c r="I599">
        <v>-0.008984105044920001</v>
      </c>
    </row>
    <row r="600" spans="1:9">
      <c r="A600" s="8" t="s">
        <v>612</v>
      </c>
      <c r="B600">
        <f>HYPERLINK("https://www.suredividend.com/sure-analysis-research-database/","Collectors Universe Inc")</f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>
      <c r="A601" s="8" t="s">
        <v>613</v>
      </c>
      <c r="B601">
        <f>HYPERLINK("https://www.suredividend.com/sure-analysis-research-database/","Cloudera Inc")</f>
        <v>0</v>
      </c>
      <c r="C601">
        <v>0.002507836990595</v>
      </c>
      <c r="D601">
        <v>0.015883100381194</v>
      </c>
      <c r="E601">
        <v>0.29578606158833</v>
      </c>
      <c r="F601">
        <v>0.149532710280373</v>
      </c>
      <c r="G601">
        <v>0.4629460201280881</v>
      </c>
      <c r="H601">
        <v>0.829519450800915</v>
      </c>
      <c r="I601">
        <v>-0.116574585635359</v>
      </c>
    </row>
    <row r="602" spans="1:9">
      <c r="A602" s="8" t="s">
        <v>614</v>
      </c>
      <c r="B602">
        <f>HYPERLINK("https://www.suredividend.com/sure-analysis-research-database/","Chatham Lodging Trust")</f>
        <v>0</v>
      </c>
      <c r="C602">
        <v>-0.06746463547334</v>
      </c>
      <c r="D602">
        <v>-0.136880482621788</v>
      </c>
      <c r="E602">
        <v>-0.135670485718896</v>
      </c>
      <c r="F602">
        <v>-0.194851559564073</v>
      </c>
      <c r="G602">
        <v>-0.141437416097297</v>
      </c>
      <c r="H602">
        <v>-0.337564059951612</v>
      </c>
      <c r="I602">
        <v>-0.496069103802708</v>
      </c>
    </row>
    <row r="603" spans="1:9">
      <c r="A603" s="8" t="s">
        <v>615</v>
      </c>
      <c r="B603">
        <f>HYPERLINK("https://www.suredividend.com/sure-analysis-research-database/","Celldex Therapeutics Inc.")</f>
        <v>0</v>
      </c>
      <c r="C603">
        <v>-0.164179104477611</v>
      </c>
      <c r="D603">
        <v>-0.248722316865417</v>
      </c>
      <c r="E603">
        <v>0.108388312912346</v>
      </c>
      <c r="F603">
        <v>-0.110438729198184</v>
      </c>
      <c r="G603">
        <v>0.00141924496168</v>
      </c>
      <c r="H603">
        <v>0.434729564863765</v>
      </c>
      <c r="I603">
        <v>12.51724137931034</v>
      </c>
    </row>
    <row r="604" spans="1:9">
      <c r="A604" s="8" t="s">
        <v>616</v>
      </c>
      <c r="B604">
        <f>HYPERLINK("https://www.suredividend.com/sure-analysis-research-database/","Cleveland-Cliffs Inc")</f>
        <v>0</v>
      </c>
      <c r="C604">
        <v>-0.08723281340265701</v>
      </c>
      <c r="D604">
        <v>-0.245102723363592</v>
      </c>
      <c r="E604">
        <v>-0.08828620888632401</v>
      </c>
      <c r="F604">
        <v>-0.226248775710088</v>
      </c>
      <c r="G604">
        <v>-0.017412935323382</v>
      </c>
      <c r="H604">
        <v>-0.339188624006691</v>
      </c>
      <c r="I604">
        <v>0.7121988751503591</v>
      </c>
    </row>
    <row r="605" spans="1:9">
      <c r="A605" s="8" t="s">
        <v>617</v>
      </c>
      <c r="B605">
        <f>HYPERLINK("https://www.suredividend.com/sure-analysis-research-database/","Clearfield Inc")</f>
        <v>0</v>
      </c>
      <c r="C605">
        <v>0.085761407366684</v>
      </c>
      <c r="D605">
        <v>0.265619993591797</v>
      </c>
      <c r="E605">
        <v>0.474430757745427</v>
      </c>
      <c r="F605">
        <v>0.358321870701513</v>
      </c>
      <c r="G605">
        <v>-0.120854662808813</v>
      </c>
      <c r="H605">
        <v>-0.408062340776262</v>
      </c>
      <c r="I605">
        <v>1.941176470588235</v>
      </c>
    </row>
    <row r="606" spans="1:9">
      <c r="A606" s="8" t="s">
        <v>618</v>
      </c>
      <c r="B606">
        <f>HYPERLINK("https://www.suredividend.com/sure-analysis-research-database/","CoreLogic Inc")</f>
        <v>0</v>
      </c>
      <c r="C606">
        <v>0.003890074036893</v>
      </c>
      <c r="D606">
        <v>-0.034516051170649</v>
      </c>
      <c r="E606">
        <v>0.038098204090107</v>
      </c>
      <c r="F606">
        <v>0.03876947368147601</v>
      </c>
      <c r="G606">
        <v>0.5915583743822761</v>
      </c>
      <c r="H606">
        <v>1.09173841765218</v>
      </c>
      <c r="I606">
        <v>1.149994356264814</v>
      </c>
    </row>
    <row r="607" spans="1:9">
      <c r="A607" s="8" t="s">
        <v>619</v>
      </c>
      <c r="B607">
        <f>HYPERLINK("https://www.suredividend.com/sure-analysis-research-database/","Clean Harbors, Inc.")</f>
        <v>0</v>
      </c>
      <c r="C607">
        <v>0.00220212716113</v>
      </c>
      <c r="D607">
        <v>0.121245478848875</v>
      </c>
      <c r="E607">
        <v>0.261425959780621</v>
      </c>
      <c r="F607">
        <v>0.225717723912669</v>
      </c>
      <c r="G607">
        <v>0.3704510507432081</v>
      </c>
      <c r="H607">
        <v>1.14049834884419</v>
      </c>
      <c r="I607">
        <v>2.24385805277525</v>
      </c>
    </row>
    <row r="608" spans="1:9">
      <c r="A608" s="8" t="s">
        <v>620</v>
      </c>
      <c r="B608">
        <f>HYPERLINK("https://www.suredividend.com/sure-analysis-research-database/","ClearSign Technologies Corp")</f>
        <v>0</v>
      </c>
      <c r="C608">
        <v>-0.027439024390243</v>
      </c>
      <c r="D608">
        <v>-0.294247787610619</v>
      </c>
      <c r="E608">
        <v>-0.24047619047619</v>
      </c>
      <c r="F608">
        <v>-0.281531531531531</v>
      </c>
      <c r="G608">
        <v>-0.376953125</v>
      </c>
      <c r="H608">
        <v>-0.367063492063492</v>
      </c>
      <c r="I608">
        <v>-0.09375000000000001</v>
      </c>
    </row>
    <row r="609" spans="1:9">
      <c r="A609" s="8" t="s">
        <v>621</v>
      </c>
      <c r="B609">
        <f>HYPERLINK("https://www.suredividend.com/sure-analysis-research-database/","Clean Energy Fuels Corp")</f>
        <v>0</v>
      </c>
      <c r="C609">
        <v>0.240506329113924</v>
      </c>
      <c r="D609">
        <v>0.088888888888888</v>
      </c>
      <c r="E609">
        <v>-0.135294117647058</v>
      </c>
      <c r="F609">
        <v>-0.232375979112271</v>
      </c>
      <c r="G609">
        <v>-0.359477124183006</v>
      </c>
      <c r="H609">
        <v>-0.508361204013378</v>
      </c>
      <c r="I609">
        <v>0.157480314960629</v>
      </c>
    </row>
    <row r="610" spans="1:9">
      <c r="A610" s="8" t="s">
        <v>622</v>
      </c>
      <c r="B610">
        <f>HYPERLINK("https://www.suredividend.com/sure-analysis-CLPR/","Clipper Realty Inc")</f>
        <v>0</v>
      </c>
      <c r="C610">
        <v>-0.035319744826513</v>
      </c>
      <c r="D610">
        <v>-0.192760887963023</v>
      </c>
      <c r="E610">
        <v>-0.297675911416542</v>
      </c>
      <c r="F610">
        <v>-0.279474713823626</v>
      </c>
      <c r="G610">
        <v>-0.308948375471382</v>
      </c>
      <c r="H610">
        <v>-0.503457113110333</v>
      </c>
      <c r="I610">
        <v>-0.6134904307711481</v>
      </c>
    </row>
    <row r="611" spans="1:9">
      <c r="A611" s="8" t="s">
        <v>623</v>
      </c>
      <c r="B611">
        <f>HYPERLINK("https://www.suredividend.com/sure-analysis-research-database/","Continental Resources Inc (OKLA)")</f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>
      <c r="A612" s="8" t="s">
        <v>624</v>
      </c>
      <c r="B612">
        <f>HYPERLINK("https://www.suredividend.com/sure-analysis-research-database/","Cellectar Biosciences Inc")</f>
        <v>0</v>
      </c>
      <c r="C612">
        <v>0.012158054711246</v>
      </c>
      <c r="D612">
        <v>-0.181818181818181</v>
      </c>
      <c r="E612">
        <v>0.326693227091633</v>
      </c>
      <c r="F612">
        <v>0.202166064981949</v>
      </c>
      <c r="G612">
        <v>0.8479467258601551</v>
      </c>
      <c r="H612">
        <v>-0.190765492102065</v>
      </c>
      <c r="I612">
        <v>-0.855217391304347</v>
      </c>
    </row>
    <row r="613" spans="1:9">
      <c r="A613" s="8" t="s">
        <v>625</v>
      </c>
      <c r="B613">
        <f>HYPERLINK("https://www.suredividend.com/sure-analysis-research-database/","ClearOne Inc")</f>
        <v>0</v>
      </c>
      <c r="C613">
        <v>-0.277291000927739</v>
      </c>
      <c r="D613">
        <v>0.608396421197522</v>
      </c>
      <c r="E613">
        <v>0.8205660867307191</v>
      </c>
      <c r="F613">
        <v>0.375515008828722</v>
      </c>
      <c r="G613">
        <v>0.458498023715414</v>
      </c>
      <c r="H613">
        <v>7.508495145631068</v>
      </c>
      <c r="I613">
        <v>1.204023891857906</v>
      </c>
    </row>
    <row r="614" spans="1:9">
      <c r="A614" s="8" t="s">
        <v>626</v>
      </c>
      <c r="B614">
        <f>HYPERLINK("https://www.suredividend.com/sure-analysis-research-database/","Clovis Oncology Inc")</f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>
      <c r="A615" s="8" t="s">
        <v>627</v>
      </c>
      <c r="B615">
        <f>HYPERLINK("https://www.suredividend.com/sure-analysis-research-database/","Clearwater Paper Corp")</f>
        <v>0</v>
      </c>
      <c r="C615">
        <v>0.057647801388596</v>
      </c>
      <c r="D615">
        <v>0.289966641005902</v>
      </c>
      <c r="E615">
        <v>0.396388888888888</v>
      </c>
      <c r="F615">
        <v>0.391749723145072</v>
      </c>
      <c r="G615">
        <v>0.547245306248076</v>
      </c>
      <c r="H615">
        <v>0.394839067702552</v>
      </c>
      <c r="I615">
        <v>1.774282560706401</v>
      </c>
    </row>
    <row r="616" spans="1:9">
      <c r="A616" s="8" t="s">
        <v>628</v>
      </c>
      <c r="B616">
        <f>HYPERLINK("https://www.suredividend.com/sure-analysis-CLX/","Clorox Co.")</f>
        <v>0</v>
      </c>
      <c r="C616">
        <v>-0.05808599560813101</v>
      </c>
      <c r="D616">
        <v>-0.128057569053093</v>
      </c>
      <c r="E616">
        <v>-0.05871742905340101</v>
      </c>
      <c r="F616">
        <v>-0.051720018855773</v>
      </c>
      <c r="G616">
        <v>-0.12243708665216</v>
      </c>
      <c r="H616">
        <v>0.057825177623461</v>
      </c>
      <c r="I616">
        <v>-0.023005692092128</v>
      </c>
    </row>
    <row r="617" spans="1:9">
      <c r="A617" s="8" t="s">
        <v>629</v>
      </c>
      <c r="B617">
        <f>HYPERLINK("https://www.suredividend.com/sure-analysis-CMA/","Comerica, Inc.")</f>
        <v>0</v>
      </c>
      <c r="C617">
        <v>-0.096974252959969</v>
      </c>
      <c r="D617">
        <v>-0.06435230981329801</v>
      </c>
      <c r="E617">
        <v>0.002844697863032</v>
      </c>
      <c r="F617">
        <v>-0.127052471322629</v>
      </c>
      <c r="G617">
        <v>0.163686209168055</v>
      </c>
      <c r="H617">
        <v>-0.348210325270855</v>
      </c>
      <c r="I617">
        <v>-0.124941268170444</v>
      </c>
    </row>
    <row r="618" spans="1:9">
      <c r="A618" s="8" t="s">
        <v>630</v>
      </c>
      <c r="B618">
        <f>HYPERLINK("https://www.suredividend.com/sure-analysis-research-database/","Commercial Metals Co.")</f>
        <v>0</v>
      </c>
      <c r="C618">
        <v>-0.069130975653101</v>
      </c>
      <c r="D618">
        <v>-0.020647180574486</v>
      </c>
      <c r="E618">
        <v>0.143670619368164</v>
      </c>
      <c r="F618">
        <v>0.053393665158371</v>
      </c>
      <c r="G618">
        <v>0.128249533126983</v>
      </c>
      <c r="H618">
        <v>0.255633330137117</v>
      </c>
      <c r="I618">
        <v>2.958465584474472</v>
      </c>
    </row>
    <row r="619" spans="1:9">
      <c r="A619" s="8" t="s">
        <v>631</v>
      </c>
      <c r="B619">
        <f>HYPERLINK("https://www.suredividend.com/sure-analysis-research-database/","Columbus Mckinnon Corp.")</f>
        <v>0</v>
      </c>
      <c r="C619">
        <v>-0.161059907834101</v>
      </c>
      <c r="D619">
        <v>-0.137557352080782</v>
      </c>
      <c r="E619">
        <v>0.013726090709134</v>
      </c>
      <c r="F619">
        <v>-0.06057619369520401</v>
      </c>
      <c r="G619">
        <v>-0.113863976538447</v>
      </c>
      <c r="H619">
        <v>0.085692475593537</v>
      </c>
      <c r="I619">
        <v>-0.014283548470934</v>
      </c>
    </row>
    <row r="620" spans="1:9">
      <c r="A620" s="8" t="s">
        <v>632</v>
      </c>
      <c r="B620">
        <f>HYPERLINK("https://www.suredividend.com/sure-analysis-CMCSA/","Comcast Corp")</f>
        <v>0</v>
      </c>
      <c r="C620">
        <v>0.012210963886723</v>
      </c>
      <c r="D620">
        <v>-0.05275723986686</v>
      </c>
      <c r="E620">
        <v>-0.04989513729698</v>
      </c>
      <c r="F620">
        <v>-0.086297511474048</v>
      </c>
      <c r="G620">
        <v>0.013097983945413</v>
      </c>
      <c r="H620">
        <v>-0.010903921095723</v>
      </c>
      <c r="I620">
        <v>0.07956230066475101</v>
      </c>
    </row>
    <row r="621" spans="1:9">
      <c r="A621" s="8" t="s">
        <v>633</v>
      </c>
      <c r="B621">
        <f>HYPERLINK("https://www.suredividend.com/sure-analysis-research-database/","Creative Media &amp; Community Trust")</f>
        <v>0</v>
      </c>
      <c r="C621">
        <v>-0.039213114754098</v>
      </c>
      <c r="D621">
        <v>-0.166671406227783</v>
      </c>
      <c r="E621">
        <v>-0.122109047333732</v>
      </c>
      <c r="F621">
        <v>-0.167925492645806</v>
      </c>
      <c r="G621">
        <v>-0.325538574848094</v>
      </c>
      <c r="H621">
        <v>-0.490524705309642</v>
      </c>
      <c r="I621">
        <v>-0.301803626313406</v>
      </c>
    </row>
    <row r="622" spans="1:9">
      <c r="A622" s="8" t="s">
        <v>634</v>
      </c>
      <c r="B622">
        <f>HYPERLINK("https://www.suredividend.com/sure-analysis-research-database/","Cantel Medical Corp")</f>
        <v>0</v>
      </c>
      <c r="C622">
        <v>-0.085769537026504</v>
      </c>
      <c r="D622">
        <v>0.060290237467018</v>
      </c>
      <c r="E622">
        <v>0.34510460251046</v>
      </c>
      <c r="F622">
        <v>0.019147856961704</v>
      </c>
      <c r="G622">
        <v>0.854407014305491</v>
      </c>
      <c r="H622">
        <v>0.172664956621464</v>
      </c>
      <c r="I622">
        <v>0.18817765451336</v>
      </c>
    </row>
    <row r="623" spans="1:9">
      <c r="A623" s="8" t="s">
        <v>635</v>
      </c>
      <c r="B623">
        <f>HYPERLINK("https://www.suredividend.com/sure-analysis-CME/","CME Group Inc")</f>
        <v>0</v>
      </c>
      <c r="C623">
        <v>-0.032087352951172</v>
      </c>
      <c r="D623">
        <v>-0.055613453339649</v>
      </c>
      <c r="E623">
        <v>0.016089959842632</v>
      </c>
      <c r="F623">
        <v>-0.032371108201062</v>
      </c>
      <c r="G623">
        <v>0.206339332555973</v>
      </c>
      <c r="H623">
        <v>0.139610911134243</v>
      </c>
      <c r="I623">
        <v>0.247410353330734</v>
      </c>
    </row>
    <row r="624" spans="1:9">
      <c r="A624" s="8" t="s">
        <v>636</v>
      </c>
      <c r="B624">
        <f>HYPERLINK("https://www.suredividend.com/sure-analysis-research-database/","Chipotle Mexican Grill")</f>
        <v>0</v>
      </c>
      <c r="C624">
        <v>-0.007721499962425001</v>
      </c>
      <c r="D624">
        <v>0.177978009233445</v>
      </c>
      <c r="E624">
        <v>0.42347894441325</v>
      </c>
      <c r="F624">
        <v>0.3856910483786331</v>
      </c>
      <c r="G624">
        <v>0.5665727421029211</v>
      </c>
      <c r="H624">
        <v>1.279149046345042</v>
      </c>
      <c r="I624">
        <v>3.46422584416865</v>
      </c>
    </row>
    <row r="625" spans="1:9">
      <c r="A625" s="8" t="s">
        <v>637</v>
      </c>
      <c r="B625">
        <f>HYPERLINK("https://www.suredividend.com/sure-analysis-CMI/","Cummins Inc.")</f>
        <v>0</v>
      </c>
      <c r="C625">
        <v>-0.046841397802339</v>
      </c>
      <c r="D625">
        <v>0.027274328003815</v>
      </c>
      <c r="E625">
        <v>0.192855416025163</v>
      </c>
      <c r="F625">
        <v>0.148840004158085</v>
      </c>
      <c r="G625">
        <v>0.23191571117338</v>
      </c>
      <c r="H625">
        <v>0.332729396666289</v>
      </c>
      <c r="I625">
        <v>0.920784846239007</v>
      </c>
    </row>
    <row r="626" spans="1:9">
      <c r="A626" s="8" t="s">
        <v>638</v>
      </c>
      <c r="B626">
        <f>HYPERLINK("https://www.suredividend.com/sure-analysis-research-database/","Capstead Mortgage Corp.")</f>
        <v>0</v>
      </c>
      <c r="C626">
        <v>-0.05417400288113101</v>
      </c>
      <c r="D626">
        <v>0.08450821723533801</v>
      </c>
      <c r="E626">
        <v>0.04713728775332601</v>
      </c>
      <c r="F626">
        <v>0.188995390356332</v>
      </c>
      <c r="G626">
        <v>0.246237321931859</v>
      </c>
      <c r="H626">
        <v>0.030421204483124</v>
      </c>
      <c r="I626">
        <v>0.051031627967143</v>
      </c>
    </row>
    <row r="627" spans="1:9">
      <c r="A627" s="8" t="s">
        <v>639</v>
      </c>
      <c r="B627">
        <f>HYPERLINK("https://www.suredividend.com/sure-analysis-CMP/","Compass Minerals International Inc")</f>
        <v>0</v>
      </c>
      <c r="C627">
        <v>0.001497005988024</v>
      </c>
      <c r="D627">
        <v>-0.3895985401459851</v>
      </c>
      <c r="E627">
        <v>-0.448338418405211</v>
      </c>
      <c r="F627">
        <v>-0.4679476218690221</v>
      </c>
      <c r="G627">
        <v>-0.6139085269080941</v>
      </c>
      <c r="H627">
        <v>-0.6886880691680199</v>
      </c>
      <c r="I627">
        <v>-0.711395976368119</v>
      </c>
    </row>
    <row r="628" spans="1:9">
      <c r="A628" s="8" t="s">
        <v>640</v>
      </c>
      <c r="B628">
        <f>HYPERLINK("https://www.suredividend.com/sure-analysis-research-database/","Chimerix Inc")</f>
        <v>0</v>
      </c>
      <c r="C628">
        <v>-0.057070707070707</v>
      </c>
      <c r="D628">
        <v>-0.259126984126984</v>
      </c>
      <c r="E628">
        <v>-0.040102827763496</v>
      </c>
      <c r="F628">
        <v>-0.03012987012987</v>
      </c>
      <c r="G628">
        <v>-0.3562068965517241</v>
      </c>
      <c r="H628">
        <v>-0.5008021390374331</v>
      </c>
      <c r="I628">
        <v>-0.728633720930232</v>
      </c>
    </row>
    <row r="629" spans="1:9">
      <c r="A629" s="8" t="s">
        <v>641</v>
      </c>
      <c r="B629">
        <f>HYPERLINK("https://www.suredividend.com/sure-analysis-CMS/","CMS Energy Corporation")</f>
        <v>0</v>
      </c>
      <c r="C629">
        <v>-0.0175107680042</v>
      </c>
      <c r="D629">
        <v>0.017483327235929</v>
      </c>
      <c r="E629">
        <v>0.064810668127861</v>
      </c>
      <c r="F629">
        <v>0.062426074385596</v>
      </c>
      <c r="G629">
        <v>0.03885200257014301</v>
      </c>
      <c r="H629">
        <v>-0.098817895220301</v>
      </c>
      <c r="I629">
        <v>0.214954581979877</v>
      </c>
    </row>
    <row r="630" spans="1:9">
      <c r="A630" s="8" t="s">
        <v>642</v>
      </c>
      <c r="B630">
        <f>HYPERLINK("https://www.suredividend.com/sure-analysis-research-database/","Core Molding Technologies")</f>
        <v>0</v>
      </c>
      <c r="C630">
        <v>-0.05807522123893701</v>
      </c>
      <c r="D630">
        <v>-0.10977522216414</v>
      </c>
      <c r="E630">
        <v>-0.109309623430962</v>
      </c>
      <c r="F630">
        <v>-0.080949811117107</v>
      </c>
      <c r="G630">
        <v>-0.142497482376636</v>
      </c>
      <c r="H630">
        <v>0.7115577889447231</v>
      </c>
      <c r="I630">
        <v>1.415602836879433</v>
      </c>
    </row>
    <row r="631" spans="1:9">
      <c r="A631" s="8" t="s">
        <v>643</v>
      </c>
      <c r="B631">
        <f>HYPERLINK("https://www.suredividend.com/sure-analysis-research-database/","Comtech Telecommunications Corp.")</f>
        <v>0</v>
      </c>
      <c r="C631">
        <v>0.100502512562814</v>
      </c>
      <c r="D631">
        <v>-0.639209225700164</v>
      </c>
      <c r="E631">
        <v>-0.8248000000000001</v>
      </c>
      <c r="F631">
        <v>-0.7402135231316721</v>
      </c>
      <c r="G631">
        <v>-0.8112068965517241</v>
      </c>
      <c r="H631">
        <v>-0.8317713934552151</v>
      </c>
      <c r="I631">
        <v>-0.9138324493618091</v>
      </c>
    </row>
    <row r="632" spans="1:9">
      <c r="A632" s="8" t="s">
        <v>644</v>
      </c>
      <c r="B632">
        <f>HYPERLINK("https://www.suredividend.com/sure-analysis-CNA/","CNA Financial Corp.")</f>
        <v>0</v>
      </c>
      <c r="C632">
        <v>0.020844529311547</v>
      </c>
      <c r="D632">
        <v>0.033008127071107</v>
      </c>
      <c r="E632">
        <v>0.092553795547549</v>
      </c>
      <c r="F632">
        <v>0.07550974680708</v>
      </c>
      <c r="G632">
        <v>0.161429307357279</v>
      </c>
      <c r="H632">
        <v>0.038789382194907</v>
      </c>
      <c r="I632">
        <v>0.218673218673218</v>
      </c>
    </row>
    <row r="633" spans="1:9">
      <c r="A633" s="8" t="s">
        <v>645</v>
      </c>
      <c r="B633">
        <f>HYPERLINK("https://www.suredividend.com/sure-analysis-research-database/","Century Bancorp, Inc.")</f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>
      <c r="A634" s="8" t="s">
        <v>646</v>
      </c>
      <c r="B634">
        <f>HYPERLINK("https://www.suredividend.com/sure-analysis-research-database/","Centene Corp.")</f>
        <v>0</v>
      </c>
      <c r="C634">
        <v>-0.08023715415019701</v>
      </c>
      <c r="D634">
        <v>-0.123650514687421</v>
      </c>
      <c r="E634">
        <v>-0.05967133620689601</v>
      </c>
      <c r="F634">
        <v>-0.059291200646813</v>
      </c>
      <c r="G634">
        <v>0.031319249519869</v>
      </c>
      <c r="H634">
        <v>-0.1624475104979</v>
      </c>
      <c r="I634">
        <v>0.287769784172661</v>
      </c>
    </row>
    <row r="635" spans="1:9">
      <c r="A635" s="8" t="s">
        <v>647</v>
      </c>
      <c r="B635">
        <f>HYPERLINK("https://www.suredividend.com/sure-analysis-research-database/","Concert Pharmaceuticals Inc")</f>
        <v>0</v>
      </c>
      <c r="C635">
        <v>0</v>
      </c>
      <c r="D635">
        <v>0.7222222222222211</v>
      </c>
      <c r="E635">
        <v>0.204316546762589</v>
      </c>
      <c r="F635">
        <v>0.433219178082191</v>
      </c>
      <c r="G635">
        <v>1.90625</v>
      </c>
      <c r="H635">
        <v>0.358766233766233</v>
      </c>
      <c r="I635">
        <v>-0.6294820717131471</v>
      </c>
    </row>
    <row r="636" spans="1:9">
      <c r="A636" s="8" t="s">
        <v>648</v>
      </c>
      <c r="B636">
        <f>HYPERLINK("https://www.suredividend.com/sure-analysis-research-database/","Conduent Inc")</f>
        <v>0</v>
      </c>
      <c r="C636">
        <v>-0.077127659574467</v>
      </c>
      <c r="D636">
        <v>0.035820895522387</v>
      </c>
      <c r="E636">
        <v>0.06769230769230701</v>
      </c>
      <c r="F636">
        <v>-0.04931506849315</v>
      </c>
      <c r="G636">
        <v>0.026627218934911</v>
      </c>
      <c r="H636">
        <v>-0.371376811594202</v>
      </c>
      <c r="I636">
        <v>-0.614444444444444</v>
      </c>
    </row>
    <row r="637" spans="1:9">
      <c r="A637" s="8" t="s">
        <v>649</v>
      </c>
      <c r="B637">
        <f>HYPERLINK("https://www.suredividend.com/sure-analysis-research-database/","Conifer Holdings Inc")</f>
        <v>0</v>
      </c>
      <c r="C637">
        <v>0.044479166666666</v>
      </c>
      <c r="D637">
        <v>-0.07157407407407401</v>
      </c>
      <c r="E637">
        <v>-0.251716417910447</v>
      </c>
      <c r="F637">
        <v>-0.088371670151832</v>
      </c>
      <c r="G637">
        <v>-0.3733125</v>
      </c>
      <c r="H637">
        <v>-0.439832402234636</v>
      </c>
      <c r="I637">
        <v>-0.7400782849884641</v>
      </c>
    </row>
    <row r="638" spans="1:9">
      <c r="A638" s="8" t="s">
        <v>650</v>
      </c>
      <c r="B638">
        <f>HYPERLINK("https://www.suredividend.com/sure-analysis-research-database/","Cinemark Holdings Inc")</f>
        <v>0</v>
      </c>
      <c r="C638">
        <v>-0.033371691599539</v>
      </c>
      <c r="D638">
        <v>-0.048158640226628</v>
      </c>
      <c r="E638">
        <v>0.145194274028629</v>
      </c>
      <c r="F638">
        <v>0.192334989354151</v>
      </c>
      <c r="G638">
        <v>-0.08096280087527301</v>
      </c>
      <c r="H638">
        <v>-0.026086956521739</v>
      </c>
      <c r="I638">
        <v>-0.5330622500284881</v>
      </c>
    </row>
    <row r="639" spans="1:9">
      <c r="A639" s="8" t="s">
        <v>651</v>
      </c>
      <c r="B639">
        <f>HYPERLINK("https://www.suredividend.com/sure-analysis-research-database/","Conmed Corp.")</f>
        <v>0</v>
      </c>
      <c r="C639">
        <v>0.066434054431262</v>
      </c>
      <c r="D639">
        <v>-0.098957805140928</v>
      </c>
      <c r="E639">
        <v>-0.299854766366272</v>
      </c>
      <c r="F639">
        <v>-0.300625053201372</v>
      </c>
      <c r="G639">
        <v>-0.3990075483896841</v>
      </c>
      <c r="H639">
        <v>-0.299377132425149</v>
      </c>
      <c r="I639">
        <v>-0.029466568609892</v>
      </c>
    </row>
    <row r="640" spans="1:9">
      <c r="A640" s="8" t="s">
        <v>652</v>
      </c>
      <c r="B640">
        <f>HYPERLINK("https://www.suredividend.com/sure-analysis-research-database/","Cannae Holdings Inc")</f>
        <v>0</v>
      </c>
      <c r="C640">
        <v>-0.165945165945165</v>
      </c>
      <c r="D640">
        <v>-0.211818181818181</v>
      </c>
      <c r="E640">
        <v>-0.065732758620689</v>
      </c>
      <c r="F640">
        <v>-0.111225012813941</v>
      </c>
      <c r="G640">
        <v>-0.153733528550512</v>
      </c>
      <c r="H640">
        <v>-0.168744007670182</v>
      </c>
      <c r="I640">
        <v>-0.352985074626865</v>
      </c>
    </row>
    <row r="641" spans="1:9">
      <c r="A641" s="8" t="s">
        <v>653</v>
      </c>
      <c r="B641">
        <f>HYPERLINK("https://www.suredividend.com/sure-analysis-research-database/","CNO Financial Group Inc")</f>
        <v>0</v>
      </c>
      <c r="C641">
        <v>0</v>
      </c>
      <c r="D641">
        <v>0.034857571214392</v>
      </c>
      <c r="E641">
        <v>0.05410647200757401</v>
      </c>
      <c r="F641">
        <v>-0.004833460087009</v>
      </c>
      <c r="G641">
        <v>0.185762263470276</v>
      </c>
      <c r="H641">
        <v>0.412572457650965</v>
      </c>
      <c r="I641">
        <v>0.9186135393937711</v>
      </c>
    </row>
    <row r="642" spans="1:9">
      <c r="A642" s="8" t="s">
        <v>654</v>
      </c>
      <c r="B642">
        <f>HYPERLINK("https://www.suredividend.com/sure-analysis-research-database/","ConnectOne Bancorp Inc.")</f>
        <v>0</v>
      </c>
      <c r="C642">
        <v>-0.062084993359893</v>
      </c>
      <c r="D642">
        <v>-0.063988403396148</v>
      </c>
      <c r="E642">
        <v>-0.112873152636847</v>
      </c>
      <c r="F642">
        <v>-0.182189091632817</v>
      </c>
      <c r="G642">
        <v>0.22114306555539</v>
      </c>
      <c r="H642">
        <v>-0.266442163346451</v>
      </c>
      <c r="I642">
        <v>0.003741825166827</v>
      </c>
    </row>
    <row r="643" spans="1:9">
      <c r="A643" s="8" t="s">
        <v>655</v>
      </c>
      <c r="B643">
        <f>HYPERLINK("https://www.suredividend.com/sure-analysis-CNP/","Centerpoint Energy Inc.")</f>
        <v>0</v>
      </c>
      <c r="C643">
        <v>0.026173024268294</v>
      </c>
      <c r="D643">
        <v>0.07293237360949101</v>
      </c>
      <c r="E643">
        <v>0.06389731292756901</v>
      </c>
      <c r="F643">
        <v>0.070974704124157</v>
      </c>
      <c r="G643">
        <v>0.071077361109632</v>
      </c>
      <c r="H643">
        <v>-0.008166109986060001</v>
      </c>
      <c r="I643">
        <v>0.211043496411425</v>
      </c>
    </row>
    <row r="644" spans="1:9">
      <c r="A644" s="8" t="s">
        <v>656</v>
      </c>
      <c r="B644">
        <f>HYPERLINK("https://www.suredividend.com/sure-analysis-research-database/","Cornerstone Building Brands Inc")</f>
        <v>0</v>
      </c>
      <c r="C644">
        <v>0.008588957055214001</v>
      </c>
      <c r="D644">
        <v>0.011070110701107</v>
      </c>
      <c r="E644">
        <v>0.6234364713627381</v>
      </c>
      <c r="F644">
        <v>0.413990825688073</v>
      </c>
      <c r="G644">
        <v>0.482862297053517</v>
      </c>
      <c r="H644">
        <v>3.172588832487309</v>
      </c>
      <c r="I644">
        <v>0.405128205128205</v>
      </c>
    </row>
    <row r="645" spans="1:9">
      <c r="A645" s="8" t="s">
        <v>657</v>
      </c>
      <c r="B645">
        <f>HYPERLINK("https://www.suredividend.com/sure-analysis-CNS/","Cohen &amp; Steers Inc.")</f>
        <v>0</v>
      </c>
      <c r="C645">
        <v>-0.026975949649055</v>
      </c>
      <c r="D645">
        <v>-0.08746886376700501</v>
      </c>
      <c r="E645">
        <v>0.104826406285492</v>
      </c>
      <c r="F645">
        <v>-0.07972496417126901</v>
      </c>
      <c r="G645">
        <v>0.175905762932734</v>
      </c>
      <c r="H645">
        <v>-0.018495169044098</v>
      </c>
      <c r="I645">
        <v>0.5694369433281761</v>
      </c>
    </row>
    <row r="646" spans="1:9">
      <c r="A646" s="8" t="s">
        <v>658</v>
      </c>
      <c r="B646">
        <f>HYPERLINK("https://www.suredividend.com/sure-analysis-research-database/","Consolidated Communications Holdings Inc")</f>
        <v>0</v>
      </c>
      <c r="C646">
        <v>0.028103044496487</v>
      </c>
      <c r="D646">
        <v>0.018561484918793</v>
      </c>
      <c r="E646">
        <v>0.013856812933025</v>
      </c>
      <c r="F646">
        <v>0.00919540229885</v>
      </c>
      <c r="G646">
        <v>0.183288409703503</v>
      </c>
      <c r="H646">
        <v>-0.476133651551312</v>
      </c>
      <c r="I646">
        <v>0.052757793764987</v>
      </c>
    </row>
    <row r="647" spans="1:9">
      <c r="A647" s="8" t="s">
        <v>659</v>
      </c>
      <c r="B647">
        <f>HYPERLINK("https://www.suredividend.com/sure-analysis-research-database/","Century Casinos Inc.")</f>
        <v>0</v>
      </c>
      <c r="C647">
        <v>-0.161812297734627</v>
      </c>
      <c r="D647">
        <v>-0.003846153846153</v>
      </c>
      <c r="E647">
        <v>-0.387706855791962</v>
      </c>
      <c r="F647">
        <v>-0.469262295081967</v>
      </c>
      <c r="G647">
        <v>-0.670902160101651</v>
      </c>
      <c r="H647">
        <v>-0.709641255605381</v>
      </c>
      <c r="I647">
        <v>-0.70996640537514</v>
      </c>
    </row>
    <row r="648" spans="1:9">
      <c r="A648" s="8" t="s">
        <v>660</v>
      </c>
      <c r="B648">
        <f>HYPERLINK("https://www.suredividend.com/sure-analysis-research-database/","CNX Resources Corp")</f>
        <v>0</v>
      </c>
      <c r="C648">
        <v>0.062369192130598</v>
      </c>
      <c r="D648">
        <v>0.206273764258555</v>
      </c>
      <c r="E648">
        <v>0.277945619335347</v>
      </c>
      <c r="F648">
        <v>0.268999999999999</v>
      </c>
      <c r="G648">
        <v>0.5152238805970141</v>
      </c>
      <c r="H648">
        <v>0.07679253288078</v>
      </c>
      <c r="I648">
        <v>2.317647058823529</v>
      </c>
    </row>
    <row r="649" spans="1:9">
      <c r="A649" s="8" t="s">
        <v>661</v>
      </c>
      <c r="B649">
        <f>HYPERLINK("https://www.suredividend.com/sure-analysis-research-database/","PC Connection, Inc.")</f>
        <v>0</v>
      </c>
      <c r="C649">
        <v>0.043497222899216</v>
      </c>
      <c r="D649">
        <v>-0.001969071469319</v>
      </c>
      <c r="E649">
        <v>0.023344455731074</v>
      </c>
      <c r="F649">
        <v>-0.025834544553699</v>
      </c>
      <c r="G649">
        <v>0.407390747724992</v>
      </c>
      <c r="H649">
        <v>0.434219399426135</v>
      </c>
      <c r="I649">
        <v>1.087295656385206</v>
      </c>
    </row>
    <row r="650" spans="1:9">
      <c r="A650" s="8" t="s">
        <v>662</v>
      </c>
      <c r="B650">
        <f>HYPERLINK("https://www.suredividend.com/sure-analysis-research-database/","Coda Octopus Group Inc.")</f>
        <v>0</v>
      </c>
      <c r="C650">
        <v>-0.033773861967694</v>
      </c>
      <c r="D650">
        <v>0.15438596491228</v>
      </c>
      <c r="E650">
        <v>0.117147707979626</v>
      </c>
      <c r="F650">
        <v>0.093023255813953</v>
      </c>
      <c r="G650">
        <v>-0.329255861365953</v>
      </c>
      <c r="H650">
        <v>0.229906542056074</v>
      </c>
      <c r="I650">
        <v>-0.3624031007751931</v>
      </c>
    </row>
    <row r="651" spans="1:9">
      <c r="A651" s="8" t="s">
        <v>663</v>
      </c>
      <c r="B651">
        <f>HYPERLINK("https://www.suredividend.com/sure-analysis-research-database/","Capital One Financial Corp.")</f>
        <v>0</v>
      </c>
      <c r="C651">
        <v>-0.015213472555943</v>
      </c>
      <c r="D651">
        <v>0.019913854486453</v>
      </c>
      <c r="E651">
        <v>0.222189292467799</v>
      </c>
      <c r="F651">
        <v>0.07547396245226501</v>
      </c>
      <c r="G651">
        <v>0.255841278909951</v>
      </c>
      <c r="H651">
        <v>0.144335213273633</v>
      </c>
      <c r="I651">
        <v>0.6994852917936011</v>
      </c>
    </row>
    <row r="652" spans="1:9">
      <c r="A652" s="8" t="s">
        <v>664</v>
      </c>
      <c r="B652">
        <f>HYPERLINK("https://www.suredividend.com/sure-analysis-research-database/","Cabot Oil &amp; Gas Corp.")</f>
        <v>0</v>
      </c>
      <c r="C652">
        <v>0.249298147108366</v>
      </c>
      <c r="D652">
        <v>0.255629168971004</v>
      </c>
      <c r="E652">
        <v>0.180872518840887</v>
      </c>
      <c r="F652">
        <v>0.3921737933450961</v>
      </c>
      <c r="G652">
        <v>0.340482573726541</v>
      </c>
      <c r="H652">
        <v>0.319394205339247</v>
      </c>
      <c r="I652">
        <v>-0.06634999496458401</v>
      </c>
    </row>
    <row r="653" spans="1:9">
      <c r="A653" s="8" t="s">
        <v>665</v>
      </c>
      <c r="B653">
        <f>HYPERLINK("https://www.suredividend.com/sure-analysis-research-database/","Cohen &amp; Company Inc")</f>
        <v>0</v>
      </c>
      <c r="C653">
        <v>0.506921988682295</v>
      </c>
      <c r="D653">
        <v>0.736510385583907</v>
      </c>
      <c r="E653">
        <v>1.025294966471436</v>
      </c>
      <c r="F653">
        <v>1.023748939779474</v>
      </c>
      <c r="G653">
        <v>2.254228041462084</v>
      </c>
      <c r="H653">
        <v>0.05968147378332</v>
      </c>
      <c r="I653">
        <v>2.383821193555706</v>
      </c>
    </row>
    <row r="654" spans="1:9">
      <c r="A654" s="8" t="s">
        <v>666</v>
      </c>
      <c r="B654">
        <f>HYPERLINK("https://www.suredividend.com/sure-analysis-research-database/","Coherent Corp")</f>
        <v>0</v>
      </c>
      <c r="C654">
        <v>0.19132007233273</v>
      </c>
      <c r="D654">
        <v>0.024253731343283</v>
      </c>
      <c r="E654">
        <v>0.629886194952993</v>
      </c>
      <c r="F654">
        <v>0.513439007580978</v>
      </c>
      <c r="G654">
        <v>0.685772773797338</v>
      </c>
      <c r="H654">
        <v>0.022029165373875</v>
      </c>
      <c r="I654">
        <v>0.9825458922660241</v>
      </c>
    </row>
    <row r="655" spans="1:9">
      <c r="A655" s="8" t="s">
        <v>667</v>
      </c>
      <c r="B655">
        <f>HYPERLINK("https://www.suredividend.com/sure-analysis-research-database/","Cohu, Inc.")</f>
        <v>0</v>
      </c>
      <c r="C655">
        <v>0.053944706675657</v>
      </c>
      <c r="D655">
        <v>-0.04666056724611101</v>
      </c>
      <c r="E655">
        <v>-0.04432895139101101</v>
      </c>
      <c r="F655">
        <v>-0.116699632664594</v>
      </c>
      <c r="G655">
        <v>-0.197226502311247</v>
      </c>
      <c r="H655">
        <v>0.041652782405864</v>
      </c>
      <c r="I655">
        <v>0.920501320882226</v>
      </c>
    </row>
    <row r="656" spans="1:9">
      <c r="A656" s="8" t="s">
        <v>668</v>
      </c>
      <c r="B656">
        <f>HYPERLINK("https://www.suredividend.com/sure-analysis-research-database/","Coca-Cola Consolidated Inc")</f>
        <v>0</v>
      </c>
      <c r="C656">
        <v>0.011611893273622</v>
      </c>
      <c r="D656">
        <v>0.242410385418205</v>
      </c>
      <c r="E656">
        <v>0.310969358243501</v>
      </c>
      <c r="F656">
        <v>0.142650138529668</v>
      </c>
      <c r="G656">
        <v>0.5974130491513151</v>
      </c>
      <c r="H656">
        <v>0.6809538054210731</v>
      </c>
      <c r="I656">
        <v>2.471330238579795</v>
      </c>
    </row>
    <row r="657" spans="1:9">
      <c r="A657" s="8" t="s">
        <v>669</v>
      </c>
      <c r="B657">
        <f>HYPERLINK("https://www.suredividend.com/sure-analysis-COLB/","Columbia Banking System, Inc.")</f>
        <v>0</v>
      </c>
      <c r="C657">
        <v>-0.021786312242915</v>
      </c>
      <c r="D657">
        <v>0.004217394764064001</v>
      </c>
      <c r="E657">
        <v>-0.161287178282964</v>
      </c>
      <c r="F657">
        <v>-0.233904094343517</v>
      </c>
      <c r="G657">
        <v>-0.07570615951758901</v>
      </c>
      <c r="H657">
        <v>-0.253207303025043</v>
      </c>
      <c r="I657">
        <v>-0.247196373180625</v>
      </c>
    </row>
    <row r="658" spans="1:9">
      <c r="A658" s="8" t="s">
        <v>670</v>
      </c>
      <c r="B658">
        <f>HYPERLINK("https://www.suredividend.com/sure-analysis-COLD/","Americold Realty Trust Inc")</f>
        <v>0</v>
      </c>
      <c r="C658">
        <v>0.175950486295313</v>
      </c>
      <c r="D658">
        <v>0.023616290122102</v>
      </c>
      <c r="E658">
        <v>-0.04637964845108301</v>
      </c>
      <c r="F658">
        <v>-0.113339244405037</v>
      </c>
      <c r="G658">
        <v>-0.08593264079558201</v>
      </c>
      <c r="H658">
        <v>-0.058347080521944</v>
      </c>
      <c r="I658">
        <v>0.022251258598824</v>
      </c>
    </row>
    <row r="659" spans="1:9">
      <c r="A659" s="8" t="s">
        <v>671</v>
      </c>
      <c r="B659">
        <f>HYPERLINK("https://www.suredividend.com/sure-analysis-research-database/","Collegium Pharmaceutical Inc")</f>
        <v>0</v>
      </c>
      <c r="C659">
        <v>-0.110187667560321</v>
      </c>
      <c r="D659">
        <v>-0.107795698924731</v>
      </c>
      <c r="E659">
        <v>0.22111846946284</v>
      </c>
      <c r="F659">
        <v>0.078297595841455</v>
      </c>
      <c r="G659">
        <v>0.552385406922357</v>
      </c>
      <c r="H659">
        <v>1.079573934837092</v>
      </c>
      <c r="I659">
        <v>1.893635571054925</v>
      </c>
    </row>
    <row r="660" spans="1:9">
      <c r="A660" s="8" t="s">
        <v>672</v>
      </c>
      <c r="B660">
        <f>HYPERLINK("https://www.suredividend.com/sure-analysis-research-database/","Columbia Sportswear Co.")</f>
        <v>0</v>
      </c>
      <c r="C660">
        <v>0.014833501389989</v>
      </c>
      <c r="D660">
        <v>0.033953314192984</v>
      </c>
      <c r="E660">
        <v>0.05030109138494401</v>
      </c>
      <c r="F660">
        <v>0.056638529610244</v>
      </c>
      <c r="G660">
        <v>0.082562548276172</v>
      </c>
      <c r="H660">
        <v>0.08969493014927801</v>
      </c>
      <c r="I660">
        <v>-0.08713391127245701</v>
      </c>
    </row>
    <row r="661" spans="1:9">
      <c r="A661" s="8" t="s">
        <v>673</v>
      </c>
      <c r="B661">
        <f>HYPERLINK("https://www.suredividend.com/sure-analysis-research-database/","CommScope Holding Company Inc")</f>
        <v>0</v>
      </c>
      <c r="C661">
        <v>0.6485193853668461</v>
      </c>
      <c r="D661">
        <v>0.384615384615384</v>
      </c>
      <c r="E661">
        <v>-0.114754098360655</v>
      </c>
      <c r="F661">
        <v>-0.425531914893616</v>
      </c>
      <c r="G661">
        <v>-0.653104925053533</v>
      </c>
      <c r="H661">
        <v>-0.8073721759809751</v>
      </c>
      <c r="I661">
        <v>-0.9020556227327691</v>
      </c>
    </row>
    <row r="662" spans="1:9">
      <c r="A662" s="8" t="s">
        <v>674</v>
      </c>
      <c r="B662">
        <f>HYPERLINK("https://www.suredividend.com/sure-analysis-research-database/","CyrusOne Inc")</f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>
      <c r="A663" s="8" t="s">
        <v>675</v>
      </c>
      <c r="B663">
        <f>HYPERLINK("https://www.suredividend.com/sure-analysis-research-database/","Conns Inc")</f>
        <v>0</v>
      </c>
      <c r="C663">
        <v>-0.10204081632653</v>
      </c>
      <c r="D663">
        <v>-0.125</v>
      </c>
      <c r="E663">
        <v>0.193798449612403</v>
      </c>
      <c r="F663">
        <v>-0.306306306306306</v>
      </c>
      <c r="G663">
        <v>-0.3714285714285711</v>
      </c>
      <c r="H663">
        <v>-0.708333333333333</v>
      </c>
      <c r="I663">
        <v>-0.817966903073286</v>
      </c>
    </row>
    <row r="664" spans="1:9">
      <c r="A664" s="8" t="s">
        <v>676</v>
      </c>
      <c r="B664">
        <f>HYPERLINK("https://www.suredividend.com/sure-analysis-research-database/","Cooper Companies, Inc.")</f>
        <v>0</v>
      </c>
      <c r="C664">
        <v>0.010276172125883</v>
      </c>
      <c r="D664">
        <v>-0.07543103448275801</v>
      </c>
      <c r="E664">
        <v>0.09441948108421501</v>
      </c>
      <c r="F664">
        <v>-0.002431032660395</v>
      </c>
      <c r="G664">
        <v>0.07628288974771501</v>
      </c>
      <c r="H664">
        <v>0.086641152820569</v>
      </c>
      <c r="I664">
        <v>0.173501106607316</v>
      </c>
    </row>
    <row r="665" spans="1:9">
      <c r="A665" s="8" t="s">
        <v>677</v>
      </c>
      <c r="B665">
        <f>HYPERLINK("https://www.suredividend.com/sure-analysis-research-database/","Mr. Cooper Group Inc")</f>
        <v>0</v>
      </c>
      <c r="C665">
        <v>0.000489176959765</v>
      </c>
      <c r="D665">
        <v>0.136092209415358</v>
      </c>
      <c r="E665">
        <v>0.266997057457023</v>
      </c>
      <c r="F665">
        <v>0.256296068796068</v>
      </c>
      <c r="G665">
        <v>0.6743757674989761</v>
      </c>
      <c r="H665">
        <v>0.8433979269941411</v>
      </c>
      <c r="I665">
        <v>11.01321585903084</v>
      </c>
    </row>
    <row r="666" spans="1:9">
      <c r="A666" s="8" t="s">
        <v>678</v>
      </c>
      <c r="B666">
        <f>HYPERLINK("https://www.suredividend.com/sure-analysis-COP/","Conoco Phillips")</f>
        <v>0</v>
      </c>
      <c r="C666">
        <v>-0.091939503712508</v>
      </c>
      <c r="D666">
        <v>-0.004951255938086</v>
      </c>
      <c r="E666">
        <v>0.013856338367311</v>
      </c>
      <c r="F666">
        <v>-0.031739911507944</v>
      </c>
      <c r="G666">
        <v>0.09434847182052601</v>
      </c>
      <c r="H666">
        <v>-0.001542260615299</v>
      </c>
      <c r="I666">
        <v>1.291372573088647</v>
      </c>
    </row>
    <row r="667" spans="1:9">
      <c r="A667" s="8" t="s">
        <v>679</v>
      </c>
      <c r="B667">
        <f>HYPERLINK("https://www.suredividend.com/sure-analysis-COR/","Cencora Inc.")</f>
        <v>0</v>
      </c>
      <c r="C667">
        <v>0.040870995119881</v>
      </c>
      <c r="D667">
        <v>-0.006829497083797001</v>
      </c>
      <c r="E667">
        <v>0.181332863750133</v>
      </c>
      <c r="F667">
        <v>0.151595150261966</v>
      </c>
      <c r="G667">
        <v>0.36010216794983</v>
      </c>
      <c r="H667">
        <v>0.6028071417388751</v>
      </c>
      <c r="I667">
        <v>2.01408158641532</v>
      </c>
    </row>
    <row r="668" spans="1:9">
      <c r="A668" s="8" t="s">
        <v>680</v>
      </c>
      <c r="B668">
        <f>HYPERLINK("https://www.suredividend.com/sure-analysis-research-database/","Core-Mark Hldg Co Inc")</f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>
      <c r="A669" s="8" t="s">
        <v>681</v>
      </c>
      <c r="B669">
        <f>HYPERLINK("https://www.suredividend.com/sure-analysis-research-database/","CorEnergy Infrastructure Trust Inc")</f>
        <v>0</v>
      </c>
      <c r="C669">
        <v>-0.936619718309859</v>
      </c>
      <c r="D669">
        <v>-0.9404690318701141</v>
      </c>
      <c r="E669">
        <v>-0.9404690318701141</v>
      </c>
      <c r="F669">
        <v>-0.9434285714285711</v>
      </c>
      <c r="G669">
        <v>-0.9404690318701141</v>
      </c>
      <c r="H669">
        <v>-0.9404690318701141</v>
      </c>
      <c r="I669">
        <v>-0.9404690318701141</v>
      </c>
    </row>
    <row r="670" spans="1:9">
      <c r="A670" s="8" t="s">
        <v>682</v>
      </c>
      <c r="B670">
        <f>HYPERLINK("https://www.suredividend.com/sure-analysis-research-database/","Corcept Therapeutics Inc")</f>
        <v>0</v>
      </c>
      <c r="C670">
        <v>0.360702614379085</v>
      </c>
      <c r="D670">
        <v>0.424721984602224</v>
      </c>
      <c r="E670">
        <v>0.246165357276468</v>
      </c>
      <c r="F670">
        <v>0.025554187192118</v>
      </c>
      <c r="G670">
        <v>0.395475492249685</v>
      </c>
      <c r="H670">
        <v>0.555088702147525</v>
      </c>
      <c r="I670">
        <v>2.291501976284585</v>
      </c>
    </row>
    <row r="671" spans="1:9">
      <c r="A671" s="8" t="s">
        <v>683</v>
      </c>
      <c r="B671">
        <f>HYPERLINK("https://www.suredividend.com/sure-analysis-COST/","Costco Wholesale Corp")</f>
        <v>0</v>
      </c>
      <c r="C671">
        <v>0.09629072616717001</v>
      </c>
      <c r="D671">
        <v>0.079819389039676</v>
      </c>
      <c r="E671">
        <v>0.456627778700346</v>
      </c>
      <c r="F671">
        <v>0.28892140061024</v>
      </c>
      <c r="G671">
        <v>0.753758661669635</v>
      </c>
      <c r="H671">
        <v>0.9184224640423401</v>
      </c>
      <c r="I671">
        <v>2.714464438520997</v>
      </c>
    </row>
    <row r="672" spans="1:9">
      <c r="A672" s="8" t="s">
        <v>684</v>
      </c>
      <c r="B672">
        <f>HYPERLINK("https://www.suredividend.com/sure-analysis-research-database/","Coty Inc")</f>
        <v>0</v>
      </c>
      <c r="C672">
        <v>-0.09729729729729701</v>
      </c>
      <c r="D672">
        <v>-0.209155485398579</v>
      </c>
      <c r="E672">
        <v>-0.140651801029159</v>
      </c>
      <c r="F672">
        <v>-0.193236714975845</v>
      </c>
      <c r="G672">
        <v>-0.137693631669535</v>
      </c>
      <c r="H672">
        <v>0.36141304347826</v>
      </c>
      <c r="I672">
        <v>-0.233341239661201</v>
      </c>
    </row>
    <row r="673" spans="1:9">
      <c r="A673" s="8" t="s">
        <v>685</v>
      </c>
      <c r="B673">
        <f>HYPERLINK("https://www.suredividend.com/sure-analysis-research-database/","Coupa Software Inc")</f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</row>
    <row r="674" spans="1:9">
      <c r="A674" s="8" t="s">
        <v>686</v>
      </c>
      <c r="B674">
        <f>HYPERLINK("https://www.suredividend.com/sure-analysis-research-database/","Cowen Inc")</f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>
      <c r="A675" s="8" t="s">
        <v>687</v>
      </c>
      <c r="B675">
        <f>HYPERLINK("https://www.suredividend.com/sure-analysis-CPB/","Campbell Soup Co.")</f>
        <v>0</v>
      </c>
      <c r="C675">
        <v>-0.050930026572187</v>
      </c>
      <c r="D675">
        <v>0.027334873776354</v>
      </c>
      <c r="E675">
        <v>0.003232534133547</v>
      </c>
      <c r="F675">
        <v>0.008105298315433001</v>
      </c>
      <c r="G675">
        <v>-0.037729706671456</v>
      </c>
      <c r="H675">
        <v>-0.020680862148149</v>
      </c>
      <c r="I675">
        <v>0.163504085566142</v>
      </c>
    </row>
    <row r="676" spans="1:9">
      <c r="A676" s="8" t="s">
        <v>688</v>
      </c>
      <c r="B676">
        <f>HYPERLINK("https://www.suredividend.com/sure-analysis-research-database/","Callon Petroleum Co.")</f>
        <v>0</v>
      </c>
      <c r="C676">
        <v>0.14762516046213</v>
      </c>
      <c r="D676">
        <v>0.103703703703703</v>
      </c>
      <c r="E676">
        <v>-0.08588957055214701</v>
      </c>
      <c r="F676">
        <v>0.103703703703703</v>
      </c>
      <c r="G676">
        <v>0.06937799043062101</v>
      </c>
      <c r="H676">
        <v>-0.394719025050778</v>
      </c>
      <c r="I676">
        <v>-0.5263576158940391</v>
      </c>
    </row>
    <row r="677" spans="1:9">
      <c r="A677" s="8" t="s">
        <v>689</v>
      </c>
      <c r="B677">
        <f>HYPERLINK("https://www.suredividend.com/sure-analysis-research-database/","Central Pacific Financial Corp.")</f>
        <v>0</v>
      </c>
      <c r="C677">
        <v>-0.008592523236874001</v>
      </c>
      <c r="D677">
        <v>0.06636873383793</v>
      </c>
      <c r="E677">
        <v>0.104885299536415</v>
      </c>
      <c r="F677">
        <v>0.061097946699792</v>
      </c>
      <c r="G677">
        <v>0.272605492297387</v>
      </c>
      <c r="H677">
        <v>-0.033722284274816</v>
      </c>
      <c r="I677">
        <v>-0.08116731974744501</v>
      </c>
    </row>
    <row r="678" spans="1:9">
      <c r="A678" s="8" t="s">
        <v>690</v>
      </c>
      <c r="B678">
        <f>HYPERLINK("https://www.suredividend.com/sure-analysis-research-database/","Canterbury Park Holding Corp")</f>
        <v>0</v>
      </c>
      <c r="C678">
        <v>-0.071458246780224</v>
      </c>
      <c r="D678">
        <v>-0.131792702397184</v>
      </c>
      <c r="E678">
        <v>0.158307161292328</v>
      </c>
      <c r="F678">
        <v>0.100659903476804</v>
      </c>
      <c r="G678">
        <v>0.007487412042066001</v>
      </c>
      <c r="H678">
        <v>0.123493839634449</v>
      </c>
      <c r="I678">
        <v>0.8540024885939441</v>
      </c>
    </row>
    <row r="679" spans="1:9">
      <c r="A679" s="8" t="s">
        <v>691</v>
      </c>
      <c r="B679">
        <f>HYPERLINK("https://www.suredividend.com/sure-analysis-research-database/","Cumberland Pharmaceuticals Inc.")</f>
        <v>0</v>
      </c>
      <c r="C679">
        <v>-0.120253164556962</v>
      </c>
      <c r="D679">
        <v>-0.338095238095238</v>
      </c>
      <c r="E679">
        <v>-0.157575757575757</v>
      </c>
      <c r="F679">
        <v>-0.22420047999107</v>
      </c>
      <c r="G679">
        <v>-0.141975308641975</v>
      </c>
      <c r="H679">
        <v>-0.318627450980392</v>
      </c>
      <c r="I679">
        <v>-0.769102990033222</v>
      </c>
    </row>
    <row r="680" spans="1:9">
      <c r="A680" s="8" t="s">
        <v>692</v>
      </c>
      <c r="B680">
        <f>HYPERLINK("https://www.suredividend.com/sure-analysis-CPK/","Chesapeake Utilities Corp")</f>
        <v>0</v>
      </c>
      <c r="C680">
        <v>-0.025074411472896</v>
      </c>
      <c r="D680">
        <v>0.03976282364529701</v>
      </c>
      <c r="E680">
        <v>0.08777583102792701</v>
      </c>
      <c r="F680">
        <v>0.02913159345446</v>
      </c>
      <c r="G680">
        <v>-0.161996880262231</v>
      </c>
      <c r="H680">
        <v>-0.162374828933521</v>
      </c>
      <c r="I680">
        <v>0.260746790396909</v>
      </c>
    </row>
    <row r="681" spans="1:9">
      <c r="A681" s="8" t="s">
        <v>693</v>
      </c>
      <c r="B681">
        <f>HYPERLINK("https://www.suredividend.com/sure-analysis-research-database/","CorePoint Lodging Inc")</f>
        <v>0</v>
      </c>
      <c r="C681">
        <v>0.015267175572519</v>
      </c>
      <c r="D681">
        <v>0.039739413680781</v>
      </c>
      <c r="E681">
        <v>0.105263157894736</v>
      </c>
      <c r="F681">
        <v>0.01656050955414</v>
      </c>
      <c r="G681">
        <v>0.819840364880273</v>
      </c>
      <c r="H681">
        <v>1.148221929092524</v>
      </c>
      <c r="I681">
        <v>-0.334708935159132</v>
      </c>
    </row>
    <row r="682" spans="1:9">
      <c r="A682" s="8" t="s">
        <v>694</v>
      </c>
      <c r="B682">
        <f>HYPERLINK("https://www.suredividend.com/sure-analysis-research-database/","Capri Holdings Ltd")</f>
        <v>0</v>
      </c>
      <c r="C682">
        <v>-0.082792207792207</v>
      </c>
      <c r="D682">
        <v>-0.27065404475043</v>
      </c>
      <c r="E682">
        <v>-0.296826384567517</v>
      </c>
      <c r="F682">
        <v>-0.325238853503184</v>
      </c>
      <c r="G682">
        <v>-0.12853470437018</v>
      </c>
      <c r="H682">
        <v>-0.349702666410895</v>
      </c>
      <c r="I682">
        <v>-0.009061677871967001</v>
      </c>
    </row>
    <row r="683" spans="1:9">
      <c r="A683" s="8" t="s">
        <v>695</v>
      </c>
      <c r="B683">
        <f>HYPERLINK("https://www.suredividend.com/sure-analysis-research-database/","Copart, Inc.")</f>
        <v>0</v>
      </c>
      <c r="C683">
        <v>-0.038798498122653</v>
      </c>
      <c r="D683">
        <v>-0.026263358087303</v>
      </c>
      <c r="E683">
        <v>0.127516778523489</v>
      </c>
      <c r="F683">
        <v>0.097142857142857</v>
      </c>
      <c r="G683">
        <v>0.247042449547668</v>
      </c>
      <c r="H683">
        <v>0.845836909871244</v>
      </c>
      <c r="I683">
        <v>1.880643000669792</v>
      </c>
    </row>
    <row r="684" spans="1:9">
      <c r="A684" s="8" t="s">
        <v>696</v>
      </c>
      <c r="B684">
        <f>HYPERLINK("https://www.suredividend.com/sure-analysis-research-database/","Catalyst Pharmaceuticals Inc")</f>
        <v>0</v>
      </c>
      <c r="C684">
        <v>0.031704095112285</v>
      </c>
      <c r="D684">
        <v>-0.061298076923076</v>
      </c>
      <c r="E684">
        <v>0.09154437456324201</v>
      </c>
      <c r="F684">
        <v>-0.07079119571683501</v>
      </c>
      <c r="G684">
        <v>0.303839732888146</v>
      </c>
      <c r="H684">
        <v>1.178521617852161</v>
      </c>
      <c r="I684">
        <v>3.553935860058308</v>
      </c>
    </row>
    <row r="685" spans="1:9">
      <c r="A685" s="8" t="s">
        <v>697</v>
      </c>
      <c r="B685">
        <f>HYPERLINK("https://www.suredividend.com/sure-analysis-research-database/","Cooper-Standard Holdings Inc")</f>
        <v>0</v>
      </c>
      <c r="C685">
        <v>-0.157965194109772</v>
      </c>
      <c r="D685">
        <v>-0.113460183227625</v>
      </c>
      <c r="E685">
        <v>-0.242168674698795</v>
      </c>
      <c r="F685">
        <v>-0.356192425793244</v>
      </c>
      <c r="G685">
        <v>0.019448946515397</v>
      </c>
      <c r="H685">
        <v>0.9383667180277341</v>
      </c>
      <c r="I685">
        <v>-0.7073057235923681</v>
      </c>
    </row>
    <row r="686" spans="1:9">
      <c r="A686" s="8" t="s">
        <v>698</v>
      </c>
      <c r="B686">
        <f>HYPERLINK("https://www.suredividend.com/sure-analysis-research-database/","CPS Technologies Corporation")</f>
        <v>0</v>
      </c>
      <c r="C686">
        <v>-0.031073446327683</v>
      </c>
      <c r="D686">
        <v>-0.136020151133501</v>
      </c>
      <c r="E686">
        <v>-0.263948497854077</v>
      </c>
      <c r="F686">
        <v>-0.270212765957446</v>
      </c>
      <c r="G686">
        <v>-0.428333333333333</v>
      </c>
      <c r="H686">
        <v>-0.515536723163841</v>
      </c>
      <c r="I686">
        <v>0.4784482758620691</v>
      </c>
    </row>
    <row r="687" spans="1:9">
      <c r="A687" s="8" t="s">
        <v>699</v>
      </c>
      <c r="B687">
        <f>HYPERLINK("https://www.suredividend.com/sure-analysis-research-database/","Consumer Portfolio Service, Inc.")</f>
        <v>0</v>
      </c>
      <c r="C687">
        <v>-0.02803738317757</v>
      </c>
      <c r="D687">
        <v>-0.014218009478672</v>
      </c>
      <c r="E687">
        <v>-0.11205976520811</v>
      </c>
      <c r="F687">
        <v>-0.11205976520811</v>
      </c>
      <c r="G687">
        <v>-0.3443656422379821</v>
      </c>
      <c r="H687">
        <v>-0.345397324940991</v>
      </c>
      <c r="I687">
        <v>1.363636363636363</v>
      </c>
    </row>
    <row r="688" spans="1:9">
      <c r="A688" s="8" t="s">
        <v>700</v>
      </c>
      <c r="B688">
        <f>HYPERLINK("https://www.suredividend.com/sure-analysis-CPT/","Camden Property Trust")</f>
        <v>0</v>
      </c>
      <c r="C688">
        <v>0.006604396641192001</v>
      </c>
      <c r="D688">
        <v>0.09219635989144501</v>
      </c>
      <c r="E688">
        <v>0.166531087085826</v>
      </c>
      <c r="F688">
        <v>0.08614651626827301</v>
      </c>
      <c r="G688">
        <v>-0.018600505371527</v>
      </c>
      <c r="H688">
        <v>-0.194844711965864</v>
      </c>
      <c r="I688">
        <v>0.181771760428977</v>
      </c>
    </row>
    <row r="689" spans="1:9">
      <c r="A689" s="8" t="s">
        <v>701</v>
      </c>
      <c r="B689">
        <f>HYPERLINK("https://www.suredividend.com/sure-analysis-research-database/","Crane Co")</f>
        <v>0</v>
      </c>
      <c r="C689">
        <v>-0.021018656358793</v>
      </c>
      <c r="D689">
        <v>0.061263724558784</v>
      </c>
      <c r="E689">
        <v>0.3693662413317511</v>
      </c>
      <c r="F689">
        <v>0.205469868347543</v>
      </c>
      <c r="G689">
        <v>0.779492347105034</v>
      </c>
      <c r="H689">
        <v>0.9719444444444441</v>
      </c>
      <c r="I689">
        <v>0.9719444444444441</v>
      </c>
    </row>
    <row r="690" spans="1:9">
      <c r="A690" s="8" t="s">
        <v>702</v>
      </c>
      <c r="B690">
        <f>HYPERLINK("https://www.suredividend.com/sure-analysis-research-database/","CRA International Inc.")</f>
        <v>0</v>
      </c>
      <c r="C690">
        <v>0.09916400648014601</v>
      </c>
      <c r="D690">
        <v>0.283955349015474</v>
      </c>
      <c r="E690">
        <v>0.8486139053640941</v>
      </c>
      <c r="F690">
        <v>0.8089681374930321</v>
      </c>
      <c r="G690">
        <v>0.817860416932165</v>
      </c>
      <c r="H690">
        <v>1.104416562167615</v>
      </c>
      <c r="I690">
        <v>4.307265084208726</v>
      </c>
    </row>
    <row r="691" spans="1:9">
      <c r="A691" s="8" t="s">
        <v>703</v>
      </c>
      <c r="B691">
        <f>HYPERLINK("https://www.suredividend.com/sure-analysis-research-database/","Corbus Pharmaceuticals Holdings Inc")</f>
        <v>0</v>
      </c>
      <c r="C691">
        <v>0.109630374654261</v>
      </c>
      <c r="D691">
        <v>0.09449404761904701</v>
      </c>
      <c r="E691">
        <v>7.172222222222223</v>
      </c>
      <c r="F691">
        <v>6.306291390728477</v>
      </c>
      <c r="G691">
        <v>3.655063291139241</v>
      </c>
      <c r="H691">
        <v>4.227434257285004</v>
      </c>
      <c r="I691">
        <v>-0.784310850439882</v>
      </c>
    </row>
    <row r="692" spans="1:9">
      <c r="A692" s="8" t="s">
        <v>704</v>
      </c>
      <c r="B692">
        <f>HYPERLINK("https://www.suredividend.com/sure-analysis-research-database/","California Resources Corporation")</f>
        <v>0</v>
      </c>
      <c r="C692">
        <v>-0.09681909191339301</v>
      </c>
      <c r="D692">
        <v>-0.021199782397256</v>
      </c>
      <c r="E692">
        <v>-0.020860817941952</v>
      </c>
      <c r="F692">
        <v>-0.120422493481867</v>
      </c>
      <c r="G692">
        <v>0.168172584587991</v>
      </c>
      <c r="H692">
        <v>0.040293297007021</v>
      </c>
      <c r="I692">
        <v>2.360238824553088</v>
      </c>
    </row>
    <row r="693" spans="1:9">
      <c r="A693" s="8" t="s">
        <v>705</v>
      </c>
      <c r="B693">
        <f>HYPERLINK("https://www.suredividend.com/sure-analysis-research-database/","Cree, Inc.")</f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>
      <c r="A694" s="8" t="s">
        <v>706</v>
      </c>
      <c r="B694">
        <f>HYPERLINK("https://www.suredividend.com/sure-analysis-CRI/","Carters Inc")</f>
        <v>0</v>
      </c>
      <c r="C694">
        <v>-0.012961146025769</v>
      </c>
      <c r="D694">
        <v>-0.175747793587563</v>
      </c>
      <c r="E694">
        <v>-0.062190750401368</v>
      </c>
      <c r="F694">
        <v>-0.085607600102084</v>
      </c>
      <c r="G694">
        <v>0.038194718842924</v>
      </c>
      <c r="H694">
        <v>-0.050026726859998</v>
      </c>
      <c r="I694">
        <v>-0.172835421409488</v>
      </c>
    </row>
    <row r="695" spans="1:9">
      <c r="A695" s="8" t="s">
        <v>707</v>
      </c>
      <c r="B695">
        <f>HYPERLINK("https://www.suredividend.com/sure-analysis-research-database/","Curis Inc")</f>
        <v>0</v>
      </c>
      <c r="C695">
        <v>-0.4543209876543201</v>
      </c>
      <c r="D695">
        <v>-0.114228456913827</v>
      </c>
      <c r="E695">
        <v>-0.331821617535903</v>
      </c>
      <c r="F695">
        <v>-0.306666666666666</v>
      </c>
      <c r="G695">
        <v>-0.4687500000000001</v>
      </c>
      <c r="H695">
        <v>-0.5750000000000001</v>
      </c>
      <c r="I695">
        <v>-0.69090909090909</v>
      </c>
    </row>
    <row r="696" spans="1:9">
      <c r="A696" s="8" t="s">
        <v>708</v>
      </c>
      <c r="B696">
        <f>HYPERLINK("https://www.suredividend.com/sure-analysis-research-database/","Comstock Resources, Inc.")</f>
        <v>0</v>
      </c>
      <c r="C696">
        <v>0.132623426911907</v>
      </c>
      <c r="D696">
        <v>0.391200951248513</v>
      </c>
      <c r="E696">
        <v>0.291390728476821</v>
      </c>
      <c r="F696">
        <v>0.322033898305084</v>
      </c>
      <c r="G696">
        <v>0.166884418602331</v>
      </c>
      <c r="H696">
        <v>-0.4254087210187451</v>
      </c>
      <c r="I696">
        <v>1.786045957852125</v>
      </c>
    </row>
    <row r="697" spans="1:9">
      <c r="A697" s="8" t="s">
        <v>709</v>
      </c>
      <c r="B697">
        <f>HYPERLINK("https://www.suredividend.com/sure-analysis-research-database/","Charles River Laboratories International Inc.")</f>
        <v>0</v>
      </c>
      <c r="C697">
        <v>-0.09102835378755801</v>
      </c>
      <c r="D697">
        <v>-0.205276205276205</v>
      </c>
      <c r="E697">
        <v>0.0592789860433</v>
      </c>
      <c r="F697">
        <v>-0.09141285956006701</v>
      </c>
      <c r="G697">
        <v>0.055738510690587</v>
      </c>
      <c r="H697">
        <v>-0.131143562153634</v>
      </c>
      <c r="I697">
        <v>0.674384159650763</v>
      </c>
    </row>
    <row r="698" spans="1:9">
      <c r="A698" s="8" t="s">
        <v>710</v>
      </c>
      <c r="B698">
        <f>HYPERLINK("https://www.suredividend.com/sure-analysis-research-database/","Salesforce Inc")</f>
        <v>0</v>
      </c>
      <c r="C698">
        <v>-0.127462298867162</v>
      </c>
      <c r="D698">
        <v>-0.19923979928847</v>
      </c>
      <c r="E698">
        <v>-0.026860031208077</v>
      </c>
      <c r="F698">
        <v>-0.079706860854797</v>
      </c>
      <c r="G698">
        <v>0.177105600267884</v>
      </c>
      <c r="H698">
        <v>0.293966643107574</v>
      </c>
      <c r="I698">
        <v>0.501618034566086</v>
      </c>
    </row>
    <row r="699" spans="1:9">
      <c r="A699" s="8" t="s">
        <v>711</v>
      </c>
      <c r="B699">
        <f>HYPERLINK("https://www.suredividend.com/sure-analysis-research-database/","CorMedix Inc")</f>
        <v>0</v>
      </c>
      <c r="C699">
        <v>-0.116438356164383</v>
      </c>
      <c r="D699">
        <v>0.4254143646408831</v>
      </c>
      <c r="E699">
        <v>0.445378151260504</v>
      </c>
      <c r="F699">
        <v>0.372340425531914</v>
      </c>
      <c r="G699">
        <v>0.032</v>
      </c>
      <c r="H699">
        <v>0.6918032786885241</v>
      </c>
      <c r="I699">
        <v>-0.187401574803149</v>
      </c>
    </row>
    <row r="700" spans="1:9">
      <c r="A700" s="8" t="s">
        <v>712</v>
      </c>
      <c r="B700">
        <f>HYPERLINK("https://www.suredividend.com/sure-analysis-research-database/","Americas Car Mart, Inc.")</f>
        <v>0</v>
      </c>
      <c r="C700">
        <v>0.001487603305785</v>
      </c>
      <c r="D700">
        <v>-0.02744783306581</v>
      </c>
      <c r="E700">
        <v>-0.010129063878451</v>
      </c>
      <c r="F700">
        <v>-0.200343143724429</v>
      </c>
      <c r="G700">
        <v>-0.3814190913731491</v>
      </c>
      <c r="H700">
        <v>-0.4287195926833861</v>
      </c>
      <c r="I700">
        <v>-0.298645676582937</v>
      </c>
    </row>
    <row r="701" spans="1:9">
      <c r="A701" s="8" t="s">
        <v>713</v>
      </c>
      <c r="B701">
        <f>HYPERLINK("https://www.suredividend.com/sure-analysis-research-database/","Crinetics Pharmaceuticals Inc")</f>
        <v>0</v>
      </c>
      <c r="C701">
        <v>-0.06189676877885</v>
      </c>
      <c r="D701">
        <v>0.052</v>
      </c>
      <c r="E701">
        <v>0.33542413381123</v>
      </c>
      <c r="F701">
        <v>0.256604834176503</v>
      </c>
      <c r="G701">
        <v>1.023076923076923</v>
      </c>
      <c r="H701">
        <v>1.284619315278487</v>
      </c>
      <c r="I701">
        <v>0.6305616338439091</v>
      </c>
    </row>
    <row r="702" spans="1:9">
      <c r="A702" s="8" t="s">
        <v>714</v>
      </c>
      <c r="B702">
        <f>HYPERLINK("https://www.suredividend.com/sure-analysis-research-database/","Crocs Inc")</f>
        <v>0</v>
      </c>
      <c r="C702">
        <v>0.07700197816689801</v>
      </c>
      <c r="D702">
        <v>0.185483870967742</v>
      </c>
      <c r="E702">
        <v>0.411968110652194</v>
      </c>
      <c r="F702">
        <v>0.573707311850979</v>
      </c>
      <c r="G702">
        <v>0.21397307787596</v>
      </c>
      <c r="H702">
        <v>1.424142480211081</v>
      </c>
      <c r="I702">
        <v>6.557840616966581</v>
      </c>
    </row>
    <row r="703" spans="1:9">
      <c r="A703" s="8" t="s">
        <v>715</v>
      </c>
      <c r="B703">
        <f>HYPERLINK("https://www.suredividend.com/sure-analysis-research-database/","Carpenter Technology Corp.")</f>
        <v>0</v>
      </c>
      <c r="C703">
        <v>0.016188804369026</v>
      </c>
      <c r="D703">
        <v>0.526858495971115</v>
      </c>
      <c r="E703">
        <v>0.6257879298508391</v>
      </c>
      <c r="F703">
        <v>0.480201943865969</v>
      </c>
      <c r="G703">
        <v>1.028196209492036</v>
      </c>
      <c r="H703">
        <v>1.999277525279419</v>
      </c>
      <c r="I703">
        <v>1.6832710155228</v>
      </c>
    </row>
    <row r="704" spans="1:9">
      <c r="A704" s="8" t="s">
        <v>716</v>
      </c>
      <c r="B704">
        <f>HYPERLINK("https://www.suredividend.com/sure-analysis-research-database/","Cirrus Logic, Inc.")</f>
        <v>0</v>
      </c>
      <c r="C704">
        <v>0.289586305278174</v>
      </c>
      <c r="D704">
        <v>0.246764269043072</v>
      </c>
      <c r="E704">
        <v>0.4959266802443991</v>
      </c>
      <c r="F704">
        <v>0.412669792042312</v>
      </c>
      <c r="G704">
        <v>0.519917227108122</v>
      </c>
      <c r="H704">
        <v>0.4201812688821751</v>
      </c>
      <c r="I704">
        <v>1.886760009825596</v>
      </c>
    </row>
    <row r="705" spans="1:9">
      <c r="A705" s="8" t="s">
        <v>717</v>
      </c>
      <c r="B705">
        <f>HYPERLINK("https://www.suredividend.com/sure-analysis-research-database/","Corvel Corp.")</f>
        <v>0</v>
      </c>
      <c r="C705">
        <v>-0.07695335563865301</v>
      </c>
      <c r="D705">
        <v>0.003423192126658</v>
      </c>
      <c r="E705">
        <v>0.06921393397774901</v>
      </c>
      <c r="F705">
        <v>-0.051413777759799</v>
      </c>
      <c r="G705">
        <v>0.137741982436562</v>
      </c>
      <c r="H705">
        <v>0.639286962600489</v>
      </c>
      <c r="I705">
        <v>2.018018018018018</v>
      </c>
    </row>
    <row r="706" spans="1:9">
      <c r="A706" s="8" t="s">
        <v>718</v>
      </c>
      <c r="B706">
        <f>HYPERLINK("https://www.suredividend.com/sure-analysis-research-database/","Corvus Pharmaceuticals Inc")</f>
        <v>0</v>
      </c>
      <c r="C706">
        <v>0.208333333333333</v>
      </c>
      <c r="D706">
        <v>-0.109649122807017</v>
      </c>
      <c r="E706">
        <v>0.208333333333333</v>
      </c>
      <c r="F706">
        <v>0.15340909090909</v>
      </c>
      <c r="G706">
        <v>-0.42</v>
      </c>
      <c r="H706">
        <v>0.8124999999999991</v>
      </c>
      <c r="I706">
        <v>-0.404692082111437</v>
      </c>
    </row>
    <row r="707" spans="1:9">
      <c r="A707" s="8" t="s">
        <v>719</v>
      </c>
      <c r="B707">
        <f>HYPERLINK("https://www.suredividend.com/sure-analysis-research-database/","Crown Crafts, Inc.")</f>
        <v>0</v>
      </c>
      <c r="C707">
        <v>0.015584158415841</v>
      </c>
      <c r="D707">
        <v>-0.06478847556528</v>
      </c>
      <c r="E707">
        <v>0.110949853785335</v>
      </c>
      <c r="F707">
        <v>0.06530544419749401</v>
      </c>
      <c r="G707">
        <v>0.126642063178243</v>
      </c>
      <c r="H707">
        <v>-0.06299442769708501</v>
      </c>
      <c r="I707">
        <v>0.4920722660227501</v>
      </c>
    </row>
    <row r="708" spans="1:9">
      <c r="A708" s="8" t="s">
        <v>720</v>
      </c>
      <c r="B708">
        <f>HYPERLINK("https://www.suredividend.com/sure-analysis-CSCO/","Cisco Systems, Inc.")</f>
        <v>0</v>
      </c>
      <c r="C708">
        <v>-0.030456852791878</v>
      </c>
      <c r="D708">
        <v>-0.05491745990512</v>
      </c>
      <c r="E708">
        <v>-0.027426818323584</v>
      </c>
      <c r="F708">
        <v>-0.07093447696489001</v>
      </c>
      <c r="G708">
        <v>-0.028893799029317</v>
      </c>
      <c r="H708">
        <v>0.097125788918168</v>
      </c>
      <c r="I708">
        <v>-0.02267004667049</v>
      </c>
    </row>
    <row r="709" spans="1:9">
      <c r="A709" s="8" t="s">
        <v>721</v>
      </c>
      <c r="B709">
        <f>HYPERLINK("https://www.suredividend.com/sure-analysis-research-database/","Costar Group, Inc.")</f>
        <v>0</v>
      </c>
      <c r="C709">
        <v>-0.175751676400605</v>
      </c>
      <c r="D709">
        <v>-0.107088459285295</v>
      </c>
      <c r="E709">
        <v>-0.077137321385323</v>
      </c>
      <c r="F709">
        <v>-0.127932257695388</v>
      </c>
      <c r="G709">
        <v>-0.04318895166352801</v>
      </c>
      <c r="H709">
        <v>0.229987088444157</v>
      </c>
      <c r="I709">
        <v>0.411609987404608</v>
      </c>
    </row>
    <row r="710" spans="1:9">
      <c r="A710" s="8" t="s">
        <v>722</v>
      </c>
      <c r="B710">
        <f>HYPERLINK("https://www.suredividend.com/sure-analysis-research-database/","CSG Systems International Inc.")</f>
        <v>0</v>
      </c>
      <c r="C710">
        <v>-0.026949678034819</v>
      </c>
      <c r="D710">
        <v>-0.225219853361463</v>
      </c>
      <c r="E710">
        <v>-0.207331407355886</v>
      </c>
      <c r="F710">
        <v>-0.224346397773417</v>
      </c>
      <c r="G710">
        <v>-0.15738342771465</v>
      </c>
      <c r="H710">
        <v>-0.286417624085504</v>
      </c>
      <c r="I710">
        <v>-0.005195900821932001</v>
      </c>
    </row>
    <row r="711" spans="1:9">
      <c r="A711" s="8" t="s">
        <v>723</v>
      </c>
      <c r="B711">
        <f>HYPERLINK("https://www.suredividend.com/sure-analysis-research-database/","Cardiovascular Systems Inc.")</f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>
      <c r="A712" s="8" t="s">
        <v>724</v>
      </c>
      <c r="B712">
        <f>HYPERLINK("https://www.suredividend.com/sure-analysis-CSL/","Carlisle Companies Inc.")</f>
        <v>0</v>
      </c>
      <c r="C712">
        <v>0.01020583391707</v>
      </c>
      <c r="D712">
        <v>0.121268392188611</v>
      </c>
      <c r="E712">
        <v>0.3963480128893661</v>
      </c>
      <c r="F712">
        <v>0.314514835192923</v>
      </c>
      <c r="G712">
        <v>0.7842717871215591</v>
      </c>
      <c r="H712">
        <v>0.536285611972243</v>
      </c>
      <c r="I712">
        <v>2.151431344119962</v>
      </c>
    </row>
    <row r="713" spans="1:9">
      <c r="A713" s="8" t="s">
        <v>725</v>
      </c>
      <c r="B713">
        <f>HYPERLINK("https://www.suredividend.com/sure-analysis-research-database/","Castlight Health Inc")</f>
        <v>0</v>
      </c>
      <c r="C713">
        <v>0.004901960784313</v>
      </c>
      <c r="D713">
        <v>0.120218579234972</v>
      </c>
      <c r="E713">
        <v>0.164772727272727</v>
      </c>
      <c r="F713">
        <v>0.331168831168831</v>
      </c>
      <c r="G713">
        <v>0.120218579234972</v>
      </c>
      <c r="H713">
        <v>0.589147286821705</v>
      </c>
      <c r="I713">
        <v>-0.430555555555555</v>
      </c>
    </row>
    <row r="714" spans="1:9">
      <c r="A714" s="8" t="s">
        <v>726</v>
      </c>
      <c r="B714">
        <f>HYPERLINK("https://www.suredividend.com/sure-analysis-research-database/","Cornerstone OnDemand Inc")</f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>
      <c r="A715" s="8" t="s">
        <v>727</v>
      </c>
      <c r="B715">
        <f>HYPERLINK("https://www.suredividend.com/sure-analysis-research-database/","CSP Inc.")</f>
        <v>0</v>
      </c>
      <c r="C715">
        <v>0.141489309732784</v>
      </c>
      <c r="D715">
        <v>-0.304273606066019</v>
      </c>
      <c r="E715">
        <v>0.156651156651156</v>
      </c>
      <c r="F715">
        <v>0.447420040882905</v>
      </c>
      <c r="G715">
        <v>1.231560182090217</v>
      </c>
      <c r="H715">
        <v>1.993551693214331</v>
      </c>
      <c r="I715">
        <v>0.9722034661264911</v>
      </c>
    </row>
    <row r="716" spans="1:9">
      <c r="A716" s="8" t="s">
        <v>728</v>
      </c>
      <c r="B716">
        <f>HYPERLINK("https://www.suredividend.com/sure-analysis-research-database/","CapStar Financial Holdings Inc")</f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</row>
    <row r="717" spans="1:9">
      <c r="A717" s="8" t="s">
        <v>729</v>
      </c>
      <c r="B717">
        <f>HYPERLINK("https://www.suredividend.com/sure-analysis-research-database/","Carriage Services, Inc.")</f>
        <v>0</v>
      </c>
      <c r="C717">
        <v>0.108763693270735</v>
      </c>
      <c r="D717">
        <v>0.109306194343869</v>
      </c>
      <c r="E717">
        <v>0.164185480955667</v>
      </c>
      <c r="F717">
        <v>0.143239797976538</v>
      </c>
      <c r="G717">
        <v>0.016455532760426</v>
      </c>
      <c r="H717">
        <v>-0.300673416459591</v>
      </c>
      <c r="I717">
        <v>0.617441429101389</v>
      </c>
    </row>
    <row r="718" spans="1:9">
      <c r="A718" s="8" t="s">
        <v>730</v>
      </c>
      <c r="B718">
        <f>HYPERLINK("https://www.suredividend.com/sure-analysis-research-database/","CSW Industrials Inc")</f>
        <v>0</v>
      </c>
      <c r="C718">
        <v>0.011744028121754</v>
      </c>
      <c r="D718">
        <v>0.06549639309614801</v>
      </c>
      <c r="E718">
        <v>0.403498661500703</v>
      </c>
      <c r="F718">
        <v>0.225532178445381</v>
      </c>
      <c r="G718">
        <v>0.60936951957829</v>
      </c>
      <c r="H718">
        <v>1.298126783502629</v>
      </c>
      <c r="I718">
        <v>2.975801109482085</v>
      </c>
    </row>
    <row r="719" spans="1:9">
      <c r="A719" s="8" t="s">
        <v>731</v>
      </c>
      <c r="B719">
        <f>HYPERLINK("https://www.suredividend.com/sure-analysis-CSX/","CSX Corp.")</f>
        <v>0</v>
      </c>
      <c r="C719">
        <v>-0.028639561508619</v>
      </c>
      <c r="D719">
        <v>-0.130081387194798</v>
      </c>
      <c r="E719">
        <v>-0.009047172380404001</v>
      </c>
      <c r="F719">
        <v>-0.042487252654722</v>
      </c>
      <c r="G719">
        <v>0.03334469223682</v>
      </c>
      <c r="H719">
        <v>0.051664841640147</v>
      </c>
      <c r="I719">
        <v>0.3662626978995011</v>
      </c>
    </row>
    <row r="720" spans="1:9">
      <c r="A720" s="8" t="s">
        <v>732</v>
      </c>
      <c r="B720">
        <f>HYPERLINK("https://www.suredividend.com/sure-analysis-CTAS/","Cintas Corporation")</f>
        <v>0</v>
      </c>
      <c r="C720">
        <v>-0.011458857881904</v>
      </c>
      <c r="D720">
        <v>0.08985256627472001</v>
      </c>
      <c r="E720">
        <v>0.242265998656793</v>
      </c>
      <c r="F720">
        <v>0.141447684358935</v>
      </c>
      <c r="G720">
        <v>0.457279765799587</v>
      </c>
      <c r="H720">
        <v>0.740308172078177</v>
      </c>
      <c r="I720">
        <v>2.098496740576013</v>
      </c>
    </row>
    <row r="721" spans="1:9">
      <c r="A721" s="8" t="s">
        <v>733</v>
      </c>
      <c r="B721">
        <f>HYPERLINK("https://www.suredividend.com/sure-analysis-research-database/","Cooper Tire &amp; Rubber Co.")</f>
        <v>0</v>
      </c>
      <c r="C721">
        <v>0.019243148016397</v>
      </c>
      <c r="D721">
        <v>0.040711772824917</v>
      </c>
      <c r="E721">
        <v>0.4988989308169831</v>
      </c>
      <c r="F721">
        <v>0.491124377665598</v>
      </c>
      <c r="G721">
        <v>1.130831722018004</v>
      </c>
      <c r="H721">
        <v>1.06583053803607</v>
      </c>
      <c r="I721">
        <v>1.019337582097466</v>
      </c>
    </row>
    <row r="722" spans="1:9">
      <c r="A722" s="8" t="s">
        <v>734</v>
      </c>
      <c r="B722">
        <f>HYPERLINK("https://www.suredividend.com/sure-analysis-CTBI/","Community Trust Bancorp, Inc.")</f>
        <v>0</v>
      </c>
      <c r="C722">
        <v>-0.033417838211569</v>
      </c>
      <c r="D722">
        <v>0.05375560608535</v>
      </c>
      <c r="E722">
        <v>0.045163316113308</v>
      </c>
      <c r="F722">
        <v>-0.021684363744938</v>
      </c>
      <c r="G722">
        <v>0.15517459827798</v>
      </c>
      <c r="H722">
        <v>0.151599856118663</v>
      </c>
      <c r="I722">
        <v>0.342028466106901</v>
      </c>
    </row>
    <row r="723" spans="1:9">
      <c r="A723" s="8" t="s">
        <v>735</v>
      </c>
      <c r="B723">
        <f>HYPERLINK("https://www.suredividend.com/sure-analysis-research-database/","Computer Task Group, Inc.")</f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>
      <c r="A724" s="8" t="s">
        <v>736</v>
      </c>
      <c r="B724">
        <f>HYPERLINK("https://www.suredividend.com/sure-analysis-research-database/","Charles &amp; Colvard Ltd")</f>
        <v>0</v>
      </c>
      <c r="C724">
        <v>-0.238873720136518</v>
      </c>
      <c r="D724">
        <v>-0.408461538461538</v>
      </c>
      <c r="E724">
        <v>-0.4702850356294531</v>
      </c>
      <c r="F724">
        <v>-0.456338371526084</v>
      </c>
      <c r="G724">
        <v>-0.7649309581532621</v>
      </c>
      <c r="H724">
        <v>-0.8472534246575341</v>
      </c>
      <c r="I724">
        <v>-0.86061875</v>
      </c>
    </row>
    <row r="725" spans="1:9">
      <c r="A725" s="8" t="s">
        <v>737</v>
      </c>
      <c r="B725">
        <f>HYPERLINK("https://www.suredividend.com/sure-analysis-research-database/","CTI BioPharma Corp")</f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>
      <c r="A726" s="8" t="s">
        <v>738</v>
      </c>
      <c r="B726">
        <f>HYPERLINK("https://www.suredividend.com/sure-analysis-research-database/","Catalent Inc.")</f>
        <v>0</v>
      </c>
      <c r="C726">
        <v>-0.00247656111799</v>
      </c>
      <c r="D726">
        <v>0.000532292405961</v>
      </c>
      <c r="E726">
        <v>0.505740987983978</v>
      </c>
      <c r="F726">
        <v>0.255063432005341</v>
      </c>
      <c r="G726">
        <v>0.411161161161161</v>
      </c>
      <c r="H726">
        <v>-0.5040893501011341</v>
      </c>
      <c r="I726">
        <v>0.170888704318936</v>
      </c>
    </row>
    <row r="727" spans="1:9">
      <c r="A727" s="8" t="s">
        <v>739</v>
      </c>
      <c r="B727">
        <f>HYPERLINK("https://www.suredividend.com/sure-analysis-research-database/","CytomX Therapeutics Inc")</f>
        <v>0</v>
      </c>
      <c r="C727">
        <v>-0.597051597051597</v>
      </c>
      <c r="D727">
        <v>-0.359375</v>
      </c>
      <c r="E727">
        <v>0.123287671232876</v>
      </c>
      <c r="F727">
        <v>0.058064516129032</v>
      </c>
      <c r="G727">
        <v>-0.046511627906976</v>
      </c>
      <c r="H727">
        <v>-0.132275132275132</v>
      </c>
      <c r="I727">
        <v>-0.8421559191530311</v>
      </c>
    </row>
    <row r="728" spans="1:9">
      <c r="A728" s="8" t="s">
        <v>740</v>
      </c>
      <c r="B728">
        <f>HYPERLINK("https://www.suredividend.com/sure-analysis-CTO/","CTO Realty Growth Inc")</f>
        <v>0</v>
      </c>
      <c r="C728">
        <v>0.038283062645011</v>
      </c>
      <c r="D728">
        <v>0.076355064881961</v>
      </c>
      <c r="E728">
        <v>0.06815930492069301</v>
      </c>
      <c r="F728">
        <v>0.05647726803241401</v>
      </c>
      <c r="G728">
        <v>0.114015434403783</v>
      </c>
      <c r="H728">
        <v>-0.037551617343427</v>
      </c>
      <c r="I728">
        <v>0.4841839061398781</v>
      </c>
    </row>
    <row r="729" spans="1:9">
      <c r="A729" s="8" t="s">
        <v>741</v>
      </c>
      <c r="B729">
        <f>HYPERLINK("https://www.suredividend.com/sure-analysis-CTRA/","Coterra Energy Inc")</f>
        <v>0</v>
      </c>
      <c r="C729">
        <v>-0.010426757945648</v>
      </c>
      <c r="D729">
        <v>0.07068542501319901</v>
      </c>
      <c r="E729">
        <v>0.139509325136137</v>
      </c>
      <c r="F729">
        <v>0.09753671057344</v>
      </c>
      <c r="G729">
        <v>0.144203683190826</v>
      </c>
      <c r="H729">
        <v>-0.165014153585322</v>
      </c>
      <c r="I729">
        <v>0.14188713617356</v>
      </c>
    </row>
    <row r="730" spans="1:9">
      <c r="A730" s="8" t="s">
        <v>742</v>
      </c>
      <c r="B730">
        <f>HYPERLINK("https://www.suredividend.com/sure-analysis-CTRE/","CareTrust REIT Inc")</f>
        <v>0</v>
      </c>
      <c r="C730">
        <v>0.038183279742765</v>
      </c>
      <c r="D730">
        <v>0.113371666997129</v>
      </c>
      <c r="E730">
        <v>0.173184357541899</v>
      </c>
      <c r="F730">
        <v>0.168096450488176</v>
      </c>
      <c r="G730">
        <v>0.3687378784827831</v>
      </c>
      <c r="H730">
        <v>0.5611212513145321</v>
      </c>
      <c r="I730">
        <v>0.405087253579355</v>
      </c>
    </row>
    <row r="731" spans="1:9">
      <c r="A731" s="8" t="s">
        <v>743</v>
      </c>
      <c r="B731">
        <f>HYPERLINK("https://www.suredividend.com/sure-analysis-research-database/","Citi Trends Inc")</f>
        <v>0</v>
      </c>
      <c r="C731">
        <v>-0.02501078050884</v>
      </c>
      <c r="D731">
        <v>-0.28966383914546</v>
      </c>
      <c r="E731">
        <v>-0.015672616456247</v>
      </c>
      <c r="F731">
        <v>-0.20049504950495</v>
      </c>
      <c r="G731">
        <v>0.3661631419939571</v>
      </c>
      <c r="H731">
        <v>-0.16506646971935</v>
      </c>
      <c r="I731">
        <v>0.618143822283293</v>
      </c>
    </row>
    <row r="732" spans="1:9">
      <c r="A732" s="8" t="s">
        <v>744</v>
      </c>
      <c r="B732">
        <f>HYPERLINK("https://www.suredividend.com/sure-analysis-research-database/","CTS Corp.")</f>
        <v>0</v>
      </c>
      <c r="C732">
        <v>0.046104928457869</v>
      </c>
      <c r="D732">
        <v>0.171589836725246</v>
      </c>
      <c r="E732">
        <v>0.298240075763554</v>
      </c>
      <c r="F732">
        <v>0.204535313433177</v>
      </c>
      <c r="G732">
        <v>0.11802086519183</v>
      </c>
      <c r="H732">
        <v>0.302383579674503</v>
      </c>
      <c r="I732">
        <v>0.956957347698232</v>
      </c>
    </row>
    <row r="733" spans="1:9">
      <c r="A733" s="8" t="s">
        <v>745</v>
      </c>
      <c r="B733">
        <f>HYPERLINK("https://www.suredividend.com/sure-analysis-CTSH/","Cognizant Technology Solutions Corp.")</f>
        <v>0</v>
      </c>
      <c r="C733">
        <v>-0.017053246675809</v>
      </c>
      <c r="D733">
        <v>-0.141411839766668</v>
      </c>
      <c r="E733">
        <v>-0.048271980024392</v>
      </c>
      <c r="F733">
        <v>-0.112661329716156</v>
      </c>
      <c r="G733">
        <v>0.08415609611732601</v>
      </c>
      <c r="H733">
        <v>-0.067859384453579</v>
      </c>
      <c r="I733">
        <v>0.1442850821251</v>
      </c>
    </row>
    <row r="734" spans="1:9">
      <c r="A734" s="8" t="s">
        <v>746</v>
      </c>
      <c r="B734">
        <f>HYPERLINK("https://www.suredividend.com/sure-analysis-research-database/","Cytosorbents Corp")</f>
        <v>0</v>
      </c>
      <c r="C734">
        <v>-0.04741471787170101</v>
      </c>
      <c r="D734">
        <v>-0.137864077669902</v>
      </c>
      <c r="E734">
        <v>-0.347058823529411</v>
      </c>
      <c r="F734">
        <v>-0.2</v>
      </c>
      <c r="G734">
        <v>-0.7317220543806641</v>
      </c>
      <c r="H734">
        <v>-0.653125</v>
      </c>
      <c r="I734">
        <v>-0.8608150470219431</v>
      </c>
    </row>
    <row r="735" spans="1:9">
      <c r="A735" s="8" t="s">
        <v>747</v>
      </c>
      <c r="B735">
        <f>HYPERLINK("https://www.suredividend.com/sure-analysis-research-database/","CatchMark Timber Trust Inc")</f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9">
      <c r="A736" s="8" t="s">
        <v>748</v>
      </c>
      <c r="B736">
        <f>HYPERLINK("https://www.suredividend.com/sure-analysis-research-database/","Corteva Inc")</f>
        <v>0</v>
      </c>
      <c r="C736">
        <v>-0.07766448607255901</v>
      </c>
      <c r="D736">
        <v>-0.0263761868916</v>
      </c>
      <c r="E736">
        <v>0.195704505025801</v>
      </c>
      <c r="F736">
        <v>0.110367134812003</v>
      </c>
      <c r="G736">
        <v>-0.077916893991818</v>
      </c>
      <c r="H736">
        <v>-0.13085624625192</v>
      </c>
      <c r="I736">
        <v>1.156683680957583</v>
      </c>
    </row>
    <row r="737" spans="1:9">
      <c r="A737" s="8" t="s">
        <v>749</v>
      </c>
      <c r="B737">
        <f>HYPERLINK("https://www.suredividend.com/sure-analysis-research-database/","Citrix Systems, Inc.")</f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>
      <c r="A738" s="8" t="s">
        <v>750</v>
      </c>
      <c r="B738">
        <f>HYPERLINK("https://www.suredividend.com/sure-analysis-research-database/","Cubic Corp.")</f>
        <v>0</v>
      </c>
      <c r="C738">
        <v>0.001468820937374</v>
      </c>
      <c r="D738">
        <v>0.08279638663627101</v>
      </c>
      <c r="E738">
        <v>0.208913074314304</v>
      </c>
      <c r="F738">
        <v>0.211252047015959</v>
      </c>
      <c r="G738">
        <v>0.9831301726645331</v>
      </c>
      <c r="H738">
        <v>0.288710722245037</v>
      </c>
      <c r="I738">
        <v>0.88689213769784</v>
      </c>
    </row>
    <row r="739" spans="1:9">
      <c r="A739" s="8" t="s">
        <v>751</v>
      </c>
      <c r="B739">
        <f>HYPERLINK("https://www.suredividend.com/sure-analysis-CUBE/","CubeSmart")</f>
        <v>0</v>
      </c>
      <c r="C739">
        <v>0.005441211260941</v>
      </c>
      <c r="D739">
        <v>-0.035826421532151</v>
      </c>
      <c r="E739">
        <v>0.03922652203893801</v>
      </c>
      <c r="F739">
        <v>-0.07264566554584001</v>
      </c>
      <c r="G739">
        <v>-0.020170651690263</v>
      </c>
      <c r="H739">
        <v>0.04998159444028501</v>
      </c>
      <c r="I739">
        <v>0.5302246369767081</v>
      </c>
    </row>
    <row r="740" spans="1:9">
      <c r="A740" s="8" t="s">
        <v>752</v>
      </c>
      <c r="B740">
        <f>HYPERLINK("https://www.suredividend.com/sure-analysis-research-database/","Customers Bancorp Inc")</f>
        <v>0</v>
      </c>
      <c r="C740">
        <v>-0.08582246529238501</v>
      </c>
      <c r="D740">
        <v>-0.2063550036523</v>
      </c>
      <c r="E740">
        <v>-0.109243697478991</v>
      </c>
      <c r="F740">
        <v>-0.24574800416522</v>
      </c>
      <c r="G740">
        <v>0.453511705685618</v>
      </c>
      <c r="H740">
        <v>0.04697663213683401</v>
      </c>
      <c r="I740">
        <v>1.440352857279225</v>
      </c>
    </row>
    <row r="741" spans="1:9">
      <c r="A741" s="8" t="s">
        <v>753</v>
      </c>
      <c r="B741">
        <f>HYPERLINK("https://www.suredividend.com/sure-analysis-research-database/","Cue Biopharma Inc")</f>
        <v>0</v>
      </c>
      <c r="C741">
        <v>-0.321100917431192</v>
      </c>
      <c r="D741">
        <v>-0.248730964467005</v>
      </c>
      <c r="E741">
        <v>-0.514754098360655</v>
      </c>
      <c r="F741">
        <v>-0.4393939393939391</v>
      </c>
      <c r="G741">
        <v>-0.6021505376344081</v>
      </c>
      <c r="H741">
        <v>-0.623409669211195</v>
      </c>
      <c r="I741">
        <v>-0.8018741633199461</v>
      </c>
    </row>
    <row r="742" spans="1:9">
      <c r="A742" s="8" t="s">
        <v>754</v>
      </c>
      <c r="B742">
        <f>HYPERLINK("https://www.suredividend.com/sure-analysis-research-database/","Culp Inc.")</f>
        <v>0</v>
      </c>
      <c r="C742">
        <v>-0.015945330296127</v>
      </c>
      <c r="D742">
        <v>-0.141153081510934</v>
      </c>
      <c r="E742">
        <v>-0.210237659963436</v>
      </c>
      <c r="F742">
        <v>-0.253886010362694</v>
      </c>
      <c r="G742">
        <v>-0.105590062111801</v>
      </c>
      <c r="H742">
        <v>-0.221621621621621</v>
      </c>
      <c r="I742">
        <v>-0.720516785166687</v>
      </c>
    </row>
    <row r="743" spans="1:9">
      <c r="A743" s="8" t="s">
        <v>755</v>
      </c>
      <c r="B743">
        <f>HYPERLINK("https://www.suredividend.com/sure-analysis-research-database/","CURO Group Holdings Corp")</f>
        <v>0</v>
      </c>
      <c r="C743">
        <v>-0.047368421052631</v>
      </c>
      <c r="D743">
        <v>-0.047368421052631</v>
      </c>
      <c r="E743">
        <v>-0.047368421052631</v>
      </c>
      <c r="F743">
        <v>-0.047368421052631</v>
      </c>
      <c r="G743">
        <v>-0.047368421052631</v>
      </c>
      <c r="H743">
        <v>-0.047368421052631</v>
      </c>
      <c r="I743">
        <v>-0.047368421052631</v>
      </c>
    </row>
    <row r="744" spans="1:9">
      <c r="A744" s="8" t="s">
        <v>756</v>
      </c>
      <c r="B744">
        <f>HYPERLINK("https://www.suredividend.com/sure-analysis-research-database/","Cutera Inc")</f>
        <v>0</v>
      </c>
      <c r="C744">
        <v>-0.301818181818181</v>
      </c>
      <c r="D744">
        <v>-0.05418719211822601</v>
      </c>
      <c r="E744">
        <v>-0.135135135135135</v>
      </c>
      <c r="F744">
        <v>-0.45531914893617</v>
      </c>
      <c r="G744">
        <v>-0.902488572879634</v>
      </c>
      <c r="H744">
        <v>-0.9578300021963541</v>
      </c>
      <c r="I744">
        <v>-0.8885017421602781</v>
      </c>
    </row>
    <row r="745" spans="1:9">
      <c r="A745" s="8" t="s">
        <v>757</v>
      </c>
      <c r="B745">
        <f>HYPERLINK("https://www.suredividend.com/sure-analysis-CUZ/","Cousins Properties Inc.")</f>
        <v>0</v>
      </c>
      <c r="C745">
        <v>-0.03878583473861701</v>
      </c>
      <c r="D745">
        <v>-0.02141302808287</v>
      </c>
      <c r="E745">
        <v>0.055286848256231</v>
      </c>
      <c r="F745">
        <v>-0.03788943324092001</v>
      </c>
      <c r="G745">
        <v>0.113395416522201</v>
      </c>
      <c r="H745">
        <v>-0.259122059640674</v>
      </c>
      <c r="I745">
        <v>-0.252154974481428</v>
      </c>
    </row>
    <row r="746" spans="1:9">
      <c r="A746" s="8" t="s">
        <v>758</v>
      </c>
      <c r="B746">
        <f>HYPERLINK("https://www.suredividend.com/sure-analysis-research-database/","Covanta Holding Corporation")</f>
        <v>0</v>
      </c>
      <c r="C746">
        <v>0.003964321110009</v>
      </c>
      <c r="D746">
        <v>0.016017572189402</v>
      </c>
      <c r="E746">
        <v>0.37970485484497</v>
      </c>
      <c r="F746">
        <v>0.5655184137728531</v>
      </c>
      <c r="G746">
        <v>0.628512635843354</v>
      </c>
      <c r="H746">
        <v>0.499186029302945</v>
      </c>
      <c r="I746">
        <v>0.836059631156826</v>
      </c>
    </row>
    <row r="747" spans="1:9">
      <c r="A747" s="8" t="s">
        <v>759</v>
      </c>
      <c r="B747">
        <f>HYPERLINK("https://www.suredividend.com/sure-analysis-research-database/","CVB Financial Corp.")</f>
        <v>0</v>
      </c>
      <c r="C747">
        <v>-0.04079254079254</v>
      </c>
      <c r="D747">
        <v>-0.06053981861455301</v>
      </c>
      <c r="E747">
        <v>-0.114415761892976</v>
      </c>
      <c r="F747">
        <v>-0.148191848309838</v>
      </c>
      <c r="G747">
        <v>0.199122877312099</v>
      </c>
      <c r="H747">
        <v>-0.261479374366245</v>
      </c>
      <c r="I747">
        <v>-0.020418851283394</v>
      </c>
    </row>
    <row r="748" spans="1:9">
      <c r="A748" s="8" t="s">
        <v>760</v>
      </c>
      <c r="B748">
        <f>HYPERLINK("https://www.suredividend.com/sure-analysis-research-database/","Cavco Industries Inc")</f>
        <v>0</v>
      </c>
      <c r="C748">
        <v>-0.091362916006339</v>
      </c>
      <c r="D748">
        <v>-0.083544236353464</v>
      </c>
      <c r="E748">
        <v>0.132543209876543</v>
      </c>
      <c r="F748">
        <v>-0.007529859788817</v>
      </c>
      <c r="G748">
        <v>0.192243709710958</v>
      </c>
      <c r="H748">
        <v>0.60034425009304</v>
      </c>
      <c r="I748">
        <v>1.255803278688524</v>
      </c>
    </row>
    <row r="749" spans="1:9">
      <c r="A749" s="8" t="s">
        <v>761</v>
      </c>
      <c r="B749">
        <f>HYPERLINK("https://www.suredividend.com/sure-analysis-research-database/","Covetrus Inc")</f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</row>
    <row r="750" spans="1:9">
      <c r="A750" s="8" t="s">
        <v>762</v>
      </c>
      <c r="B750">
        <f>HYPERLINK("https://www.suredividend.com/sure-analysis-research-database/","Commercial Vehicle Group Inc")</f>
        <v>0</v>
      </c>
      <c r="C750">
        <v>-0.042857142857142</v>
      </c>
      <c r="D750">
        <v>-0.135483870967741</v>
      </c>
      <c r="E750">
        <v>-0.205925925925925</v>
      </c>
      <c r="F750">
        <v>-0.235378031383737</v>
      </c>
      <c r="G750">
        <v>-0.453061224489795</v>
      </c>
      <c r="H750">
        <v>-0.241867043847241</v>
      </c>
      <c r="I750">
        <v>-0.176651305683563</v>
      </c>
    </row>
    <row r="751" spans="1:9">
      <c r="A751" s="8" t="s">
        <v>763</v>
      </c>
      <c r="B751">
        <f>HYPERLINK("https://www.suredividend.com/sure-analysis-research-database/","Calavo Growers, Inc")</f>
        <v>0</v>
      </c>
      <c r="C751">
        <v>-0.110294117647058</v>
      </c>
      <c r="D751">
        <v>-0.133766734051728</v>
      </c>
      <c r="E751">
        <v>-0.066447208893918</v>
      </c>
      <c r="F751">
        <v>-0.126440891229686</v>
      </c>
      <c r="G751">
        <v>-0.192749037398497</v>
      </c>
      <c r="H751">
        <v>-0.334100301633432</v>
      </c>
      <c r="I751">
        <v>-0.6966868318396461</v>
      </c>
    </row>
    <row r="752" spans="1:9">
      <c r="A752" s="8" t="s">
        <v>764</v>
      </c>
      <c r="B752">
        <f>HYPERLINK("https://www.suredividend.com/sure-analysis-research-database/","CVR Energy Inc")</f>
        <v>0</v>
      </c>
      <c r="C752">
        <v>-0.06121909295253201</v>
      </c>
      <c r="D752">
        <v>-0.184529638629961</v>
      </c>
      <c r="E752">
        <v>-0.07869036073814001</v>
      </c>
      <c r="F752">
        <v>-0.08051461191105001</v>
      </c>
      <c r="G752">
        <v>0.05172474281860601</v>
      </c>
      <c r="H752">
        <v>-0.276182708868773</v>
      </c>
      <c r="I752">
        <v>-0.142116726816006</v>
      </c>
    </row>
    <row r="753" spans="1:9">
      <c r="A753" s="8" t="s">
        <v>765</v>
      </c>
      <c r="B753">
        <f>HYPERLINK("https://www.suredividend.com/sure-analysis-research-database/","Commvault Systems Inc")</f>
        <v>0</v>
      </c>
      <c r="C753">
        <v>0.052477064220183</v>
      </c>
      <c r="D753">
        <v>0.149844642678159</v>
      </c>
      <c r="E753">
        <v>0.5220910176462781</v>
      </c>
      <c r="F753">
        <v>0.4366938008766431</v>
      </c>
      <c r="G753">
        <v>0.6071728775567381</v>
      </c>
      <c r="H753">
        <v>0.7780533168009921</v>
      </c>
      <c r="I753">
        <v>1.421274799493457</v>
      </c>
    </row>
    <row r="754" spans="1:9">
      <c r="A754" s="8" t="s">
        <v>766</v>
      </c>
      <c r="B754">
        <f>HYPERLINK("https://www.suredividend.com/sure-analysis-research-database/","Codorus Valley Bancorp, Inc.")</f>
        <v>0</v>
      </c>
      <c r="C754">
        <v>-0.034682080924855</v>
      </c>
      <c r="D754">
        <v>-0.032350083348933</v>
      </c>
      <c r="E754">
        <v>0.08287403047609501</v>
      </c>
      <c r="F754">
        <v>-0.136226371553957</v>
      </c>
      <c r="G754">
        <v>0.144800674963088</v>
      </c>
      <c r="H754">
        <v>0.020388979235013</v>
      </c>
      <c r="I754">
        <v>0.245939648542864</v>
      </c>
    </row>
    <row r="755" spans="1:9">
      <c r="A755" s="8" t="s">
        <v>767</v>
      </c>
      <c r="B755">
        <f>HYPERLINK("https://www.suredividend.com/sure-analysis-research-database/","Cel-Sci Corp.")</f>
        <v>0</v>
      </c>
      <c r="C755">
        <v>-0.221556886227544</v>
      </c>
      <c r="D755">
        <v>-0.4298245614035081</v>
      </c>
      <c r="E755">
        <v>-0.5</v>
      </c>
      <c r="F755">
        <v>-0.522058823529411</v>
      </c>
      <c r="G755">
        <v>-0.498069498069498</v>
      </c>
      <c r="H755">
        <v>-0.650537634408602</v>
      </c>
      <c r="I755">
        <v>-0.722814498933901</v>
      </c>
    </row>
    <row r="756" spans="1:9">
      <c r="A756" s="8" t="s">
        <v>768</v>
      </c>
      <c r="B756">
        <f>HYPERLINK("https://www.suredividend.com/sure-analysis-research-database/","Carvana Co.")</f>
        <v>0</v>
      </c>
      <c r="C756">
        <v>-0.08657637579290201</v>
      </c>
      <c r="D756">
        <v>0.34088335220838</v>
      </c>
      <c r="E756">
        <v>1.811609498680739</v>
      </c>
      <c r="F756">
        <v>1.012844729882886</v>
      </c>
      <c r="G756">
        <v>5.861558274307792</v>
      </c>
      <c r="H756">
        <v>3.19362455726092</v>
      </c>
      <c r="I756">
        <v>0.686075949367088</v>
      </c>
    </row>
    <row r="757" spans="1:9">
      <c r="A757" s="8" t="s">
        <v>769</v>
      </c>
      <c r="B757">
        <f>HYPERLINK("https://www.suredividend.com/sure-analysis-research-database/","Chicago Rivet &amp; Machine Co.")</f>
        <v>0</v>
      </c>
      <c r="C757">
        <v>-0.103780417149478</v>
      </c>
      <c r="D757">
        <v>-0.010006599956</v>
      </c>
      <c r="E757">
        <v>-0.060334735976207</v>
      </c>
      <c r="F757">
        <v>-0.108477567854762</v>
      </c>
      <c r="G757">
        <v>-0.386325598694134</v>
      </c>
      <c r="H757">
        <v>-0.454779764068334</v>
      </c>
      <c r="I757">
        <v>-0.400811023463191</v>
      </c>
    </row>
    <row r="758" spans="1:9">
      <c r="A758" s="8" t="s">
        <v>770</v>
      </c>
      <c r="B758">
        <f>HYPERLINK("https://www.suredividend.com/sure-analysis-CVS/","CVS Health Corp")</f>
        <v>0</v>
      </c>
      <c r="C758">
        <v>0.108360243989953</v>
      </c>
      <c r="D758">
        <v>-0.160459803853622</v>
      </c>
      <c r="E758">
        <v>-0.149514942683804</v>
      </c>
      <c r="F758">
        <v>-0.202832538058359</v>
      </c>
      <c r="G758">
        <v>-0.104571497313569</v>
      </c>
      <c r="H758">
        <v>-0.314539572080968</v>
      </c>
      <c r="I758">
        <v>0.325304564771096</v>
      </c>
    </row>
    <row r="759" spans="1:9">
      <c r="A759" s="8" t="s">
        <v>771</v>
      </c>
      <c r="B759">
        <f>HYPERLINK("https://www.suredividend.com/sure-analysis-research-database/","CPI Aerostructures Inc")</f>
        <v>0</v>
      </c>
      <c r="C759">
        <v>-0.11977186311787</v>
      </c>
      <c r="D759">
        <v>-0.08858267716535401</v>
      </c>
      <c r="E759">
        <v>-0.12310606060606</v>
      </c>
      <c r="F759">
        <v>-0.152014652014652</v>
      </c>
      <c r="G759">
        <v>-0.404041704209036</v>
      </c>
      <c r="H759">
        <v>-0.006437768240343001</v>
      </c>
      <c r="I759">
        <v>-0.6975240086235051</v>
      </c>
    </row>
    <row r="760" spans="1:9">
      <c r="A760" s="8" t="s">
        <v>772</v>
      </c>
      <c r="B760">
        <f>HYPERLINK("https://www.suredividend.com/sure-analysis-research-database/","CVD Equipment Corp.")</f>
        <v>0</v>
      </c>
      <c r="C760">
        <v>-0.077605932203389</v>
      </c>
      <c r="D760">
        <v>-0.08727463312368901</v>
      </c>
      <c r="E760">
        <v>-0.12926</v>
      </c>
      <c r="F760">
        <v>-0.017223476297968</v>
      </c>
      <c r="G760">
        <v>-0.457820672478206</v>
      </c>
      <c r="H760">
        <v>0.05929440389294301</v>
      </c>
      <c r="I760">
        <v>0.157898936170212</v>
      </c>
    </row>
    <row r="761" spans="1:9">
      <c r="A761" s="8" t="s">
        <v>773</v>
      </c>
      <c r="B761">
        <f>HYPERLINK("https://www.suredividend.com/sure-analysis-CVX/","Chevron Corp.")</f>
        <v>0</v>
      </c>
      <c r="C761">
        <v>-0.030822670602655</v>
      </c>
      <c r="D761">
        <v>0.055473204721768</v>
      </c>
      <c r="E761">
        <v>0.119059210191411</v>
      </c>
      <c r="F761">
        <v>0.068492944373057</v>
      </c>
      <c r="G761">
        <v>0.01729824149753</v>
      </c>
      <c r="H761">
        <v>-0.065280637391409</v>
      </c>
      <c r="I761">
        <v>0.6026845582451791</v>
      </c>
    </row>
    <row r="762" spans="1:9">
      <c r="A762" s="8" t="s">
        <v>774</v>
      </c>
      <c r="B762">
        <f>HYPERLINK("https://www.suredividend.com/sure-analysis-research-database/","Curtiss-Wright Corp.")</f>
        <v>0</v>
      </c>
      <c r="C762">
        <v>-0.018221916916735</v>
      </c>
      <c r="D762">
        <v>0.119532051681112</v>
      </c>
      <c r="E762">
        <v>0.265501283909422</v>
      </c>
      <c r="F762">
        <v>0.219832120913191</v>
      </c>
      <c r="G762">
        <v>0.600398405200484</v>
      </c>
      <c r="H762">
        <v>0.8551399091797821</v>
      </c>
      <c r="I762">
        <v>1.36256780800167</v>
      </c>
    </row>
    <row r="763" spans="1:9">
      <c r="A763" s="8" t="s">
        <v>775</v>
      </c>
      <c r="B763">
        <f>HYPERLINK("https://www.suredividend.com/sure-analysis-research-database/","Community West Bancshares.")</f>
        <v>0</v>
      </c>
      <c r="C763">
        <v>-0.006369426751592001</v>
      </c>
      <c r="D763">
        <v>-0.10764430577223</v>
      </c>
      <c r="E763">
        <v>-0.09385660122297601</v>
      </c>
      <c r="F763">
        <v>-0.222783846948203</v>
      </c>
      <c r="G763">
        <v>0.115379365481738</v>
      </c>
      <c r="H763">
        <v>0.093146810381072</v>
      </c>
      <c r="I763">
        <v>0.026328066125193</v>
      </c>
    </row>
    <row r="764" spans="1:9">
      <c r="A764" s="8" t="s">
        <v>776</v>
      </c>
      <c r="B764">
        <f>HYPERLINK("https://www.suredividend.com/sure-analysis-research-database/","CohBar Inc")</f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>
      <c r="A765" s="8" t="s">
        <v>777</v>
      </c>
      <c r="B765">
        <f>HYPERLINK("https://www.suredividend.com/sure-analysis-CWEN/","Clearway Energy Inc")</f>
        <v>0</v>
      </c>
      <c r="C765">
        <v>0.102886992974929</v>
      </c>
      <c r="D765">
        <v>0.236012277538436</v>
      </c>
      <c r="E765">
        <v>0.115735851400882</v>
      </c>
      <c r="F765">
        <v>0.015266686514741</v>
      </c>
      <c r="G765">
        <v>-0.064216168149308</v>
      </c>
      <c r="H765">
        <v>-0.186090424326651</v>
      </c>
      <c r="I765">
        <v>1.122128745628131</v>
      </c>
    </row>
    <row r="766" spans="1:9">
      <c r="A766" s="8" t="s">
        <v>778</v>
      </c>
      <c r="B766">
        <f>HYPERLINK("https://www.suredividend.com/sure-analysis-CWH/","Camping World Holdings Inc")</f>
        <v>0</v>
      </c>
      <c r="C766">
        <v>-0.063054187192118</v>
      </c>
      <c r="D766">
        <v>-0.295438128576985</v>
      </c>
      <c r="E766">
        <v>-0.158634173961895</v>
      </c>
      <c r="F766">
        <v>-0.272362793331139</v>
      </c>
      <c r="G766">
        <v>-0.322420334514882</v>
      </c>
      <c r="H766">
        <v>-0.179879008438363</v>
      </c>
      <c r="I766">
        <v>1.00596939367413</v>
      </c>
    </row>
    <row r="767" spans="1:9">
      <c r="A767" s="8" t="s">
        <v>779</v>
      </c>
      <c r="B767">
        <f>HYPERLINK("https://www.suredividend.com/sure-analysis-research-database/","Casella Waste Systems, Inc.")</f>
        <v>0</v>
      </c>
      <c r="C767">
        <v>0.000104876769795</v>
      </c>
      <c r="D767">
        <v>0.012099341965612</v>
      </c>
      <c r="E767">
        <v>0.131332305137026</v>
      </c>
      <c r="F767">
        <v>0.115843669553007</v>
      </c>
      <c r="G767">
        <v>0.033264709069238</v>
      </c>
      <c r="H767">
        <v>0.307734503565551</v>
      </c>
      <c r="I767">
        <v>1.418463099163073</v>
      </c>
    </row>
    <row r="768" spans="1:9">
      <c r="A768" s="8" t="s">
        <v>780</v>
      </c>
      <c r="B768">
        <f>HYPERLINK("https://www.suredividend.com/sure-analysis-CWT/","California Water Service Group")</f>
        <v>0</v>
      </c>
      <c r="C768">
        <v>-0.071052117899668</v>
      </c>
      <c r="D768">
        <v>0.03493869526829201</v>
      </c>
      <c r="E768">
        <v>-0.087307066801681</v>
      </c>
      <c r="F768">
        <v>-0.071823937151616</v>
      </c>
      <c r="G768">
        <v>-0.157742345968082</v>
      </c>
      <c r="H768">
        <v>-0.10421015579854</v>
      </c>
      <c r="I768">
        <v>0.03563913014147201</v>
      </c>
    </row>
    <row r="769" spans="1:9">
      <c r="A769" s="8" t="s">
        <v>781</v>
      </c>
      <c r="B769">
        <f>HYPERLINK("https://www.suredividend.com/sure-analysis-research-database/","Concho Resources Inc")</f>
        <v>0</v>
      </c>
      <c r="C769">
        <v>0.101410342511752</v>
      </c>
      <c r="D769">
        <v>0.35593220338983</v>
      </c>
      <c r="E769">
        <v>0.311457056778493</v>
      </c>
      <c r="F769">
        <v>0.124250214224507</v>
      </c>
      <c r="G769">
        <v>-0.261109822058124</v>
      </c>
      <c r="H769">
        <v>-0.463728509287878</v>
      </c>
      <c r="I769">
        <v>-0.131124676986327</v>
      </c>
    </row>
    <row r="770" spans="1:9">
      <c r="A770" s="8" t="s">
        <v>782</v>
      </c>
      <c r="B770">
        <f>HYPERLINK("https://www.suredividend.com/sure-analysis-research-database/","Columbia Property Trust Inc")</f>
        <v>0</v>
      </c>
      <c r="C770">
        <v>0.005738132498695</v>
      </c>
      <c r="D770">
        <v>0.012073490813648</v>
      </c>
      <c r="E770">
        <v>0.039594083803792</v>
      </c>
      <c r="F770">
        <v>0.397759814405336</v>
      </c>
      <c r="G770">
        <v>0.39097310400554</v>
      </c>
      <c r="H770">
        <v>0.022079677684417</v>
      </c>
      <c r="I770">
        <v>0.114012989114105</v>
      </c>
    </row>
    <row r="771" spans="1:9">
      <c r="A771" s="8" t="s">
        <v>783</v>
      </c>
      <c r="B771">
        <f>HYPERLINK("https://www.suredividend.com/sure-analysis-research-database/","CoreCivic Inc")</f>
        <v>0</v>
      </c>
      <c r="C771">
        <v>0.007184846505551</v>
      </c>
      <c r="D771">
        <v>0.038383838383838</v>
      </c>
      <c r="E771">
        <v>0.121454545454545</v>
      </c>
      <c r="F771">
        <v>0.061252580867171</v>
      </c>
      <c r="G771">
        <v>0.6300211416490481</v>
      </c>
      <c r="H771">
        <v>0.180704441041347</v>
      </c>
      <c r="I771">
        <v>-0.24455091932568</v>
      </c>
    </row>
    <row r="772" spans="1:9">
      <c r="A772" s="8" t="s">
        <v>784</v>
      </c>
      <c r="B772">
        <f>HYPERLINK("https://www.suredividend.com/sure-analysis-research-database/","Cyanotech Corp.")</f>
        <v>0</v>
      </c>
      <c r="C772">
        <v>0.289989680082559</v>
      </c>
      <c r="D772">
        <v>0.205787781350482</v>
      </c>
      <c r="E772">
        <v>0.436231328992723</v>
      </c>
      <c r="F772">
        <v>0.436231328992723</v>
      </c>
      <c r="G772">
        <v>0.436231328992723</v>
      </c>
      <c r="H772">
        <v>0.436231328992723</v>
      </c>
      <c r="I772">
        <v>0.436231328992723</v>
      </c>
    </row>
    <row r="773" spans="1:9">
      <c r="A773" s="8" t="s">
        <v>785</v>
      </c>
      <c r="B773">
        <f>HYPERLINK("https://www.suredividend.com/sure-analysis-research-database/","Cyberoptics Corp.")</f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1:9">
      <c r="A774" s="8" t="s">
        <v>786</v>
      </c>
      <c r="B774">
        <f>HYPERLINK("https://www.suredividend.com/sure-analysis-research-database/","Cyclacel Pharmaceuticals Inc")</f>
        <v>0</v>
      </c>
      <c r="C774">
        <v>-0.0521327014218</v>
      </c>
      <c r="D774">
        <v>-0.196787148594377</v>
      </c>
      <c r="E774">
        <v>-0.5061728395061721</v>
      </c>
      <c r="F774">
        <v>-0.250936329588014</v>
      </c>
      <c r="G774">
        <v>-0.8053527980535281</v>
      </c>
      <c r="H774">
        <v>-0.8907103825136611</v>
      </c>
      <c r="I774">
        <v>-0.988088857125841</v>
      </c>
    </row>
    <row r="775" spans="1:9">
      <c r="A775" s="8" t="s">
        <v>787</v>
      </c>
      <c r="B775">
        <f>HYPERLINK("https://www.suredividend.com/sure-analysis-research-database/","Cyclerion Therapeutics Inc")</f>
        <v>0</v>
      </c>
      <c r="C775">
        <v>-0.102112676056338</v>
      </c>
      <c r="D775">
        <v>-0.177419354838709</v>
      </c>
      <c r="E775">
        <v>0.05371900826446201</v>
      </c>
      <c r="F775">
        <v>-0.238805970149253</v>
      </c>
      <c r="G775">
        <v>-0.431222536970535</v>
      </c>
      <c r="H775">
        <v>-0.810830860534124</v>
      </c>
      <c r="I775">
        <v>-0.9874011857707511</v>
      </c>
    </row>
    <row r="776" spans="1:9">
      <c r="A776" s="8" t="s">
        <v>788</v>
      </c>
      <c r="B776">
        <f>HYPERLINK("https://www.suredividend.com/sure-analysis-research-database/","Community Health Systems, Inc.")</f>
        <v>0</v>
      </c>
      <c r="C776">
        <v>0.118694362017804</v>
      </c>
      <c r="D776">
        <v>0.365942028985507</v>
      </c>
      <c r="E776">
        <v>0.46692607003891</v>
      </c>
      <c r="F776">
        <v>0.204472843450479</v>
      </c>
      <c r="G776">
        <v>-0.018229166666666</v>
      </c>
      <c r="H776">
        <v>-0.281904761904761</v>
      </c>
      <c r="I776">
        <v>0.38095238095238</v>
      </c>
    </row>
    <row r="777" spans="1:9">
      <c r="A777" s="8" t="s">
        <v>789</v>
      </c>
      <c r="B777">
        <f>HYPERLINK("https://www.suredividend.com/sure-analysis-research-database/","CryoPort Inc")</f>
        <v>0</v>
      </c>
      <c r="C777">
        <v>-0.323170731707317</v>
      </c>
      <c r="D777">
        <v>-0.360967184801381</v>
      </c>
      <c r="E777">
        <v>-0.24847664184157</v>
      </c>
      <c r="F777">
        <v>-0.283408650742414</v>
      </c>
      <c r="G777">
        <v>-0.483960948396094</v>
      </c>
      <c r="H777">
        <v>-0.5768204346168511</v>
      </c>
      <c r="I777">
        <v>-0.368241320432555</v>
      </c>
    </row>
    <row r="778" spans="1:9">
      <c r="A778" s="8" t="s">
        <v>790</v>
      </c>
      <c r="B778">
        <f>HYPERLINK("https://www.suredividend.com/sure-analysis-research-database/","Cytokinetics Inc")</f>
        <v>0</v>
      </c>
      <c r="C778">
        <v>-0.191329656862745</v>
      </c>
      <c r="D778">
        <v>-0.198207776427703</v>
      </c>
      <c r="E778">
        <v>0.514343086632243</v>
      </c>
      <c r="F778">
        <v>-0.367708707629656</v>
      </c>
      <c r="G778">
        <v>0.3630260779757291</v>
      </c>
      <c r="H778">
        <v>0.27235478428537</v>
      </c>
      <c r="I778">
        <v>4.348530901722391</v>
      </c>
    </row>
    <row r="779" spans="1:9">
      <c r="A779" s="8" t="s">
        <v>791</v>
      </c>
      <c r="B779">
        <f>HYPERLINK("https://www.suredividend.com/sure-analysis-research-database/","LadRx Corp")</f>
        <v>0</v>
      </c>
      <c r="C779">
        <v>0.161616161616161</v>
      </c>
      <c r="D779">
        <v>-0.03157894736842101</v>
      </c>
      <c r="E779">
        <v>-0.6827586206896551</v>
      </c>
      <c r="F779">
        <v>-0.8178217821782171</v>
      </c>
      <c r="G779">
        <v>-0.8326664241542371</v>
      </c>
      <c r="H779">
        <v>-0.8296296296296291</v>
      </c>
      <c r="I779">
        <v>-0.7860465116279071</v>
      </c>
    </row>
    <row r="780" spans="1:9">
      <c r="A780" s="8" t="s">
        <v>792</v>
      </c>
      <c r="B780">
        <f>HYPERLINK("https://www.suredividend.com/sure-analysis-research-database/","Citizens &amp; Northern Corp")</f>
        <v>0</v>
      </c>
      <c r="C780">
        <v>-0.046603032004491</v>
      </c>
      <c r="D780">
        <v>-0.014200620043426</v>
      </c>
      <c r="E780">
        <v>-0.125395966931932</v>
      </c>
      <c r="F780">
        <v>-0.196749152045262</v>
      </c>
      <c r="G780">
        <v>-0.104075979422239</v>
      </c>
      <c r="H780">
        <v>-0.166830225711481</v>
      </c>
      <c r="I780">
        <v>-0.122181209094574</v>
      </c>
    </row>
    <row r="781" spans="1:9">
      <c r="A781" s="8" t="s">
        <v>793</v>
      </c>
      <c r="B781">
        <f>HYPERLINK("https://www.suredividend.com/sure-analysis-research-database/","Caesars Entertainment Inc")</f>
        <v>0</v>
      </c>
      <c r="C781">
        <v>-0.007977991746905</v>
      </c>
      <c r="D781">
        <v>-0.135044375149915</v>
      </c>
      <c r="E781">
        <v>-0.160419091967404</v>
      </c>
      <c r="F781">
        <v>-0.23080204778157</v>
      </c>
      <c r="G781">
        <v>-0.258177329767537</v>
      </c>
      <c r="H781">
        <v>-0.311437846095092</v>
      </c>
      <c r="I781">
        <v>-0.307337687283903</v>
      </c>
    </row>
    <row r="782" spans="1:9">
      <c r="A782" s="8" t="s">
        <v>794</v>
      </c>
      <c r="B782">
        <f>HYPERLINK("https://www.suredividend.com/sure-analysis-research-database/","Citizens Community Bancorp Inc MD")</f>
        <v>0</v>
      </c>
      <c r="C782">
        <v>-0.0008873114463170001</v>
      </c>
      <c r="D782">
        <v>-0.06633499170812601</v>
      </c>
      <c r="E782">
        <v>0.107886062872041</v>
      </c>
      <c r="F782">
        <v>0.016107927627126</v>
      </c>
      <c r="G782">
        <v>0.356740929957948</v>
      </c>
      <c r="H782">
        <v>-0.108168259977664</v>
      </c>
      <c r="I782">
        <v>0.191332684413221</v>
      </c>
    </row>
    <row r="783" spans="1:9">
      <c r="A783" s="8" t="s">
        <v>795</v>
      </c>
      <c r="B783">
        <f>HYPERLINK("https://www.suredividend.com/sure-analysis-D/","Dominion Energy Inc")</f>
        <v>0</v>
      </c>
      <c r="C783">
        <v>-0.000577038529465</v>
      </c>
      <c r="D783">
        <v>0.08543358260605301</v>
      </c>
      <c r="E783">
        <v>0.118100446457682</v>
      </c>
      <c r="F783">
        <v>0.123811521252796</v>
      </c>
      <c r="G783">
        <v>0.023883312334171</v>
      </c>
      <c r="H783">
        <v>-0.316410143282772</v>
      </c>
      <c r="I783">
        <v>-0.159011282393351</v>
      </c>
    </row>
    <row r="784" spans="1:9">
      <c r="A784" s="8" t="s">
        <v>796</v>
      </c>
      <c r="B784">
        <f>HYPERLINK("https://www.suredividend.com/sure-analysis-research-database/","Data io Corp.")</f>
        <v>0</v>
      </c>
      <c r="C784">
        <v>-0.040677966101694</v>
      </c>
      <c r="D784">
        <v>-0.191428571428571</v>
      </c>
      <c r="E784">
        <v>-0.089768743366247</v>
      </c>
      <c r="F784">
        <v>-0.037414965986394</v>
      </c>
      <c r="G784">
        <v>-0.369710467706013</v>
      </c>
      <c r="H784">
        <v>-0.167647058823529</v>
      </c>
      <c r="I784">
        <v>-0.327790973871733</v>
      </c>
    </row>
    <row r="785" spans="1:9">
      <c r="A785" s="8" t="s">
        <v>797</v>
      </c>
      <c r="B785">
        <f>HYPERLINK("https://www.suredividend.com/sure-analysis-research-database/","Daktronics Inc.")</f>
        <v>0</v>
      </c>
      <c r="C785">
        <v>0.080875356803044</v>
      </c>
      <c r="D785">
        <v>0.283615819209039</v>
      </c>
      <c r="E785">
        <v>0.345971563981042</v>
      </c>
      <c r="F785">
        <v>0.339622641509433</v>
      </c>
      <c r="G785">
        <v>0.6608187134502921</v>
      </c>
      <c r="H785">
        <v>2.218130311614731</v>
      </c>
      <c r="I785">
        <v>0.92633792308214</v>
      </c>
    </row>
    <row r="786" spans="1:9">
      <c r="A786" s="8" t="s">
        <v>798</v>
      </c>
      <c r="B786">
        <f>HYPERLINK("https://www.suredividend.com/sure-analysis-research-database/","Delta Air Lines, Inc.")</f>
        <v>0</v>
      </c>
      <c r="C786">
        <v>-0.031876669840002</v>
      </c>
      <c r="D786">
        <v>0.181300601657661</v>
      </c>
      <c r="E786">
        <v>0.255735329630523</v>
      </c>
      <c r="F786">
        <v>0.259167910689946</v>
      </c>
      <c r="G786">
        <v>0.331541753231839</v>
      </c>
      <c r="H786">
        <v>0.280947555812896</v>
      </c>
      <c r="I786">
        <v>-0.05632843661834801</v>
      </c>
    </row>
    <row r="787" spans="1:9">
      <c r="A787" s="8" t="s">
        <v>799</v>
      </c>
      <c r="B787">
        <f>HYPERLINK("https://www.suredividend.com/sure-analysis-research-database/","Dana Inc")</f>
        <v>0</v>
      </c>
      <c r="C787">
        <v>0.014174365764843</v>
      </c>
      <c r="D787">
        <v>0.08551227643520301</v>
      </c>
      <c r="E787">
        <v>-0.017757601812922</v>
      </c>
      <c r="F787">
        <v>-0.06280199954113401</v>
      </c>
      <c r="G787">
        <v>-0.062378276111512</v>
      </c>
      <c r="H787">
        <v>-0.182802478266668</v>
      </c>
      <c r="I787">
        <v>-0.07523650757716001</v>
      </c>
    </row>
    <row r="788" spans="1:9">
      <c r="A788" s="8" t="s">
        <v>800</v>
      </c>
      <c r="B788">
        <f>HYPERLINK("https://www.suredividend.com/sure-analysis-research-database/","Darling Ingredients Inc")</f>
        <v>0</v>
      </c>
      <c r="C788">
        <v>-0.167789757412399</v>
      </c>
      <c r="D788">
        <v>-0.150618982118294</v>
      </c>
      <c r="E788">
        <v>-0.20271142672692</v>
      </c>
      <c r="F788">
        <v>-0.256621187800963</v>
      </c>
      <c r="G788">
        <v>-0.432705558107487</v>
      </c>
      <c r="H788">
        <v>-0.575017205781142</v>
      </c>
      <c r="I788">
        <v>0.9256756756756751</v>
      </c>
    </row>
    <row r="789" spans="1:9">
      <c r="A789" s="8" t="s">
        <v>801</v>
      </c>
      <c r="B789">
        <f>HYPERLINK("https://www.suredividend.com/sure-analysis-research-database/","Dare Bioscience Inc")</f>
        <v>0</v>
      </c>
      <c r="C789">
        <v>0.6774193548387091</v>
      </c>
      <c r="D789">
        <v>0.054766734279918</v>
      </c>
      <c r="E789">
        <v>0.6255079712410121</v>
      </c>
      <c r="F789">
        <v>0.682847896440129</v>
      </c>
      <c r="G789">
        <v>-0.474322684997978</v>
      </c>
      <c r="H789">
        <v>-0.6060606060606061</v>
      </c>
      <c r="I789">
        <v>-0.402298850574712</v>
      </c>
    </row>
    <row r="790" spans="1:9">
      <c r="A790" s="8" t="s">
        <v>802</v>
      </c>
      <c r="B790">
        <f>HYPERLINK("https://www.suredividend.com/sure-analysis-research-database/","Dave Inc")</f>
        <v>0</v>
      </c>
      <c r="C790">
        <v>-0.280688336520076</v>
      </c>
      <c r="D790">
        <v>0.014016172506738</v>
      </c>
      <c r="E790">
        <v>4.532352941176471</v>
      </c>
      <c r="F790">
        <v>3.486583184257602</v>
      </c>
      <c r="G790">
        <v>5.542608695652174</v>
      </c>
      <c r="H790">
        <v>-0.141879562043795</v>
      </c>
      <c r="I790">
        <v>2.838775510204081</v>
      </c>
    </row>
    <row r="791" spans="1:9">
      <c r="A791" s="8" t="s">
        <v>803</v>
      </c>
      <c r="B791">
        <f>HYPERLINK("https://www.suredividend.com/sure-analysis-research-database/","Diebold Nixdorf Inc")</f>
        <v>0</v>
      </c>
      <c r="C791">
        <v>0.049837215126471</v>
      </c>
      <c r="D791">
        <v>0.261890427453341</v>
      </c>
      <c r="E791">
        <v>0.5133574007220211</v>
      </c>
      <c r="F791">
        <v>0.4480138169257341</v>
      </c>
      <c r="G791">
        <v>1.037919299951385</v>
      </c>
      <c r="H791">
        <v>1.037919299951385</v>
      </c>
      <c r="I791">
        <v>1.037919299951385</v>
      </c>
    </row>
    <row r="792" spans="1:9">
      <c r="A792" s="8" t="s">
        <v>804</v>
      </c>
      <c r="B792">
        <f>HYPERLINK("https://www.suredividend.com/sure-analysis-research-database/","Designer Brands Inc")</f>
        <v>0</v>
      </c>
      <c r="C792">
        <v>-0.191422969069556</v>
      </c>
      <c r="D792">
        <v>-0.243798556611586</v>
      </c>
      <c r="E792">
        <v>-0.115176964607078</v>
      </c>
      <c r="F792">
        <v>-0.124179274907222</v>
      </c>
      <c r="G792">
        <v>0.08993761634764301</v>
      </c>
      <c r="H792">
        <v>-0.4874262381630211</v>
      </c>
      <c r="I792">
        <v>-0.549755799755799</v>
      </c>
    </row>
    <row r="793" spans="1:9">
      <c r="A793" s="8" t="s">
        <v>805</v>
      </c>
      <c r="B793">
        <f>HYPERLINK("https://www.suredividend.com/sure-analysis-research-database/","Dropbox Inc")</f>
        <v>0</v>
      </c>
      <c r="C793">
        <v>-0.09275730622617501</v>
      </c>
      <c r="D793">
        <v>-0.113043478260869</v>
      </c>
      <c r="E793">
        <v>-0.226714801444043</v>
      </c>
      <c r="F793">
        <v>-0.273405698778833</v>
      </c>
      <c r="G793">
        <v>-0.08461538461538401</v>
      </c>
      <c r="H793">
        <v>-0.07592752372735101</v>
      </c>
      <c r="I793">
        <v>-0.06990881458966501</v>
      </c>
    </row>
    <row r="794" spans="1:9">
      <c r="A794" s="8" t="s">
        <v>806</v>
      </c>
      <c r="B794">
        <f>HYPERLINK("https://www.suredividend.com/sure-analysis-DCI/","Donaldson Co. Inc.")</f>
        <v>0</v>
      </c>
      <c r="C794">
        <v>-0.022696929238985</v>
      </c>
      <c r="D794">
        <v>-0.006109979633401001</v>
      </c>
      <c r="E794">
        <v>0.199378682518564</v>
      </c>
      <c r="F794">
        <v>0.124315158440888</v>
      </c>
      <c r="G794">
        <v>0.204607128575354</v>
      </c>
      <c r="H794">
        <v>0.412592918509598</v>
      </c>
      <c r="I794">
        <v>0.6117703271321271</v>
      </c>
    </row>
    <row r="795" spans="1:9">
      <c r="A795" s="8" t="s">
        <v>807</v>
      </c>
      <c r="B795">
        <f>HYPERLINK("https://www.suredividend.com/sure-analysis-research-database/","Ducommun Inc.")</f>
        <v>0</v>
      </c>
      <c r="C795">
        <v>0.05074302283436</v>
      </c>
      <c r="D795">
        <v>0.160296177706623</v>
      </c>
      <c r="E795">
        <v>0.130434782608695</v>
      </c>
      <c r="F795">
        <v>0.113714944295044</v>
      </c>
      <c r="G795">
        <v>0.267322404371584</v>
      </c>
      <c r="H795">
        <v>0.248492678725236</v>
      </c>
      <c r="I795">
        <v>0.276530162923822</v>
      </c>
    </row>
    <row r="796" spans="1:9">
      <c r="A796" s="8" t="s">
        <v>808</v>
      </c>
      <c r="B796">
        <f>HYPERLINK("https://www.suredividend.com/sure-analysis-research-database/","Dime Community Bancshares Inc")</f>
        <v>0</v>
      </c>
      <c r="C796">
        <v>-0.067007672634271</v>
      </c>
      <c r="D796">
        <v>0.0006473486136860001</v>
      </c>
      <c r="E796">
        <v>-0.181453458628396</v>
      </c>
      <c r="F796">
        <v>-0.299692463631232</v>
      </c>
      <c r="G796">
        <v>0.039689461174096</v>
      </c>
      <c r="H796">
        <v>-0.341822761241154</v>
      </c>
      <c r="I796">
        <v>-0.324779553851051</v>
      </c>
    </row>
    <row r="797" spans="1:9">
      <c r="A797" s="8" t="s">
        <v>809</v>
      </c>
      <c r="B797">
        <f>HYPERLINK("https://www.suredividend.com/sure-analysis-research-database/","Deciphera Pharmaceuticals Inc")</f>
        <v>0</v>
      </c>
      <c r="C797">
        <v>0.007486209613869001</v>
      </c>
      <c r="D797">
        <v>0.510336680448907</v>
      </c>
      <c r="E797">
        <v>0.696748506967485</v>
      </c>
      <c r="F797">
        <v>0.585244885306881</v>
      </c>
      <c r="G797">
        <v>0.8435472242249461</v>
      </c>
      <c r="H797">
        <v>1.137959866220735</v>
      </c>
      <c r="I797">
        <v>0.166514598540145</v>
      </c>
    </row>
    <row r="798" spans="1:9">
      <c r="A798" s="8" t="s">
        <v>810</v>
      </c>
      <c r="B798">
        <f>HYPERLINK("https://www.suredividend.com/sure-analysis-DD/","DuPont de Nemours Inc")</f>
        <v>0</v>
      </c>
      <c r="C798">
        <v>0.01378833224787</v>
      </c>
      <c r="D798">
        <v>0.129137418606423</v>
      </c>
      <c r="E798">
        <v>0.142882446376944</v>
      </c>
      <c r="F798">
        <v>0.050625963500563</v>
      </c>
      <c r="G798">
        <v>0.148984568193763</v>
      </c>
      <c r="H798">
        <v>0.225737265415549</v>
      </c>
      <c r="I798">
        <v>0.196985768121969</v>
      </c>
    </row>
    <row r="799" spans="1:9">
      <c r="A799" s="8" t="s">
        <v>811</v>
      </c>
      <c r="B799">
        <f>HYPERLINK("https://www.suredividend.com/sure-analysis-research-database/","3D Systems Corp.")</f>
        <v>0</v>
      </c>
      <c r="C799">
        <v>0.116531165311653</v>
      </c>
      <c r="D799">
        <v>-0.148760330578512</v>
      </c>
      <c r="E799">
        <v>-0.305227655986509</v>
      </c>
      <c r="F799">
        <v>-0.351181102362204</v>
      </c>
      <c r="G799">
        <v>-0.585095669687814</v>
      </c>
      <c r="H799">
        <v>-0.6206261510128911</v>
      </c>
      <c r="I799">
        <v>-0.51472320376914</v>
      </c>
    </row>
    <row r="800" spans="1:9">
      <c r="A800" s="8" t="s">
        <v>812</v>
      </c>
      <c r="B800">
        <f>HYPERLINK("https://www.suredividend.com/sure-analysis-DDS/","Dillard`s Inc.")</f>
        <v>0</v>
      </c>
      <c r="C800">
        <v>-0.01148631540179</v>
      </c>
      <c r="D800">
        <v>0.08237972312412101</v>
      </c>
      <c r="E800">
        <v>0.248451572934439</v>
      </c>
      <c r="F800">
        <v>0.06449405175775101</v>
      </c>
      <c r="G800">
        <v>0.365377828507476</v>
      </c>
      <c r="H800">
        <v>0.422035254844784</v>
      </c>
      <c r="I800">
        <v>8.013119646728693</v>
      </c>
    </row>
    <row r="801" spans="1:9">
      <c r="A801" s="8" t="s">
        <v>813</v>
      </c>
      <c r="B801">
        <f>HYPERLINK("https://www.suredividend.com/sure-analysis-DE/","Deere &amp; Co.")</f>
        <v>0</v>
      </c>
      <c r="C801">
        <v>-0.091204970781862</v>
      </c>
      <c r="D801">
        <v>-0.014322252280874</v>
      </c>
      <c r="E801">
        <v>0.027915299199264</v>
      </c>
      <c r="F801">
        <v>-0.07483778661880701</v>
      </c>
      <c r="G801">
        <v>-0.021095396853684</v>
      </c>
      <c r="H801">
        <v>0.029250909858586</v>
      </c>
      <c r="I801">
        <v>1.660760603013333</v>
      </c>
    </row>
    <row r="802" spans="1:9">
      <c r="A802" s="8" t="s">
        <v>814</v>
      </c>
      <c r="B802">
        <f>HYPERLINK("https://www.suredividend.com/sure-analysis-DEA/","Easterly Government Properties Inc")</f>
        <v>0</v>
      </c>
      <c r="C802">
        <v>0.019238991021804</v>
      </c>
      <c r="D802">
        <v>0.050868376972582</v>
      </c>
      <c r="E802">
        <v>-0.018380657487317</v>
      </c>
      <c r="F802">
        <v>-0.07243128832446201</v>
      </c>
      <c r="G802">
        <v>-0.124938518121554</v>
      </c>
      <c r="H802">
        <v>-0.278817066382711</v>
      </c>
      <c r="I802">
        <v>-0.123651842757261</v>
      </c>
    </row>
    <row r="803" spans="1:9">
      <c r="A803" s="8" t="s">
        <v>815</v>
      </c>
      <c r="B803">
        <f>HYPERLINK("https://www.suredividend.com/sure-analysis-research-database/","Deckers Outdoor Corp.")</f>
        <v>0</v>
      </c>
      <c r="C803">
        <v>0.210962684663373</v>
      </c>
      <c r="D803">
        <v>0.143985452474065</v>
      </c>
      <c r="E803">
        <v>0.5038593358486211</v>
      </c>
      <c r="F803">
        <v>0.5623326301931391</v>
      </c>
      <c r="G803">
        <v>1.096460763254572</v>
      </c>
      <c r="H803">
        <v>2.832752229603258</v>
      </c>
      <c r="I803">
        <v>5.513503399239069</v>
      </c>
    </row>
    <row r="804" spans="1:9">
      <c r="A804" s="8" t="s">
        <v>816</v>
      </c>
      <c r="B804">
        <f>HYPERLINK("https://www.suredividend.com/sure-analysis-DEI/","Douglas Emmett Inc")</f>
        <v>0</v>
      </c>
      <c r="C804">
        <v>-0.026928675400291</v>
      </c>
      <c r="D804">
        <v>-0.003220707959323</v>
      </c>
      <c r="E804">
        <v>-0.032288417136529</v>
      </c>
      <c r="F804">
        <v>-0.06440032749487401</v>
      </c>
      <c r="G804">
        <v>0.105470300304272</v>
      </c>
      <c r="H804">
        <v>-0.453587644623539</v>
      </c>
      <c r="I804">
        <v>-0.5981739002377291</v>
      </c>
    </row>
    <row r="805" spans="1:9">
      <c r="A805" s="8" t="s">
        <v>817</v>
      </c>
      <c r="B805">
        <f>HYPERLINK("https://www.suredividend.com/sure-analysis-research-database/","Dell Technologies Inc")</f>
        <v>0</v>
      </c>
      <c r="C805">
        <v>0.018972951783614</v>
      </c>
      <c r="D805">
        <v>0.08278376315885901</v>
      </c>
      <c r="E805">
        <v>0.9107503043204681</v>
      </c>
      <c r="F805">
        <v>0.7131814928418611</v>
      </c>
      <c r="G805">
        <v>1.784621911034361</v>
      </c>
      <c r="H805">
        <v>1.684609505711276</v>
      </c>
      <c r="I805">
        <v>4.055388732438193</v>
      </c>
    </row>
    <row r="806" spans="1:9">
      <c r="A806" s="8" t="s">
        <v>818</v>
      </c>
      <c r="B806">
        <f>HYPERLINK("https://www.suredividend.com/sure-analysis-research-database/","Denny`s Corp.")</f>
        <v>0</v>
      </c>
      <c r="C806">
        <v>-0.131414267834793</v>
      </c>
      <c r="D806">
        <v>-0.256162915326902</v>
      </c>
      <c r="E806">
        <v>-0.324902723735408</v>
      </c>
      <c r="F806">
        <v>-0.362132352941176</v>
      </c>
      <c r="G806">
        <v>-0.413355874894336</v>
      </c>
      <c r="H806">
        <v>-0.328820116054158</v>
      </c>
      <c r="I806">
        <v>-0.66375968992248</v>
      </c>
    </row>
    <row r="807" spans="1:9">
      <c r="A807" s="8" t="s">
        <v>819</v>
      </c>
      <c r="B807">
        <f>HYPERLINK("https://www.suredividend.com/sure-analysis-research-database/","Journey Medical Corp")</f>
        <v>0</v>
      </c>
      <c r="C807">
        <v>0.366279069767441</v>
      </c>
      <c r="D807">
        <v>0.354466858789625</v>
      </c>
      <c r="E807">
        <v>-0.296407185628742</v>
      </c>
      <c r="F807">
        <v>-0.184027777777777</v>
      </c>
      <c r="G807">
        <v>1.596685082872928</v>
      </c>
      <c r="H807">
        <v>0.223958333333333</v>
      </c>
      <c r="I807">
        <v>-0.6835016835016831</v>
      </c>
    </row>
    <row r="808" spans="1:9">
      <c r="A808" s="8" t="s">
        <v>820</v>
      </c>
      <c r="B808">
        <f>HYPERLINK("https://www.suredividend.com/sure-analysis-research-database/","Donnelley Financial Solutions Inc")</f>
        <v>0</v>
      </c>
      <c r="C808">
        <v>-0.07218953728732701</v>
      </c>
      <c r="D808">
        <v>-0.0664</v>
      </c>
      <c r="E808">
        <v>-0.026364091440013</v>
      </c>
      <c r="F808">
        <v>-0.064454064454064</v>
      </c>
      <c r="G808">
        <v>0.260531432274789</v>
      </c>
      <c r="H808">
        <v>0.8517930815614091</v>
      </c>
      <c r="I808">
        <v>3.61629746835443</v>
      </c>
    </row>
    <row r="809" spans="1:9">
      <c r="A809" s="8" t="s">
        <v>821</v>
      </c>
      <c r="B809">
        <f>HYPERLINK("https://www.suredividend.com/sure-analysis-DFS/","Discover Financial Services")</f>
        <v>0</v>
      </c>
      <c r="C809">
        <v>0.016117957545957</v>
      </c>
      <c r="D809">
        <v>0.03359386960497501</v>
      </c>
      <c r="E809">
        <v>0.234369023959013</v>
      </c>
      <c r="F809">
        <v>0.123781520317142</v>
      </c>
      <c r="G809">
        <v>0.134814922498228</v>
      </c>
      <c r="H809">
        <v>0.161027765202817</v>
      </c>
      <c r="I809">
        <v>0.801066508238184</v>
      </c>
    </row>
    <row r="810" spans="1:9">
      <c r="A810" s="8" t="s">
        <v>822</v>
      </c>
      <c r="B810">
        <f>HYPERLINK("https://www.suredividend.com/sure-analysis-DG/","Dollar General Corp.")</f>
        <v>0</v>
      </c>
      <c r="C810">
        <v>-0.094996426018584</v>
      </c>
      <c r="D810">
        <v>-0.20040317716744</v>
      </c>
      <c r="E810">
        <v>-0.03526344142964701</v>
      </c>
      <c r="F810">
        <v>-0.06116480521079101</v>
      </c>
      <c r="G810">
        <v>-0.171947861688282</v>
      </c>
      <c r="H810">
        <v>-0.4450758314548771</v>
      </c>
      <c r="I810">
        <v>0.000401393182004</v>
      </c>
    </row>
    <row r="811" spans="1:9">
      <c r="A811" s="8" t="s">
        <v>823</v>
      </c>
      <c r="B811">
        <f>HYPERLINK("https://www.suredividend.com/sure-analysis-DGICA/","Donegal Group Inc.")</f>
        <v>0</v>
      </c>
      <c r="C811">
        <v>-0.018712574850299</v>
      </c>
      <c r="D811">
        <v>-0.032829214312061</v>
      </c>
      <c r="E811">
        <v>-0.05877116149505301</v>
      </c>
      <c r="F811">
        <v>-0.029169351076355</v>
      </c>
      <c r="G811">
        <v>-0.08659574023368101</v>
      </c>
      <c r="H811">
        <v>-0.08433095394415101</v>
      </c>
      <c r="I811">
        <v>0.187231152365859</v>
      </c>
    </row>
    <row r="812" spans="1:9">
      <c r="A812" s="8" t="s">
        <v>824</v>
      </c>
      <c r="B812">
        <f>HYPERLINK("https://www.suredividend.com/sure-analysis-research-database/","Digi International, Inc.")</f>
        <v>0</v>
      </c>
      <c r="C812">
        <v>-0.147368421052631</v>
      </c>
      <c r="D812">
        <v>-0.235591506572295</v>
      </c>
      <c r="E812">
        <v>-0.048657718120805</v>
      </c>
      <c r="F812">
        <v>-0.127692307692307</v>
      </c>
      <c r="G812">
        <v>-0.392120075046904</v>
      </c>
      <c r="H812">
        <v>-0.116134060795011</v>
      </c>
      <c r="I812">
        <v>0.9687500000000001</v>
      </c>
    </row>
    <row r="813" spans="1:9">
      <c r="A813" s="8" t="s">
        <v>825</v>
      </c>
      <c r="B813">
        <f>HYPERLINK("https://www.suredividend.com/sure-analysis-research-database/","Digital Ally Inc.")</f>
        <v>0</v>
      </c>
      <c r="C813">
        <v>0.147509157509157</v>
      </c>
      <c r="D813">
        <v>0.2086966586928</v>
      </c>
      <c r="E813">
        <v>0.7212637362637361</v>
      </c>
      <c r="F813">
        <v>0.477688679245282</v>
      </c>
      <c r="G813">
        <v>-0.292844243792325</v>
      </c>
      <c r="H813">
        <v>-0.7444779771615001</v>
      </c>
      <c r="I813">
        <v>-0.7444779771615001</v>
      </c>
    </row>
    <row r="814" spans="1:9">
      <c r="A814" s="8" t="s">
        <v>826</v>
      </c>
      <c r="B814">
        <f>HYPERLINK("https://www.suredividend.com/sure-analysis-DGX/","Quest Diagnostics, Inc.")</f>
        <v>0</v>
      </c>
      <c r="C814">
        <v>0.039433328465021</v>
      </c>
      <c r="D814">
        <v>0.123765823434393</v>
      </c>
      <c r="E814">
        <v>0.064277612411238</v>
      </c>
      <c r="F814">
        <v>0.043745811157829</v>
      </c>
      <c r="G814">
        <v>0.07852697794982801</v>
      </c>
      <c r="H814">
        <v>0.07704006931071401</v>
      </c>
      <c r="I814">
        <v>0.586114754299302</v>
      </c>
    </row>
    <row r="815" spans="1:9">
      <c r="A815" s="8" t="s">
        <v>827</v>
      </c>
      <c r="B815">
        <f>HYPERLINK("https://www.suredividend.com/sure-analysis-DHI/","D.R. Horton Inc.")</f>
        <v>0</v>
      </c>
      <c r="C815">
        <v>-0.07384412153236401</v>
      </c>
      <c r="D815">
        <v>-0.095197227904215</v>
      </c>
      <c r="E815">
        <v>0.032737225014012</v>
      </c>
      <c r="F815">
        <v>-0.07353999298316501</v>
      </c>
      <c r="G815">
        <v>0.241080453381151</v>
      </c>
      <c r="H815">
        <v>0.8936698056766871</v>
      </c>
      <c r="I815">
        <v>2.239743814866501</v>
      </c>
    </row>
    <row r="816" spans="1:9">
      <c r="A816" s="8" t="s">
        <v>828</v>
      </c>
      <c r="B816">
        <f>HYPERLINK("https://www.suredividend.com/sure-analysis-research-database/","Diamond Hill Investment Group, Inc.")</f>
        <v>0</v>
      </c>
      <c r="C816">
        <v>0.007211270272189</v>
      </c>
      <c r="D816">
        <v>-0.002177712310203</v>
      </c>
      <c r="E816">
        <v>-0.06519534505437101</v>
      </c>
      <c r="F816">
        <v>-0.07304211572412</v>
      </c>
      <c r="G816">
        <v>-0.09759659975174201</v>
      </c>
      <c r="H816">
        <v>-0.09914323054156</v>
      </c>
      <c r="I816">
        <v>0.435313570149794</v>
      </c>
    </row>
    <row r="817" spans="1:9">
      <c r="A817" s="8" t="s">
        <v>829</v>
      </c>
      <c r="B817">
        <f>HYPERLINK("https://www.suredividend.com/sure-analysis-DHR/","Danaher Corp.")</f>
        <v>0</v>
      </c>
      <c r="C817">
        <v>0.05756552500401901</v>
      </c>
      <c r="D817">
        <v>0.036385367694621</v>
      </c>
      <c r="E817">
        <v>0.204266108569798</v>
      </c>
      <c r="F817">
        <v>0.13843781129835</v>
      </c>
      <c r="G817">
        <v>0.112612469734936</v>
      </c>
      <c r="H817">
        <v>-0.010958108955513</v>
      </c>
      <c r="I817">
        <v>0.951897030531592</v>
      </c>
    </row>
    <row r="818" spans="1:9">
      <c r="A818" s="8" t="s">
        <v>830</v>
      </c>
      <c r="B818">
        <f>HYPERLINK("https://www.suredividend.com/sure-analysis-research-database/","DHI Group Inc")</f>
        <v>0</v>
      </c>
      <c r="C818">
        <v>-0.268551236749116</v>
      </c>
      <c r="D818">
        <v>-0.278745644599303</v>
      </c>
      <c r="E818">
        <v>-0.18503937007874</v>
      </c>
      <c r="F818">
        <v>-0.2007722007722</v>
      </c>
      <c r="G818">
        <v>-0.493887530562347</v>
      </c>
      <c r="H818">
        <v>-0.6497461928934011</v>
      </c>
      <c r="I818">
        <v>-0.418539325842696</v>
      </c>
    </row>
    <row r="819" spans="1:9">
      <c r="A819" s="8" t="s">
        <v>831</v>
      </c>
      <c r="B819">
        <f>HYPERLINK("https://www.suredividend.com/sure-analysis-research-database/","Dine Brands Global Inc")</f>
        <v>0</v>
      </c>
      <c r="C819">
        <v>-0.134465351078476</v>
      </c>
      <c r="D819">
        <v>-0.242912338802749</v>
      </c>
      <c r="E819">
        <v>-0.218197834084667</v>
      </c>
      <c r="F819">
        <v>-0.231933016088274</v>
      </c>
      <c r="G819">
        <v>-0.397426763069864</v>
      </c>
      <c r="H819">
        <v>-0.457375492706505</v>
      </c>
      <c r="I819">
        <v>-0.5416890435492611</v>
      </c>
    </row>
    <row r="820" spans="1:9">
      <c r="A820" s="8" t="s">
        <v>832</v>
      </c>
      <c r="B820">
        <f>HYPERLINK("https://www.suredividend.com/sure-analysis-research-database/","Diodes, Inc.")</f>
        <v>0</v>
      </c>
      <c r="C820">
        <v>-0.065350934518363</v>
      </c>
      <c r="D820">
        <v>0.008034959120383</v>
      </c>
      <c r="E820">
        <v>0.005483689538807001</v>
      </c>
      <c r="F820">
        <v>-0.111897665176353</v>
      </c>
      <c r="G820">
        <v>-0.229251993964216</v>
      </c>
      <c r="H820">
        <v>-0.064739733193826</v>
      </c>
      <c r="I820">
        <v>1.166313238412602</v>
      </c>
    </row>
    <row r="821" spans="1:9">
      <c r="A821" s="8" t="s">
        <v>833</v>
      </c>
      <c r="B821">
        <f>HYPERLINK("https://www.suredividend.com/sure-analysis-DIS/","Walt Disney Co (The)")</f>
        <v>0</v>
      </c>
      <c r="C821">
        <v>-0.03653098016889601</v>
      </c>
      <c r="D821">
        <v>-0.07841713559629601</v>
      </c>
      <c r="E821">
        <v>0.103096143400325</v>
      </c>
      <c r="F821">
        <v>0.124598515893233</v>
      </c>
      <c r="G821">
        <v>0.101069839968596</v>
      </c>
      <c r="H821">
        <v>-0.054912611527571</v>
      </c>
      <c r="I821">
        <v>-0.252999515192712</v>
      </c>
    </row>
    <row r="822" spans="1:9">
      <c r="A822" s="8" t="s">
        <v>834</v>
      </c>
      <c r="B822">
        <f>HYPERLINK("https://www.suredividend.com/sure-analysis-research-database/","Warner Bros.Discovery Inc")</f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>
      <c r="A823" s="8" t="s">
        <v>835</v>
      </c>
      <c r="B823">
        <f>HYPERLINK("https://www.suredividend.com/sure-analysis-research-database/","Dish Network Corp")</f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>
      <c r="A824" s="8" t="s">
        <v>836</v>
      </c>
      <c r="B824">
        <f>HYPERLINK("https://www.suredividend.com/sure-analysis-research-database/","Amcon Distributing Company")</f>
        <v>0</v>
      </c>
      <c r="C824">
        <v>-0.118168389955686</v>
      </c>
      <c r="D824">
        <v>-0.308389137513756</v>
      </c>
      <c r="E824">
        <v>-0.249513421690816</v>
      </c>
      <c r="F824">
        <v>-0.293003301995356</v>
      </c>
      <c r="G824">
        <v>-0.27750097738106</v>
      </c>
      <c r="H824">
        <v>-0.1152706185567</v>
      </c>
      <c r="I824">
        <v>0.6295698509995661</v>
      </c>
    </row>
    <row r="825" spans="1:9">
      <c r="A825" s="8" t="s">
        <v>837</v>
      </c>
      <c r="B825">
        <f>HYPERLINK("https://www.suredividend.com/sure-analysis-research-database/","Daily Journal Corporation")</f>
        <v>0</v>
      </c>
      <c r="C825">
        <v>-0.038487863949876</v>
      </c>
      <c r="D825">
        <v>-0.06348717948717901</v>
      </c>
      <c r="E825">
        <v>0.125200246457177</v>
      </c>
      <c r="F825">
        <v>0.071650724722727</v>
      </c>
      <c r="G825">
        <v>0.268194444444444</v>
      </c>
      <c r="H825">
        <v>0.257280550774526</v>
      </c>
      <c r="I825">
        <v>0.686164073680808</v>
      </c>
    </row>
    <row r="826" spans="1:9">
      <c r="A826" s="8" t="s">
        <v>838</v>
      </c>
      <c r="B826">
        <f>HYPERLINK("https://www.suredividend.com/sure-analysis-research-database/","Delek US Holdings Inc")</f>
        <v>0</v>
      </c>
      <c r="C826">
        <v>-0.08637513552584</v>
      </c>
      <c r="D826">
        <v>-0.020037291302443</v>
      </c>
      <c r="E826">
        <v>0.010363419088994</v>
      </c>
      <c r="F826">
        <v>-0.001386524248373</v>
      </c>
      <c r="G826">
        <v>0.066104375329467</v>
      </c>
      <c r="H826">
        <v>-0.205935381735257</v>
      </c>
      <c r="I826">
        <v>-0.17744213136197</v>
      </c>
    </row>
    <row r="827" spans="1:9">
      <c r="A827" s="8" t="s">
        <v>839</v>
      </c>
      <c r="B827">
        <f>HYPERLINK("https://www.suredividend.com/sure-analysis-DKS/","Dicks Sporting Goods, Inc.")</f>
        <v>0</v>
      </c>
      <c r="C827">
        <v>0.08076771265048301</v>
      </c>
      <c r="D827">
        <v>0.208531054089557</v>
      </c>
      <c r="E827">
        <v>0.613145534374249</v>
      </c>
      <c r="F827">
        <v>0.4981844644323961</v>
      </c>
      <c r="G827">
        <v>0.6646806518586971</v>
      </c>
      <c r="H827">
        <v>1.830582437079144</v>
      </c>
      <c r="I827">
        <v>6.080404040404041</v>
      </c>
    </row>
    <row r="828" spans="1:9">
      <c r="A828" s="8" t="s">
        <v>840</v>
      </c>
      <c r="B828">
        <f>HYPERLINK("https://www.suredividend.com/sure-analysis-research-database/","Delta Apparel Inc.")</f>
        <v>0</v>
      </c>
      <c r="C828">
        <v>-0.5601503759398491</v>
      </c>
      <c r="D828">
        <v>-0.671348314606741</v>
      </c>
      <c r="E828">
        <v>-0.8680947012401351</v>
      </c>
      <c r="F828">
        <v>-0.8359046283309951</v>
      </c>
      <c r="G828">
        <v>-0.8879310344827581</v>
      </c>
      <c r="H828">
        <v>-0.960659045057162</v>
      </c>
      <c r="I828">
        <v>-0.947415730337078</v>
      </c>
    </row>
    <row r="829" spans="1:9">
      <c r="A829" s="8" t="s">
        <v>841</v>
      </c>
      <c r="B829">
        <f>HYPERLINK("https://www.suredividend.com/sure-analysis-DLB/","Dolby Laboratories Inc")</f>
        <v>0</v>
      </c>
      <c r="C829">
        <v>-0.039801934191037</v>
      </c>
      <c r="D829">
        <v>-0.032805388498977</v>
      </c>
      <c r="E829">
        <v>-0.092560021408035</v>
      </c>
      <c r="F829">
        <v>-0.07244838558092601</v>
      </c>
      <c r="G829">
        <v>-0.029567910067178</v>
      </c>
      <c r="H829">
        <v>0.04865023450911601</v>
      </c>
      <c r="I829">
        <v>0.3377683966335771</v>
      </c>
    </row>
    <row r="830" spans="1:9">
      <c r="A830" s="8" t="s">
        <v>842</v>
      </c>
      <c r="B830">
        <f>HYPERLINK("https://www.suredividend.com/sure-analysis-research-database/","DLH Holdings Corp")</f>
        <v>0</v>
      </c>
      <c r="C830">
        <v>0.09882139619220301</v>
      </c>
      <c r="D830">
        <v>-0.178861788617886</v>
      </c>
      <c r="E830">
        <v>-0.139204545454545</v>
      </c>
      <c r="F830">
        <v>-0.23047619047619</v>
      </c>
      <c r="G830">
        <v>0.104831358249771</v>
      </c>
      <c r="H830">
        <v>-0.297391304347826</v>
      </c>
      <c r="I830">
        <v>1.612068965517241</v>
      </c>
    </row>
    <row r="831" spans="1:9">
      <c r="A831" s="8" t="s">
        <v>843</v>
      </c>
      <c r="B831">
        <f>HYPERLINK("https://www.suredividend.com/sure-analysis-DLR/","Digital Realty Trust Inc")</f>
        <v>0</v>
      </c>
      <c r="C831">
        <v>0.011892415128258</v>
      </c>
      <c r="D831">
        <v>-0.025799180832573</v>
      </c>
      <c r="E831">
        <v>0.111173538960545</v>
      </c>
      <c r="F831">
        <v>0.09675335527089801</v>
      </c>
      <c r="G831">
        <v>0.468145211449024</v>
      </c>
      <c r="H831">
        <v>0.173513162431541</v>
      </c>
      <c r="I831">
        <v>0.510097065138994</v>
      </c>
    </row>
    <row r="832" spans="1:9">
      <c r="A832" s="8" t="s">
        <v>844</v>
      </c>
      <c r="B832">
        <f>HYPERLINK("https://www.suredividend.com/sure-analysis-research-database/","Duluth Holdings Inc")</f>
        <v>0</v>
      </c>
      <c r="C832">
        <v>-0.100478468899521</v>
      </c>
      <c r="D832">
        <v>-0.153153153153153</v>
      </c>
      <c r="E832">
        <v>-0.258382642998027</v>
      </c>
      <c r="F832">
        <v>-0.301115241635687</v>
      </c>
      <c r="G832">
        <v>-0.423312883435582</v>
      </c>
      <c r="H832">
        <v>-0.6701754385964911</v>
      </c>
      <c r="I832">
        <v>-0.753280839895013</v>
      </c>
    </row>
    <row r="833" spans="1:9">
      <c r="A833" s="8" t="s">
        <v>845</v>
      </c>
      <c r="B833">
        <f>HYPERLINK("https://www.suredividend.com/sure-analysis-research-database/","Dollar Tree Inc")</f>
        <v>0</v>
      </c>
      <c r="C833">
        <v>-0.08531273115805001</v>
      </c>
      <c r="D833">
        <v>-0.258165577922943</v>
      </c>
      <c r="E833">
        <v>-0.121903108726526</v>
      </c>
      <c r="F833">
        <v>-0.21654347060894</v>
      </c>
      <c r="G833">
        <v>-0.159059996977482</v>
      </c>
      <c r="H833">
        <v>-0.312770161788316</v>
      </c>
      <c r="I833">
        <v>0.084275136399064</v>
      </c>
    </row>
    <row r="834" spans="1:9">
      <c r="A834" s="8" t="s">
        <v>846</v>
      </c>
      <c r="B834">
        <f>HYPERLINK("https://www.suredividend.com/sure-analysis-research-database/","Deluxe Corp.")</f>
        <v>0</v>
      </c>
      <c r="C834">
        <v>-0.00348779272546</v>
      </c>
      <c r="D834">
        <v>0.153146290889086</v>
      </c>
      <c r="E834">
        <v>0.20916301514227</v>
      </c>
      <c r="F834">
        <v>0.044556566571315</v>
      </c>
      <c r="G834">
        <v>0.30637486966214</v>
      </c>
      <c r="H834">
        <v>0.05078471445648301</v>
      </c>
      <c r="I834">
        <v>-0.303294013122361</v>
      </c>
    </row>
    <row r="835" spans="1:9">
      <c r="A835" s="8" t="s">
        <v>847</v>
      </c>
      <c r="B835">
        <f>HYPERLINK("https://www.suredividend.com/sure-analysis-research-database/","Digimarc Corporation")</f>
        <v>0</v>
      </c>
      <c r="C835">
        <v>0.224107919930374</v>
      </c>
      <c r="D835">
        <v>-0.08011772400261601</v>
      </c>
      <c r="E835">
        <v>-0.159796893667861</v>
      </c>
      <c r="F835">
        <v>-0.221207087486157</v>
      </c>
      <c r="G835">
        <v>-0.105848696757787</v>
      </c>
      <c r="H835">
        <v>0.6744047619047611</v>
      </c>
      <c r="I835">
        <v>-0.47694310152473</v>
      </c>
    </row>
    <row r="836" spans="1:9">
      <c r="A836" s="8" t="s">
        <v>848</v>
      </c>
      <c r="B836">
        <f>HYPERLINK("https://www.suredividend.com/sure-analysis-research-database/","Dunkin Brands Group Inc")</f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</row>
    <row r="837" spans="1:9">
      <c r="A837" s="8" t="s">
        <v>849</v>
      </c>
      <c r="B837">
        <f>HYPERLINK("https://www.suredividend.com/sure-analysis-research-database/","Denali Therapeutics Inc")</f>
        <v>0</v>
      </c>
      <c r="C837">
        <v>0.232640949554896</v>
      </c>
      <c r="D837">
        <v>0.011690209449585</v>
      </c>
      <c r="E837">
        <v>0.108324439701174</v>
      </c>
      <c r="F837">
        <v>-0.03215284249767</v>
      </c>
      <c r="G837">
        <v>-0.325211176088369</v>
      </c>
      <c r="H837">
        <v>-0.172839506172839</v>
      </c>
      <c r="I837">
        <v>0.090288713910761</v>
      </c>
    </row>
    <row r="838" spans="1:9">
      <c r="A838" s="8" t="s">
        <v>850</v>
      </c>
      <c r="B838">
        <f>HYPERLINK("https://www.suredividend.com/sure-analysis-research-database/","Dnow Inc")</f>
        <v>0</v>
      </c>
      <c r="C838">
        <v>-0.07660738714090201</v>
      </c>
      <c r="D838">
        <v>-0.090296495956873</v>
      </c>
      <c r="E838">
        <v>0.264044943820224</v>
      </c>
      <c r="F838">
        <v>0.192579505300353</v>
      </c>
      <c r="G838">
        <v>0.332675222112536</v>
      </c>
      <c r="H838">
        <v>0.125938281901584</v>
      </c>
      <c r="I838">
        <v>-0.011713030746705</v>
      </c>
    </row>
    <row r="839" spans="1:9">
      <c r="A839" s="8" t="s">
        <v>851</v>
      </c>
      <c r="B839">
        <f>HYPERLINK("https://www.suredividend.com/sure-analysis-research-database/","Diamond Offshore Drilling, Inc.")</f>
        <v>0</v>
      </c>
      <c r="C839">
        <v>0.016046681254558</v>
      </c>
      <c r="D839">
        <v>0.141803278688524</v>
      </c>
      <c r="E839">
        <v>0.192636986301369</v>
      </c>
      <c r="F839">
        <v>0.07153846153846101</v>
      </c>
      <c r="G839">
        <v>0.149339933993399</v>
      </c>
      <c r="H839">
        <v>0.581157775255391</v>
      </c>
      <c r="I839">
        <v>0.6762936221419971</v>
      </c>
    </row>
    <row r="840" spans="1:9">
      <c r="A840" s="8" t="s">
        <v>852</v>
      </c>
      <c r="B840">
        <f>HYPERLINK("https://www.suredividend.com/sure-analysis-DOC/","Healthpeak Properties Inc.")</f>
        <v>0</v>
      </c>
      <c r="C840">
        <v>0.004687499999999001</v>
      </c>
      <c r="D840">
        <v>0.117256957516434</v>
      </c>
      <c r="E840">
        <v>0.04558512656512501</v>
      </c>
      <c r="F840">
        <v>-0.008802084136208001</v>
      </c>
      <c r="G840">
        <v>-0.050787074170484</v>
      </c>
      <c r="H840">
        <v>-0.207998029233043</v>
      </c>
      <c r="I840">
        <v>-0.207998029233043</v>
      </c>
    </row>
    <row r="841" spans="1:9">
      <c r="A841" s="8" t="s">
        <v>853</v>
      </c>
      <c r="B841">
        <f>HYPERLINK("https://www.suredividend.com/sure-analysis-research-database/","DocuSign Inc")</f>
        <v>0</v>
      </c>
      <c r="C841">
        <v>-0.107357228605728</v>
      </c>
      <c r="D841">
        <v>-0.028192681105302</v>
      </c>
      <c r="E841">
        <v>0.097175379426644</v>
      </c>
      <c r="F841">
        <v>-0.124474348191757</v>
      </c>
      <c r="G841">
        <v>-0.09035302341838501</v>
      </c>
      <c r="H841">
        <v>-0.406770002279462</v>
      </c>
      <c r="I841">
        <v>0.080772425249169</v>
      </c>
    </row>
    <row r="842" spans="1:9">
      <c r="A842" s="8" t="s">
        <v>854</v>
      </c>
      <c r="B842">
        <f>HYPERLINK("https://www.suredividend.com/sure-analysis-research-database/","Domo Inc.")</f>
        <v>0</v>
      </c>
      <c r="C842">
        <v>-0.07067371202113601</v>
      </c>
      <c r="D842">
        <v>-0.3807218309859151</v>
      </c>
      <c r="E842">
        <v>-0.208661417322834</v>
      </c>
      <c r="F842">
        <v>-0.316326530612244</v>
      </c>
      <c r="G842">
        <v>-0.5083857442348</v>
      </c>
      <c r="H842">
        <v>-0.78015625</v>
      </c>
      <c r="I842">
        <v>-0.7640845070422531</v>
      </c>
    </row>
    <row r="843" spans="1:9">
      <c r="A843" s="8" t="s">
        <v>855</v>
      </c>
      <c r="B843">
        <f>HYPERLINK("https://www.suredividend.com/sure-analysis-research-database/","Masonite International Corp")</f>
        <v>0</v>
      </c>
      <c r="C843">
        <v>0.014820473644002</v>
      </c>
      <c r="D843">
        <v>0.024525682554372</v>
      </c>
      <c r="E843">
        <v>0.5181714285714281</v>
      </c>
      <c r="F843">
        <v>0.569099929128277</v>
      </c>
      <c r="G843">
        <v>0.456578947368421</v>
      </c>
      <c r="H843">
        <v>0.55952101432261</v>
      </c>
      <c r="I843">
        <v>1.446408839779005</v>
      </c>
    </row>
    <row r="844" spans="1:9">
      <c r="A844" s="8" t="s">
        <v>856</v>
      </c>
      <c r="B844">
        <f>HYPERLINK("https://www.suredividend.com/sure-analysis-research-database/","Dorman Products Inc")</f>
        <v>0</v>
      </c>
      <c r="C844">
        <v>-0.012586188026704</v>
      </c>
      <c r="D844">
        <v>-0.013234168216121</v>
      </c>
      <c r="E844">
        <v>0.182437745740498</v>
      </c>
      <c r="F844">
        <v>0.08164488670423201</v>
      </c>
      <c r="G844">
        <v>0.065926275992438</v>
      </c>
      <c r="H844">
        <v>-0.12771923039737</v>
      </c>
      <c r="I844">
        <v>0.04324699352451401</v>
      </c>
    </row>
    <row r="845" spans="1:9">
      <c r="A845" s="8" t="s">
        <v>857</v>
      </c>
      <c r="B845">
        <f>HYPERLINK("https://www.suredividend.com/sure-analysis-DOV/","Dover Corp.")</f>
        <v>0</v>
      </c>
      <c r="C845">
        <v>-0.022608722508457</v>
      </c>
      <c r="D845">
        <v>0.033851309056903</v>
      </c>
      <c r="E845">
        <v>0.240678459716104</v>
      </c>
      <c r="F845">
        <v>0.159047595378459</v>
      </c>
      <c r="G845">
        <v>0.250690731042211</v>
      </c>
      <c r="H845">
        <v>0.338587375645142</v>
      </c>
      <c r="I845">
        <v>0.9900374605855341</v>
      </c>
    </row>
    <row r="846" spans="1:9">
      <c r="A846" s="8" t="s">
        <v>858</v>
      </c>
      <c r="B846">
        <f>HYPERLINK("https://www.suredividend.com/sure-analysis-DOW/","Dow Inc")</f>
        <v>0</v>
      </c>
      <c r="C846">
        <v>-0.033274239265059</v>
      </c>
      <c r="D846">
        <v>-0.009165177658657001</v>
      </c>
      <c r="E846">
        <v>0.118638284205983</v>
      </c>
      <c r="F846">
        <v>0.041736763793245</v>
      </c>
      <c r="G846">
        <v>0.08885085498139901</v>
      </c>
      <c r="H846">
        <v>-0.08159666718302401</v>
      </c>
      <c r="I846">
        <v>0.4121695414313261</v>
      </c>
    </row>
    <row r="847" spans="1:9">
      <c r="A847" s="8" t="s">
        <v>859</v>
      </c>
      <c r="B847">
        <f>HYPERLINK("https://www.suredividend.com/sure-analysis-DPZ/","Dominos Pizza Inc")</f>
        <v>0</v>
      </c>
      <c r="C847">
        <v>-0.007114823192777</v>
      </c>
      <c r="D847">
        <v>0.151774782782071</v>
      </c>
      <c r="E847">
        <v>0.285626988178139</v>
      </c>
      <c r="F847">
        <v>0.249956493092563</v>
      </c>
      <c r="G847">
        <v>0.749194971801021</v>
      </c>
      <c r="H847">
        <v>0.3687403218025631</v>
      </c>
      <c r="I847">
        <v>0.887143976352547</v>
      </c>
    </row>
    <row r="848" spans="1:9">
      <c r="A848" s="8" t="s">
        <v>860</v>
      </c>
      <c r="B848">
        <f>HYPERLINK("https://www.suredividend.com/sure-analysis-research-database/","Duke Realty Corp")</f>
        <v>0</v>
      </c>
      <c r="C848">
        <v>-0.160818219646255</v>
      </c>
      <c r="D848">
        <v>-0.138271644667564</v>
      </c>
      <c r="E848">
        <v>-0.177948555270168</v>
      </c>
      <c r="F848">
        <v>-0.254398584285444</v>
      </c>
      <c r="G848">
        <v>0.007788406251633</v>
      </c>
      <c r="H848">
        <v>0.309430343467382</v>
      </c>
      <c r="I848">
        <v>0.9473567258549981</v>
      </c>
    </row>
    <row r="849" spans="1:9">
      <c r="A849" s="8" t="s">
        <v>861</v>
      </c>
      <c r="B849">
        <f>HYPERLINK("https://www.suredividend.com/sure-analysis-research-database/","Diamondrock Hospitality Co.")</f>
        <v>0</v>
      </c>
      <c r="C849">
        <v>-0.055045871559633</v>
      </c>
      <c r="D849">
        <v>-0.128936435616351</v>
      </c>
      <c r="E849">
        <v>-0.030143242193476</v>
      </c>
      <c r="F849">
        <v>-0.119667524919605</v>
      </c>
      <c r="G849">
        <v>-0.015790353789923</v>
      </c>
      <c r="H849">
        <v>-0.231551166195711</v>
      </c>
      <c r="I849">
        <v>-0.120128136679124</v>
      </c>
    </row>
    <row r="850" spans="1:9">
      <c r="A850" s="8" t="s">
        <v>862</v>
      </c>
      <c r="B850">
        <f>HYPERLINK("https://www.suredividend.com/sure-analysis-DRI/","Darden Restaurants, Inc.")</f>
        <v>0</v>
      </c>
      <c r="C850">
        <v>0.010270012922532</v>
      </c>
      <c r="D850">
        <v>-0.135155906575411</v>
      </c>
      <c r="E850">
        <v>-0.06270547093781101</v>
      </c>
      <c r="F850">
        <v>-0.08101757475007</v>
      </c>
      <c r="G850">
        <v>-0.06551110641371101</v>
      </c>
      <c r="H850">
        <v>0.274699775335666</v>
      </c>
      <c r="I850">
        <v>0.3904633348841171</v>
      </c>
    </row>
    <row r="851" spans="1:9">
      <c r="A851" s="8" t="s">
        <v>863</v>
      </c>
      <c r="B851">
        <f>HYPERLINK("https://www.suredividend.com/sure-analysis-research-database/","Dicerna Pharmaceuticals Inc")</f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1:9">
      <c r="A852" s="8" t="s">
        <v>864</v>
      </c>
      <c r="B852">
        <f>HYPERLINK("https://www.suredividend.com/sure-analysis-research-database/","Dril-Quip, Inc.")</f>
        <v>0</v>
      </c>
      <c r="C852">
        <v>-0.073467230443974</v>
      </c>
      <c r="D852">
        <v>-0.220542463317029</v>
      </c>
      <c r="E852">
        <v>-0.162846227316141</v>
      </c>
      <c r="F852">
        <v>-0.246669531585732</v>
      </c>
      <c r="G852">
        <v>-0.310114128295946</v>
      </c>
      <c r="H852">
        <v>-0.4538940809968841</v>
      </c>
      <c r="I852">
        <v>-0.5818225190839691</v>
      </c>
    </row>
    <row r="853" spans="1:9">
      <c r="A853" s="8" t="s">
        <v>865</v>
      </c>
      <c r="B853">
        <f>HYPERLINK("https://www.suredividend.com/sure-analysis-research-database/","Durect Corp")</f>
        <v>0</v>
      </c>
      <c r="C853">
        <v>0.266666666666666</v>
      </c>
      <c r="D853">
        <v>0.551020408163265</v>
      </c>
      <c r="E853">
        <v>1.338461538461538</v>
      </c>
      <c r="F853">
        <v>1.576271186440678</v>
      </c>
      <c r="G853">
        <v>-0.7200736648250461</v>
      </c>
      <c r="H853">
        <v>-0.726962457337883</v>
      </c>
      <c r="I853">
        <v>-0.7058823529411761</v>
      </c>
    </row>
    <row r="854" spans="1:9">
      <c r="A854" s="8" t="s">
        <v>866</v>
      </c>
      <c r="B854">
        <f>HYPERLINK("https://www.suredividend.com/sure-analysis-research-database/","Drive Shack Inc")</f>
        <v>0</v>
      </c>
      <c r="C854">
        <v>-0.6578195181706811</v>
      </c>
      <c r="D854">
        <v>-0.7296774193548381</v>
      </c>
      <c r="E854">
        <v>-0.873030303030303</v>
      </c>
      <c r="F854">
        <v>0</v>
      </c>
      <c r="G854">
        <v>-0.8827972027972021</v>
      </c>
      <c r="H854">
        <v>-0.929579831932773</v>
      </c>
      <c r="I854">
        <v>-0.9708521739130431</v>
      </c>
    </row>
    <row r="855" spans="1:9">
      <c r="A855" s="8" t="s">
        <v>867</v>
      </c>
      <c r="B855">
        <f>HYPERLINK("https://www.suredividend.com/sure-analysis-research-database/","Daseke Inc")</f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</row>
    <row r="856" spans="1:9">
      <c r="A856" s="8" t="s">
        <v>868</v>
      </c>
      <c r="B856">
        <f>HYPERLINK("https://www.suredividend.com/sure-analysis-research-database/","DSP Group, Inc.")</f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</row>
    <row r="857" spans="1:9">
      <c r="A857" s="8" t="s">
        <v>869</v>
      </c>
      <c r="B857">
        <f>HYPERLINK("https://www.suredividend.com/sure-analysis-research-database/","DSS Inc")</f>
        <v>0</v>
      </c>
      <c r="C857">
        <v>0.134146341463414</v>
      </c>
      <c r="D857">
        <v>-0.01063829787234</v>
      </c>
      <c r="E857">
        <v>-0.285714285714285</v>
      </c>
      <c r="F857">
        <v>-0.22564529558701</v>
      </c>
      <c r="G857">
        <v>-0.53731343283582</v>
      </c>
      <c r="H857">
        <v>-0.7615384615384611</v>
      </c>
      <c r="I857">
        <v>-0.9934042553191481</v>
      </c>
    </row>
    <row r="858" spans="1:9">
      <c r="A858" s="8" t="s">
        <v>870</v>
      </c>
      <c r="B858">
        <f>HYPERLINK("https://www.suredividend.com/sure-analysis-DTE/","DTE Energy Co.")</f>
        <v>0</v>
      </c>
      <c r="C858">
        <v>-0.008911240515263001</v>
      </c>
      <c r="D858">
        <v>0.006455543658917</v>
      </c>
      <c r="E858">
        <v>0.06720148665261801</v>
      </c>
      <c r="F858">
        <v>0.028362593711177</v>
      </c>
      <c r="G858">
        <v>0.046630154651182</v>
      </c>
      <c r="H858">
        <v>-0.10400354793218</v>
      </c>
      <c r="I858">
        <v>0.21357413951619</v>
      </c>
    </row>
    <row r="859" spans="1:9">
      <c r="A859" s="8" t="s">
        <v>871</v>
      </c>
      <c r="B859">
        <f>HYPERLINK("https://www.suredividend.com/sure-analysis-DUK/","Duke Energy Corp.")</f>
        <v>0</v>
      </c>
      <c r="C859">
        <v>0.013572908703373</v>
      </c>
      <c r="D859">
        <v>0.09703558791144101</v>
      </c>
      <c r="E859">
        <v>0.109720926057895</v>
      </c>
      <c r="F859">
        <v>0.08021734874115001</v>
      </c>
      <c r="G859">
        <v>0.171080185099596</v>
      </c>
      <c r="H859">
        <v>-0.006624119228337001</v>
      </c>
      <c r="I859">
        <v>0.44853480887584</v>
      </c>
    </row>
    <row r="860" spans="1:9">
      <c r="A860" s="8" t="s">
        <v>872</v>
      </c>
      <c r="B860">
        <f>HYPERLINK("https://www.suredividend.com/sure-analysis-research-database/","DaVita Inc")</f>
        <v>0</v>
      </c>
      <c r="C860">
        <v>0.039872176628658</v>
      </c>
      <c r="D860">
        <v>0.067869928400954</v>
      </c>
      <c r="E860">
        <v>0.354076035558918</v>
      </c>
      <c r="F860">
        <v>0.366743031691485</v>
      </c>
      <c r="G860">
        <v>0.423826571201273</v>
      </c>
      <c r="H860">
        <v>0.50194062729466</v>
      </c>
      <c r="I860">
        <v>2.002306563220801</v>
      </c>
    </row>
    <row r="861" spans="1:9">
      <c r="A861" s="8" t="s">
        <v>873</v>
      </c>
      <c r="B861">
        <f>HYPERLINK("https://www.suredividend.com/sure-analysis-research-database/","Dynavax Technologies Corp.")</f>
        <v>0</v>
      </c>
      <c r="C861">
        <v>0.025510204081632</v>
      </c>
      <c r="D861">
        <v>-0.05928237129485101</v>
      </c>
      <c r="E861">
        <v>-0.103345724907063</v>
      </c>
      <c r="F861">
        <v>-0.137339055793991</v>
      </c>
      <c r="G861">
        <v>0.024638912489379</v>
      </c>
      <c r="H861">
        <v>-0.060015588464536</v>
      </c>
      <c r="I861">
        <v>1.906024096385542</v>
      </c>
    </row>
    <row r="862" spans="1:9">
      <c r="A862" s="8" t="s">
        <v>874</v>
      </c>
      <c r="B862">
        <f>HYPERLINK("https://www.suredividend.com/sure-analysis-research-database/","Dover Motorsports Inc")</f>
        <v>0</v>
      </c>
      <c r="C862">
        <v>0.005571030640668001</v>
      </c>
      <c r="D862">
        <v>0.5838195937349181</v>
      </c>
      <c r="E862">
        <v>0.6045870744066131</v>
      </c>
      <c r="F862">
        <v>0.6489288813776091</v>
      </c>
      <c r="G862">
        <v>0.8809920800333471</v>
      </c>
      <c r="H862">
        <v>1.059326868225898</v>
      </c>
      <c r="I862">
        <v>0.9317208904109581</v>
      </c>
    </row>
    <row r="863" spans="1:9">
      <c r="A863" s="8" t="s">
        <v>875</v>
      </c>
      <c r="B863">
        <f>HYPERLINK("https://www.suredividend.com/sure-analysis-DVN/","Devon Energy Corp.")</f>
        <v>0</v>
      </c>
      <c r="C863">
        <v>-0.08218909376225901</v>
      </c>
      <c r="D863">
        <v>0.024364506503258</v>
      </c>
      <c r="E863">
        <v>0.086555185810457</v>
      </c>
      <c r="F863">
        <v>0.037706975857067</v>
      </c>
      <c r="G863">
        <v>-0.04118066541529</v>
      </c>
      <c r="H863">
        <v>-0.35065926334035</v>
      </c>
      <c r="I863">
        <v>1.259666000212492</v>
      </c>
    </row>
    <row r="864" spans="1:9">
      <c r="A864" s="8" t="s">
        <v>876</v>
      </c>
      <c r="B864">
        <f>HYPERLINK("https://www.suredividend.com/sure-analysis-research-database/","Dawson Geophysical Company")</f>
        <v>0</v>
      </c>
      <c r="C864">
        <v>0.401408450704225</v>
      </c>
      <c r="D864">
        <v>1.19114732437789</v>
      </c>
      <c r="E864">
        <v>0.964849921011058</v>
      </c>
      <c r="F864">
        <v>0.6642970644810571</v>
      </c>
      <c r="G864">
        <v>0.628611179310909</v>
      </c>
      <c r="H864">
        <v>0.760438782731776</v>
      </c>
      <c r="I864">
        <v>0.359661109592784</v>
      </c>
    </row>
    <row r="865" spans="1:9">
      <c r="A865" s="8" t="s">
        <v>877</v>
      </c>
      <c r="B865">
        <f>HYPERLINK("https://www.suredividend.com/sure-analysis-DX/","Dynex Capital, Inc.")</f>
        <v>0</v>
      </c>
      <c r="C865">
        <v>-0.029351932577739</v>
      </c>
      <c r="D865">
        <v>-0.029617823820433</v>
      </c>
      <c r="E865">
        <v>0.05642712550607201</v>
      </c>
      <c r="F865">
        <v>-0.015421414794788</v>
      </c>
      <c r="G865">
        <v>0.111185042251646</v>
      </c>
      <c r="H865">
        <v>-0.07558971682521601</v>
      </c>
      <c r="I865">
        <v>0.201093210586881</v>
      </c>
    </row>
    <row r="866" spans="1:9">
      <c r="A866" s="8" t="s">
        <v>878</v>
      </c>
      <c r="B866">
        <f>HYPERLINK("https://www.suredividend.com/sure-analysis-research-database/","DXC Technology Co")</f>
        <v>0</v>
      </c>
      <c r="C866">
        <v>-0.15989847715736</v>
      </c>
      <c r="D866">
        <v>-0.189916789035731</v>
      </c>
      <c r="E866">
        <v>-0.298728813559322</v>
      </c>
      <c r="F866">
        <v>-0.276344556187144</v>
      </c>
      <c r="G866">
        <v>-0.3803818794459</v>
      </c>
      <c r="H866">
        <v>-0.536284673578033</v>
      </c>
      <c r="I866">
        <v>-0.652638582513553</v>
      </c>
    </row>
    <row r="867" spans="1:9">
      <c r="A867" s="8" t="s">
        <v>879</v>
      </c>
      <c r="B867">
        <f>HYPERLINK("https://www.suredividend.com/sure-analysis-research-database/","Dexcom Inc")</f>
        <v>0</v>
      </c>
      <c r="C867">
        <v>-0.109992313604919</v>
      </c>
      <c r="D867">
        <v>-0.130966676673671</v>
      </c>
      <c r="E867">
        <v>-0.026074522668012</v>
      </c>
      <c r="F867">
        <v>-0.066886936900636</v>
      </c>
      <c r="G867">
        <v>-0.032745802355692</v>
      </c>
      <c r="H867">
        <v>0.5018158236057071</v>
      </c>
      <c r="I867">
        <v>2.676456580409589</v>
      </c>
    </row>
    <row r="868" spans="1:9">
      <c r="A868" s="8" t="s">
        <v>880</v>
      </c>
      <c r="B868">
        <f>HYPERLINK("https://www.suredividend.com/sure-analysis-research-database/","Destination XL Group Inc")</f>
        <v>0</v>
      </c>
      <c r="C868">
        <v>0.09638554216867401</v>
      </c>
      <c r="D868">
        <v>-0.024128686327077</v>
      </c>
      <c r="E868">
        <v>-0.087719298245614</v>
      </c>
      <c r="F868">
        <v>-0.172727272727272</v>
      </c>
      <c r="G868">
        <v>-0.261663286004056</v>
      </c>
      <c r="H868">
        <v>-0.213822894168466</v>
      </c>
      <c r="I868">
        <v>1.289308176100628</v>
      </c>
    </row>
    <row r="869" spans="1:9">
      <c r="A869" s="8" t="s">
        <v>881</v>
      </c>
      <c r="B869">
        <f>HYPERLINK("https://www.suredividend.com/sure-analysis-research-database/","DXP Enterprises, Inc.")</f>
        <v>0</v>
      </c>
      <c r="C869">
        <v>-0.104781471796787</v>
      </c>
      <c r="D869">
        <v>0.195261845386533</v>
      </c>
      <c r="E869">
        <v>0.493611717045808</v>
      </c>
      <c r="F869">
        <v>0.422255192878338</v>
      </c>
      <c r="G869">
        <v>0.407222548443922</v>
      </c>
      <c r="H869">
        <v>0.4982807127227261</v>
      </c>
      <c r="I869">
        <v>0.401871892366189</v>
      </c>
    </row>
    <row r="870" spans="1:9">
      <c r="A870" s="8" t="s">
        <v>882</v>
      </c>
      <c r="B870">
        <f>HYPERLINK("https://www.suredividend.com/sure-analysis-research-database/","Dixie Group Inc.")</f>
        <v>0</v>
      </c>
      <c r="C870">
        <v>0.407475772958006</v>
      </c>
      <c r="D870">
        <v>0.6944444444444441</v>
      </c>
      <c r="E870">
        <v>-0.046874999999999</v>
      </c>
      <c r="F870">
        <v>0.229012760241772</v>
      </c>
      <c r="G870">
        <v>-0.268</v>
      </c>
      <c r="H870">
        <v>-0.5492610837438421</v>
      </c>
      <c r="I870">
        <v>0.407692307692307</v>
      </c>
    </row>
    <row r="871" spans="1:9">
      <c r="A871" s="8" t="s">
        <v>883</v>
      </c>
      <c r="B871">
        <f>HYPERLINK("https://www.suredividend.com/sure-analysis-research-database/","Dycom Industries, Inc.")</f>
        <v>0</v>
      </c>
      <c r="C871">
        <v>0.21551724137931</v>
      </c>
      <c r="D871">
        <v>0.297890845836051</v>
      </c>
      <c r="E871">
        <v>0.672457270944242</v>
      </c>
      <c r="F871">
        <v>0.555912763923885</v>
      </c>
      <c r="G871">
        <v>0.63236098450319</v>
      </c>
      <c r="H871">
        <v>0.82111258008746</v>
      </c>
      <c r="I871">
        <v>2.274273176083379</v>
      </c>
    </row>
    <row r="872" spans="1:9">
      <c r="A872" s="8" t="s">
        <v>884</v>
      </c>
      <c r="B872">
        <f>HYPERLINK("https://www.suredividend.com/sure-analysis-research-database/","Dyadic International Inc., DE")</f>
        <v>0</v>
      </c>
      <c r="C872">
        <v>0.432624113475177</v>
      </c>
      <c r="D872">
        <v>0.453237410071942</v>
      </c>
      <c r="E872">
        <v>0.227963525835866</v>
      </c>
      <c r="F872">
        <v>0.254658385093167</v>
      </c>
      <c r="G872">
        <v>-0.06912442396313301</v>
      </c>
      <c r="H872">
        <v>-0.204724409448818</v>
      </c>
      <c r="I872">
        <v>-0.663333333333333</v>
      </c>
    </row>
    <row r="873" spans="1:9">
      <c r="A873" s="8" t="s">
        <v>885</v>
      </c>
      <c r="B873">
        <f>HYPERLINK("https://www.suredividend.com/sure-analysis-research-database/","DZS Inc")</f>
        <v>0</v>
      </c>
      <c r="C873">
        <v>0.222222222222222</v>
      </c>
      <c r="D873">
        <v>0.161971830985915</v>
      </c>
      <c r="E873">
        <v>0.269230769230769</v>
      </c>
      <c r="F873">
        <v>-0.16243654822335</v>
      </c>
      <c r="G873">
        <v>-0.547945205479452</v>
      </c>
      <c r="H873">
        <v>-0.9151234567901231</v>
      </c>
      <c r="I873">
        <v>-0.8776871756856931</v>
      </c>
    </row>
    <row r="874" spans="1:9">
      <c r="A874" s="8" t="s">
        <v>886</v>
      </c>
      <c r="B874">
        <f>HYPERLINK("https://www.suredividend.com/sure-analysis-research-database/","Electronic Arts, Inc.")</f>
        <v>0</v>
      </c>
      <c r="C874">
        <v>0.05203586856395</v>
      </c>
      <c r="D874">
        <v>0.011943327623493</v>
      </c>
      <c r="E874">
        <v>0.013522773150017</v>
      </c>
      <c r="F874">
        <v>0.004187908350421</v>
      </c>
      <c r="G874">
        <v>0.094738661349532</v>
      </c>
      <c r="H874">
        <v>-0.012112845276741</v>
      </c>
      <c r="I874">
        <v>0.448819564676419</v>
      </c>
    </row>
    <row r="875" spans="1:9">
      <c r="A875" s="8" t="s">
        <v>887</v>
      </c>
      <c r="B875">
        <f>HYPERLINK("https://www.suredividend.com/sure-analysis-research-database/","GrafTech International Ltd.")</f>
        <v>0</v>
      </c>
      <c r="C875">
        <v>-0.220338983050847</v>
      </c>
      <c r="D875">
        <v>-0.233333333333333</v>
      </c>
      <c r="E875">
        <v>-0.465116279069767</v>
      </c>
      <c r="F875">
        <v>-0.36986301369863</v>
      </c>
      <c r="G875">
        <v>-0.721774193548387</v>
      </c>
      <c r="H875">
        <v>-0.846355964283328</v>
      </c>
      <c r="I875">
        <v>-0.8632024504604521</v>
      </c>
    </row>
    <row r="876" spans="1:9">
      <c r="A876" s="8" t="s">
        <v>888</v>
      </c>
      <c r="B876">
        <f>HYPERLINK("https://www.suredividend.com/sure-analysis-EARN/","Ellington Credit Co.")</f>
        <v>0</v>
      </c>
      <c r="C876">
        <v>-0.00429799426934</v>
      </c>
      <c r="D876">
        <v>0.155540776456895</v>
      </c>
      <c r="E876">
        <v>0.231025382149246</v>
      </c>
      <c r="F876">
        <v>0.205718052808715</v>
      </c>
      <c r="G876">
        <v>0.138523032566673</v>
      </c>
      <c r="H876">
        <v>0.120678534571723</v>
      </c>
      <c r="I876">
        <v>0.217888059439946</v>
      </c>
    </row>
    <row r="877" spans="1:9">
      <c r="A877" s="8" t="s">
        <v>889</v>
      </c>
      <c r="B877">
        <f>HYPERLINK("https://www.suredividend.com/sure-analysis-research-database/","Brinker International, Inc.")</f>
        <v>0</v>
      </c>
      <c r="C877">
        <v>0.21067415730337</v>
      </c>
      <c r="D877">
        <v>0.41718043567612</v>
      </c>
      <c r="E877">
        <v>0.7396569122098881</v>
      </c>
      <c r="F877">
        <v>0.597035664659564</v>
      </c>
      <c r="G877">
        <v>0.8950261060730961</v>
      </c>
      <c r="H877">
        <v>1.290269013616738</v>
      </c>
      <c r="I877">
        <v>0.8572532796841371</v>
      </c>
    </row>
    <row r="878" spans="1:9">
      <c r="A878" s="8" t="s">
        <v>890</v>
      </c>
      <c r="B878">
        <f>HYPERLINK("https://www.suredividend.com/sure-analysis-research-database/","Eventbrite Inc")</f>
        <v>0</v>
      </c>
      <c r="C878">
        <v>-0.08050089445438201</v>
      </c>
      <c r="D878">
        <v>-0.063752276867031</v>
      </c>
      <c r="E878">
        <v>-0.303523035230352</v>
      </c>
      <c r="F878">
        <v>-0.385167464114832</v>
      </c>
      <c r="G878">
        <v>-0.360696517412935</v>
      </c>
      <c r="H878">
        <v>-0.594637223974763</v>
      </c>
      <c r="I878">
        <v>-0.693317422434367</v>
      </c>
    </row>
    <row r="879" spans="1:9">
      <c r="A879" s="8" t="s">
        <v>891</v>
      </c>
      <c r="B879">
        <f>HYPERLINK("https://www.suredividend.com/sure-analysis-EBAY/","EBay Inc.")</f>
        <v>0</v>
      </c>
      <c r="C879">
        <v>0.07092778097226801</v>
      </c>
      <c r="D879">
        <v>0.06159787680424601</v>
      </c>
      <c r="E879">
        <v>0.299613886379272</v>
      </c>
      <c r="F879">
        <v>0.23585276867807</v>
      </c>
      <c r="G879">
        <v>0.218026237588546</v>
      </c>
      <c r="H879">
        <v>0.187020596193841</v>
      </c>
      <c r="I879">
        <v>0.566978901284462</v>
      </c>
    </row>
    <row r="880" spans="1:9">
      <c r="A880" s="8" t="s">
        <v>892</v>
      </c>
      <c r="B880">
        <f>HYPERLINK("https://www.suredividend.com/sure-analysis-EBF/","Ennis Inc.")</f>
        <v>0</v>
      </c>
      <c r="C880">
        <v>0.023552502453385</v>
      </c>
      <c r="D880">
        <v>0.060579098558608</v>
      </c>
      <c r="E880">
        <v>-0.035322191289227</v>
      </c>
      <c r="F880">
        <v>-0.024755136866219</v>
      </c>
      <c r="G880">
        <v>0.028467750682851</v>
      </c>
      <c r="H880">
        <v>0.256459987230607</v>
      </c>
      <c r="I880">
        <v>0.3976643059584991</v>
      </c>
    </row>
    <row r="881" spans="1:9">
      <c r="A881" s="8" t="s">
        <v>893</v>
      </c>
      <c r="B881">
        <f>HYPERLINK("https://www.suredividend.com/sure-analysis-research-database/","Ebix Inc.")</f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>
      <c r="A882" s="8" t="s">
        <v>894</v>
      </c>
      <c r="B882">
        <f>HYPERLINK("https://www.suredividend.com/sure-analysis-research-database/","Eagle Bancorp Montana Inc")</f>
        <v>0</v>
      </c>
      <c r="C882">
        <v>0.027828495876093</v>
      </c>
      <c r="D882">
        <v>0.013007764324441</v>
      </c>
      <c r="E882">
        <v>0.014030265620025</v>
      </c>
      <c r="F882">
        <v>-0.137526828462935</v>
      </c>
      <c r="G882">
        <v>0.07373942498211801</v>
      </c>
      <c r="H882">
        <v>-0.255530790585257</v>
      </c>
      <c r="I882">
        <v>-0.05505430181826</v>
      </c>
    </row>
    <row r="883" spans="1:9">
      <c r="A883" s="8" t="s">
        <v>895</v>
      </c>
      <c r="B883">
        <f>HYPERLINK("https://www.suredividend.com/sure-analysis-research-database/","Emergent Biosolutions Inc")</f>
        <v>0</v>
      </c>
      <c r="C883">
        <v>0.406818181818181</v>
      </c>
      <c r="D883">
        <v>1.234657039711191</v>
      </c>
      <c r="E883">
        <v>1.557851239669421</v>
      </c>
      <c r="F883">
        <v>1.579166666666667</v>
      </c>
      <c r="G883">
        <v>-0.271764705882352</v>
      </c>
      <c r="H883">
        <v>-0.8088326127239031</v>
      </c>
      <c r="I883">
        <v>-0.866853086685308</v>
      </c>
    </row>
    <row r="884" spans="1:9">
      <c r="A884" s="8" t="s">
        <v>896</v>
      </c>
      <c r="B884">
        <f>HYPERLINK("https://www.suredividend.com/sure-analysis-research-database/","Meridian Bancorp Inc")</f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</row>
    <row r="885" spans="1:9">
      <c r="A885" s="8" t="s">
        <v>897</v>
      </c>
      <c r="B885">
        <f>HYPERLINK("https://www.suredividend.com/sure-analysis-EBTC/","Enterprise Bancorp, Inc.")</f>
        <v>0</v>
      </c>
      <c r="C885">
        <v>-0.028253892448225</v>
      </c>
      <c r="D885">
        <v>-0.07735110229836001</v>
      </c>
      <c r="E885">
        <v>-0.160471898011846</v>
      </c>
      <c r="F885">
        <v>-0.228393573909997</v>
      </c>
      <c r="G885">
        <v>-0.196479368160369</v>
      </c>
      <c r="H885">
        <v>-0.196215752966067</v>
      </c>
      <c r="I885">
        <v>0.022807630374958</v>
      </c>
    </row>
    <row r="886" spans="1:9">
      <c r="A886" s="8" t="s">
        <v>898</v>
      </c>
      <c r="B886">
        <f>HYPERLINK("https://www.suredividend.com/sure-analysis-research-database/","Echo Global Logistics Inc")</f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</row>
    <row r="887" spans="1:9">
      <c r="A887" s="8" t="s">
        <v>899</v>
      </c>
      <c r="B887">
        <f>HYPERLINK("https://www.suredividend.com/sure-analysis-ECL/","Ecolab, Inc.")</f>
        <v>0</v>
      </c>
      <c r="C887">
        <v>0.026919113858835</v>
      </c>
      <c r="D887">
        <v>0.06778675871206601</v>
      </c>
      <c r="E887">
        <v>0.249815811667037</v>
      </c>
      <c r="F887">
        <v>0.208938227850916</v>
      </c>
      <c r="G887">
        <v>0.380379781900109</v>
      </c>
      <c r="H887">
        <v>0.4368812126534931</v>
      </c>
      <c r="I887">
        <v>0.26996144826257</v>
      </c>
    </row>
    <row r="888" spans="1:9">
      <c r="A888" s="8" t="s">
        <v>900</v>
      </c>
      <c r="B888">
        <f>HYPERLINK("https://www.suredividend.com/sure-analysis-research-database/","US Ecology Inc.")</f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</row>
    <row r="889" spans="1:9">
      <c r="A889" s="8" t="s">
        <v>901</v>
      </c>
      <c r="B889">
        <f>HYPERLINK("https://www.suredividend.com/sure-analysis-research-database/","ChannelAdvisor Corp")</f>
        <v>0</v>
      </c>
      <c r="C889">
        <v>0.010061242344706</v>
      </c>
      <c r="D889">
        <v>0.476342710997442</v>
      </c>
      <c r="E889">
        <v>0.8024980483996871</v>
      </c>
      <c r="F889">
        <v>-0.06442463533225201</v>
      </c>
      <c r="G889">
        <v>-0.140037243947858</v>
      </c>
      <c r="H889">
        <v>0.669558929862617</v>
      </c>
      <c r="I889">
        <v>1.748809523809523</v>
      </c>
    </row>
    <row r="890" spans="1:9">
      <c r="A890" s="8" t="s">
        <v>902</v>
      </c>
      <c r="B890">
        <f>HYPERLINK("https://www.suredividend.com/sure-analysis-research-database/","Encore Capital Group, Inc.")</f>
        <v>0</v>
      </c>
      <c r="C890">
        <v>-0.002792646032115</v>
      </c>
      <c r="D890">
        <v>-0.124438087454025</v>
      </c>
      <c r="E890">
        <v>-0.074713884690131</v>
      </c>
      <c r="F890">
        <v>-0.155665024630541</v>
      </c>
      <c r="G890">
        <v>-0.129595774933983</v>
      </c>
      <c r="H890">
        <v>-0.295693622616699</v>
      </c>
      <c r="I890">
        <v>0.194591580708112</v>
      </c>
    </row>
    <row r="891" spans="1:9">
      <c r="A891" s="8" t="s">
        <v>903</v>
      </c>
      <c r="B891">
        <f>HYPERLINK("https://www.suredividend.com/sure-analysis-ED/","Consolidated Edison, Inc.")</f>
        <v>0</v>
      </c>
      <c r="C891">
        <v>-0.052354786120375</v>
      </c>
      <c r="D891">
        <v>0.027300099242504</v>
      </c>
      <c r="E891">
        <v>0.008878483059079</v>
      </c>
      <c r="F891">
        <v>0.025181345526735</v>
      </c>
      <c r="G891">
        <v>0.015421414850801</v>
      </c>
      <c r="H891">
        <v>-0.00234032381195</v>
      </c>
      <c r="I891">
        <v>0.246842403257768</v>
      </c>
    </row>
    <row r="892" spans="1:9">
      <c r="A892" s="8" t="s">
        <v>904</v>
      </c>
      <c r="B892">
        <f>HYPERLINK("https://www.suredividend.com/sure-analysis-research-database/","Editas Medicine Inc")</f>
        <v>0</v>
      </c>
      <c r="C892">
        <v>-0.06690140845070401</v>
      </c>
      <c r="D892">
        <v>-0.401129943502824</v>
      </c>
      <c r="E892">
        <v>-0.5137614678899081</v>
      </c>
      <c r="F892">
        <v>-0.476801579466929</v>
      </c>
      <c r="G892">
        <v>-0.4961977186311781</v>
      </c>
      <c r="H892">
        <v>-0.5756605284227381</v>
      </c>
      <c r="I892">
        <v>-0.7634984381972331</v>
      </c>
    </row>
    <row r="893" spans="1:9">
      <c r="A893" s="8" t="s">
        <v>905</v>
      </c>
      <c r="B893">
        <f>HYPERLINK("https://www.suredividend.com/sure-analysis-research-database/","Educational Development Corp.")</f>
        <v>0</v>
      </c>
      <c r="C893">
        <v>-0.147959183673469</v>
      </c>
      <c r="D893">
        <v>-0.040229885057471</v>
      </c>
      <c r="E893">
        <v>0.9195402298850571</v>
      </c>
      <c r="F893">
        <v>0.439655172413793</v>
      </c>
      <c r="G893">
        <v>0.4273504273504271</v>
      </c>
      <c r="H893">
        <v>-0.6605691056910571</v>
      </c>
      <c r="I893">
        <v>-0.7546787319681521</v>
      </c>
    </row>
    <row r="894" spans="1:9">
      <c r="A894" s="8" t="s">
        <v>906</v>
      </c>
      <c r="B894">
        <f>HYPERLINK("https://www.suredividend.com/sure-analysis-research-database/","Excelerate Energy Inc")</f>
        <v>0</v>
      </c>
      <c r="C894">
        <v>-0.041284047985644</v>
      </c>
      <c r="D894">
        <v>0.069674030588598</v>
      </c>
      <c r="E894">
        <v>0.09324474535165701</v>
      </c>
      <c r="F894">
        <v>0.122946778420738</v>
      </c>
      <c r="G894">
        <v>-0.163052465151361</v>
      </c>
      <c r="H894">
        <v>-0.408981030032367</v>
      </c>
      <c r="I894">
        <v>-0.348888295411374</v>
      </c>
    </row>
    <row r="895" spans="1:9">
      <c r="A895" s="8" t="s">
        <v>907</v>
      </c>
      <c r="B895">
        <f>HYPERLINK("https://www.suredividend.com/sure-analysis-research-database/","Euronet Worldwide Inc")</f>
        <v>0</v>
      </c>
      <c r="C895">
        <v>0.0007116804554750001</v>
      </c>
      <c r="D895">
        <v>0.002674035118994</v>
      </c>
      <c r="E895">
        <v>0.250861781385521</v>
      </c>
      <c r="F895">
        <v>0.10838506256774</v>
      </c>
      <c r="G895">
        <v>-0.01789767766719</v>
      </c>
      <c r="H895">
        <v>-0.04758276183219001</v>
      </c>
      <c r="I895">
        <v>-0.299869297317483</v>
      </c>
    </row>
    <row r="896" spans="1:9">
      <c r="A896" s="8" t="s">
        <v>908</v>
      </c>
      <c r="B896">
        <f>HYPERLINK("https://www.suredividend.com/sure-analysis-research-database/","Emerald Holding Inc")</f>
        <v>0</v>
      </c>
      <c r="C896">
        <v>-0.07478260869565201</v>
      </c>
      <c r="D896">
        <v>-0.09677419354838701</v>
      </c>
      <c r="E896">
        <v>0.037037037037037</v>
      </c>
      <c r="F896">
        <v>-0.110367892976588</v>
      </c>
      <c r="G896">
        <v>0.371134020618556</v>
      </c>
      <c r="H896">
        <v>0.441734417344173</v>
      </c>
      <c r="I896">
        <v>-0.5183340878225441</v>
      </c>
    </row>
    <row r="897" spans="1:9">
      <c r="A897" s="8" t="s">
        <v>909</v>
      </c>
      <c r="B897">
        <f>HYPERLINK("https://www.suredividend.com/sure-analysis-EFC/","Ellington Financial Inc")</f>
        <v>0</v>
      </c>
      <c r="C897">
        <v>0.037770316115451</v>
      </c>
      <c r="D897">
        <v>0.08466378150343601</v>
      </c>
      <c r="E897">
        <v>-0.005186704691382001</v>
      </c>
      <c r="F897">
        <v>-0.00509544578896</v>
      </c>
      <c r="G897">
        <v>0.04202150424931601</v>
      </c>
      <c r="H897">
        <v>-0.003649665516924</v>
      </c>
      <c r="I897">
        <v>0.173692754193516</v>
      </c>
    </row>
    <row r="898" spans="1:9">
      <c r="A898" s="8" t="s">
        <v>910</v>
      </c>
      <c r="B898">
        <f>HYPERLINK("https://www.suredividend.com/sure-analysis-research-database/","Energy Focus Inc")</f>
        <v>0</v>
      </c>
      <c r="C898">
        <v>0.05312499999999901</v>
      </c>
      <c r="D898">
        <v>0.00297619047619</v>
      </c>
      <c r="E898">
        <v>0.015427262866096</v>
      </c>
      <c r="F898">
        <v>0.115894039735099</v>
      </c>
      <c r="G898">
        <v>-0.427007175162376</v>
      </c>
      <c r="H898">
        <v>-0.8944235588972431</v>
      </c>
      <c r="I898">
        <v>-0.8929920934810911</v>
      </c>
    </row>
    <row r="899" spans="1:9">
      <c r="A899" s="8" t="s">
        <v>911</v>
      </c>
      <c r="B899">
        <f>HYPERLINK("https://www.suredividend.com/sure-analysis-research-database/","Enterprise Financial Services Corp.")</f>
        <v>0</v>
      </c>
      <c r="C899">
        <v>-0.034936708860759</v>
      </c>
      <c r="D899">
        <v>-0.042812303829253</v>
      </c>
      <c r="E899">
        <v>-0.063259473685503</v>
      </c>
      <c r="F899">
        <v>-0.135208711433756</v>
      </c>
      <c r="G899">
        <v>-0.09131866062468201</v>
      </c>
      <c r="H899">
        <v>-0.113822234414011</v>
      </c>
      <c r="I899">
        <v>0.073730226688899</v>
      </c>
    </row>
    <row r="900" spans="1:9">
      <c r="A900" s="8" t="s">
        <v>912</v>
      </c>
      <c r="B900">
        <f>HYPERLINK("https://www.suredividend.com/sure-analysis-research-database/","Equifax, Inc.")</f>
        <v>0</v>
      </c>
      <c r="C900">
        <v>-0.013025541264188</v>
      </c>
      <c r="D900">
        <v>-0.137640080809275</v>
      </c>
      <c r="E900">
        <v>0.04352913968340701</v>
      </c>
      <c r="F900">
        <v>-0.053696093981348</v>
      </c>
      <c r="G900">
        <v>0.059497737757959</v>
      </c>
      <c r="H900">
        <v>0.180394162999439</v>
      </c>
      <c r="I900">
        <v>0.8662041688799571</v>
      </c>
    </row>
    <row r="901" spans="1:9">
      <c r="A901" s="8" t="s">
        <v>913</v>
      </c>
      <c r="B901">
        <f>HYPERLINK("https://www.suredividend.com/sure-analysis-research-database/","eGain Corp")</f>
        <v>0</v>
      </c>
      <c r="C901">
        <v>-0.073899371069182</v>
      </c>
      <c r="D901">
        <v>-0.024834437086092</v>
      </c>
      <c r="E901">
        <v>-0.253485424588086</v>
      </c>
      <c r="F901">
        <v>-0.292917166866746</v>
      </c>
      <c r="G901">
        <v>-0.229057591623036</v>
      </c>
      <c r="H901">
        <v>-0.364617044228694</v>
      </c>
      <c r="I901">
        <v>-0.278186274509803</v>
      </c>
    </row>
    <row r="902" spans="1:9">
      <c r="A902" s="8" t="s">
        <v>914</v>
      </c>
      <c r="B902">
        <f>HYPERLINK("https://www.suredividend.com/sure-analysis-research-database/","Eagle Bancorp Inc (MD)")</f>
        <v>0</v>
      </c>
      <c r="C902">
        <v>-0.12246963562753</v>
      </c>
      <c r="D902">
        <v>-0.245594953230367</v>
      </c>
      <c r="E902">
        <v>-0.300809270930359</v>
      </c>
      <c r="F902">
        <v>-0.393369040830391</v>
      </c>
      <c r="G902">
        <v>-0.170211849604486</v>
      </c>
      <c r="H902">
        <v>-0.575281064001763</v>
      </c>
      <c r="I902">
        <v>-0.587575902445289</v>
      </c>
    </row>
    <row r="903" spans="1:9">
      <c r="A903" s="8" t="s">
        <v>915</v>
      </c>
      <c r="B903">
        <f>HYPERLINK("https://www.suredividend.com/sure-analysis-research-database/","8X8 Inc.")</f>
        <v>0</v>
      </c>
      <c r="C903">
        <v>0.106382978723404</v>
      </c>
      <c r="D903">
        <v>-0.087719298245614</v>
      </c>
      <c r="E903">
        <v>-0.239766081871344</v>
      </c>
      <c r="F903">
        <v>-0.312169312169312</v>
      </c>
      <c r="G903">
        <v>-0.331619537275064</v>
      </c>
      <c r="H903">
        <v>-0.642857142857142</v>
      </c>
      <c r="I903">
        <v>-0.8924731182795691</v>
      </c>
    </row>
    <row r="904" spans="1:9">
      <c r="A904" s="8" t="s">
        <v>916</v>
      </c>
      <c r="B904">
        <f>HYPERLINK("https://www.suredividend.com/sure-analysis-research-database/","Eagle Bulk Shipping Inc")</f>
        <v>0</v>
      </c>
      <c r="C904">
        <v>-0.019606307721461</v>
      </c>
      <c r="D904">
        <v>0.152795067657653</v>
      </c>
      <c r="E904">
        <v>0.471853736298358</v>
      </c>
      <c r="F904">
        <v>0.140724597010791</v>
      </c>
      <c r="G904">
        <v>0.4983102124441121</v>
      </c>
      <c r="H904">
        <v>0.08737378386969501</v>
      </c>
      <c r="I904">
        <v>1.216501963339199</v>
      </c>
    </row>
    <row r="905" spans="1:9">
      <c r="A905" s="8" t="s">
        <v>917</v>
      </c>
      <c r="B905">
        <f>HYPERLINK("https://www.suredividend.com/sure-analysis-research-database/","NIC Inc")</f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</row>
    <row r="906" spans="1:9">
      <c r="A906" s="8" t="s">
        <v>918</v>
      </c>
      <c r="B906">
        <f>HYPERLINK("https://www.suredividend.com/sure-analysis-EGP/","Eastgroup Properties, Inc.")</f>
        <v>0</v>
      </c>
      <c r="C906">
        <v>0.02499537122755</v>
      </c>
      <c r="D906">
        <v>-0.07273357672588</v>
      </c>
      <c r="E906">
        <v>-0.026909970422937</v>
      </c>
      <c r="F906">
        <v>-0.088546740242955</v>
      </c>
      <c r="G906">
        <v>-0.009943486658559</v>
      </c>
      <c r="H906">
        <v>0.049808375837467</v>
      </c>
      <c r="I906">
        <v>0.640503688367517</v>
      </c>
    </row>
    <row r="907" spans="1:9">
      <c r="A907" s="8" t="s">
        <v>919</v>
      </c>
      <c r="B907">
        <f>HYPERLINK("https://www.suredividend.com/sure-analysis-research-database/","Eagle Pharmaceuticals Inc")</f>
        <v>0</v>
      </c>
      <c r="C907">
        <v>-0.218947368421052</v>
      </c>
      <c r="D907">
        <v>-0.4064</v>
      </c>
      <c r="E907">
        <v>-0.38269550748752</v>
      </c>
      <c r="F907">
        <v>-0.290630975143403</v>
      </c>
      <c r="G907">
        <v>-0.803183023872679</v>
      </c>
      <c r="H907">
        <v>-0.9217299578059071</v>
      </c>
      <c r="I907">
        <v>-0.9291849589616341</v>
      </c>
    </row>
    <row r="908" spans="1:9">
      <c r="A908" s="8" t="s">
        <v>920</v>
      </c>
      <c r="B908">
        <f>HYPERLINK("https://www.suredividend.com/sure-analysis-research-database/","VAALCO Energy, Inc.")</f>
        <v>0</v>
      </c>
      <c r="C908">
        <v>-0.057237979384083</v>
      </c>
      <c r="D908">
        <v>0.399714828897338</v>
      </c>
      <c r="E908">
        <v>0.3447181571197001</v>
      </c>
      <c r="F908">
        <v>0.3447181571197001</v>
      </c>
      <c r="G908">
        <v>0.446250552472621</v>
      </c>
      <c r="H908">
        <v>-0.224111812206078</v>
      </c>
      <c r="I908">
        <v>3.309020411149316</v>
      </c>
    </row>
    <row r="909" spans="1:9">
      <c r="A909" s="8" t="s">
        <v>921</v>
      </c>
      <c r="B909">
        <f>HYPERLINK("https://www.suredividend.com/sure-analysis-research-database/","Encompass Health Corp")</f>
        <v>0</v>
      </c>
      <c r="C909">
        <v>-0.011993479273404</v>
      </c>
      <c r="D909">
        <v>0.098798638188982</v>
      </c>
      <c r="E909">
        <v>0.3110341641442581</v>
      </c>
      <c r="F909">
        <v>0.274192385780703</v>
      </c>
      <c r="G909">
        <v>0.361304927490658</v>
      </c>
      <c r="H909">
        <v>0.777067555793847</v>
      </c>
      <c r="I909">
        <v>0.8866749827119641</v>
      </c>
    </row>
    <row r="910" spans="1:9">
      <c r="A910" s="8" t="s">
        <v>922</v>
      </c>
      <c r="B910">
        <f>HYPERLINK("https://www.suredividend.com/sure-analysis-research-database/","eHealth Inc")</f>
        <v>0</v>
      </c>
      <c r="C910">
        <v>-0.022598870056497</v>
      </c>
      <c r="D910">
        <v>-0.1890625</v>
      </c>
      <c r="E910">
        <v>-0.3663003663003661</v>
      </c>
      <c r="F910">
        <v>-0.404816513761467</v>
      </c>
      <c r="G910">
        <v>-0.4525316455696201</v>
      </c>
      <c r="H910">
        <v>-0.541924095322153</v>
      </c>
      <c r="I910">
        <v>-0.9293204412365511</v>
      </c>
    </row>
    <row r="911" spans="1:9">
      <c r="A911" s="8" t="s">
        <v>923</v>
      </c>
      <c r="B911">
        <f>HYPERLINK("https://www.suredividend.com/sure-analysis-research-database/","Eidos Therapeutics Inc")</f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</row>
    <row r="912" spans="1:9">
      <c r="A912" s="8" t="s">
        <v>924</v>
      </c>
      <c r="B912">
        <f>HYPERLINK("https://www.suredividend.com/sure-analysis-research-database/","Employers Holdings Inc")</f>
        <v>0</v>
      </c>
      <c r="C912">
        <v>-0.031279178338001</v>
      </c>
      <c r="D912">
        <v>-0.06819467770762401</v>
      </c>
      <c r="E912">
        <v>0.075882093692479</v>
      </c>
      <c r="F912">
        <v>0.067142552244985</v>
      </c>
      <c r="G912">
        <v>0.07350259322011901</v>
      </c>
      <c r="H912">
        <v>0.08361881684491901</v>
      </c>
      <c r="I912">
        <v>0.181541755400926</v>
      </c>
    </row>
    <row r="913" spans="1:9">
      <c r="A913" s="8" t="s">
        <v>925</v>
      </c>
      <c r="B913">
        <f>HYPERLINK("https://www.suredividend.com/sure-analysis-research-database/","Endurance International Group Holdings Inc")</f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</row>
    <row r="914" spans="1:9">
      <c r="A914" s="8" t="s">
        <v>926</v>
      </c>
      <c r="B914">
        <f>HYPERLINK("https://www.suredividend.com/sure-analysis-research-database/","Eiger BioPharmaceuticals Inc")</f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</row>
    <row r="915" spans="1:9">
      <c r="A915" s="8" t="s">
        <v>927</v>
      </c>
      <c r="B915">
        <f>HYPERLINK("https://www.suredividend.com/sure-analysis-EIX/","Edison International")</f>
        <v>0</v>
      </c>
      <c r="C915">
        <v>0.001218026796589</v>
      </c>
      <c r="D915">
        <v>0.08520104383490501</v>
      </c>
      <c r="E915">
        <v>0.123994968003062</v>
      </c>
      <c r="F915">
        <v>0.046797419654265</v>
      </c>
      <c r="G915">
        <v>0.12578921658888</v>
      </c>
      <c r="H915">
        <v>0.151540056409585</v>
      </c>
      <c r="I915">
        <v>0.465121667679986</v>
      </c>
    </row>
    <row r="916" spans="1:9">
      <c r="A916" s="8" t="s">
        <v>928</v>
      </c>
      <c r="B916">
        <f>HYPERLINK("https://www.suredividend.com/sure-analysis-research-database/","Ekso Bionics Holdings Inc")</f>
        <v>0</v>
      </c>
      <c r="C916">
        <v>-0.197080291970802</v>
      </c>
      <c r="D916">
        <v>-0.30379746835443</v>
      </c>
      <c r="E916">
        <v>-0.266666666666666</v>
      </c>
      <c r="F916">
        <v>-0.5599999999999991</v>
      </c>
      <c r="G916">
        <v>-0.219858156028368</v>
      </c>
      <c r="H916">
        <v>-0.424083769633507</v>
      </c>
      <c r="I916">
        <v>-0.9435897435897431</v>
      </c>
    </row>
    <row r="917" spans="1:9">
      <c r="A917" s="8" t="s">
        <v>929</v>
      </c>
      <c r="B917">
        <f>HYPERLINK("https://www.suredividend.com/sure-analysis-EL/","Estee Lauder Cos., Inc.")</f>
        <v>0</v>
      </c>
      <c r="C917">
        <v>-0.06457223611262</v>
      </c>
      <c r="D917">
        <v>-0.182502694002079</v>
      </c>
      <c r="E917">
        <v>-0.104318926996825</v>
      </c>
      <c r="F917">
        <v>-0.168073122829891</v>
      </c>
      <c r="G917">
        <v>-0.322416554926611</v>
      </c>
      <c r="H917">
        <v>-0.54210369277959</v>
      </c>
      <c r="I917">
        <v>-0.281249850844577</v>
      </c>
    </row>
    <row r="918" spans="1:9">
      <c r="A918" s="8" t="s">
        <v>930</v>
      </c>
      <c r="B918">
        <f>HYPERLINK("https://www.suredividend.com/sure-analysis-research-database/","Elanco Animal Health Inc")</f>
        <v>0</v>
      </c>
      <c r="C918">
        <v>0.34689349112426</v>
      </c>
      <c r="D918">
        <v>0.117863720073664</v>
      </c>
      <c r="E918">
        <v>0.425998433829287</v>
      </c>
      <c r="F918">
        <v>0.222147651006711</v>
      </c>
      <c r="G918">
        <v>0.94136460554371</v>
      </c>
      <c r="H918">
        <v>-0.258248472505091</v>
      </c>
      <c r="I918">
        <v>-0.442948914040991</v>
      </c>
    </row>
    <row r="919" spans="1:9">
      <c r="A919" s="8" t="s">
        <v>931</v>
      </c>
      <c r="B919">
        <f>HYPERLINK("https://www.suredividend.com/sure-analysis-research-database/","e.l.f. Beauty Inc")</f>
        <v>0</v>
      </c>
      <c r="C919">
        <v>0.08569158364403101</v>
      </c>
      <c r="D919">
        <v>-0.153860810746439</v>
      </c>
      <c r="E919">
        <v>0.399763593380614</v>
      </c>
      <c r="F919">
        <v>0.230635998337259</v>
      </c>
      <c r="G919">
        <v>0.7165635871666021</v>
      </c>
      <c r="H919">
        <v>5.428881650380021</v>
      </c>
      <c r="I919">
        <v>13.91435768261965</v>
      </c>
    </row>
    <row r="920" spans="1:9">
      <c r="A920" s="8" t="s">
        <v>932</v>
      </c>
      <c r="B920">
        <f>HYPERLINK("https://www.suredividend.com/sure-analysis-research-database/","Electromed Inc.")</f>
        <v>0</v>
      </c>
      <c r="C920">
        <v>-0.155339805825242</v>
      </c>
      <c r="D920">
        <v>-0.103636363636363</v>
      </c>
      <c r="E920">
        <v>0.43313953488372</v>
      </c>
      <c r="F920">
        <v>0.355637030247479</v>
      </c>
      <c r="G920">
        <v>0.187579794281309</v>
      </c>
      <c r="H920">
        <v>0.297368421052631</v>
      </c>
      <c r="I920">
        <v>1.764485981308411</v>
      </c>
    </row>
    <row r="921" spans="1:9">
      <c r="A921" s="8" t="s">
        <v>933</v>
      </c>
      <c r="B921">
        <f>HYPERLINK("https://www.suredividend.com/sure-analysis-research-database/","Eloxx Pharmaceuticals Inc")</f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</row>
    <row r="922" spans="1:9">
      <c r="A922" s="8" t="s">
        <v>934</v>
      </c>
      <c r="B922">
        <f>HYPERLINK("https://www.suredividend.com/sure-analysis-ELS/","Equity Lifestyle Properties Inc.")</f>
        <v>0</v>
      </c>
      <c r="C922">
        <v>-0.011587301587301</v>
      </c>
      <c r="D922">
        <v>-0.047626330600758</v>
      </c>
      <c r="E922">
        <v>-0.110732192865578</v>
      </c>
      <c r="F922">
        <v>-0.110541659703266</v>
      </c>
      <c r="G922">
        <v>-0.010429661365756</v>
      </c>
      <c r="H922">
        <v>-0.119665792505778</v>
      </c>
      <c r="I922">
        <v>0.13673703349422</v>
      </c>
    </row>
    <row r="923" spans="1:9">
      <c r="A923" s="8" t="s">
        <v>935</v>
      </c>
      <c r="B923">
        <f>HYPERLINK("https://www.suredividend.com/sure-analysis-research-database/","Electro-Sensors, Inc.")</f>
        <v>0</v>
      </c>
      <c r="C923">
        <v>0</v>
      </c>
      <c r="D923">
        <v>-0.007359233270580001</v>
      </c>
      <c r="E923">
        <v>0.060689186717872</v>
      </c>
      <c r="F923">
        <v>0.06842105263157801</v>
      </c>
      <c r="G923">
        <v>-0.066666666666666</v>
      </c>
      <c r="H923">
        <v>-0.150627615062761</v>
      </c>
      <c r="I923">
        <v>0.194117647058823</v>
      </c>
    </row>
    <row r="924" spans="1:9">
      <c r="A924" s="8" t="s">
        <v>936</v>
      </c>
      <c r="B924">
        <f>HYPERLINK("https://www.suredividend.com/sure-analysis-research-database/","Elevate Credit Inc")</f>
        <v>0</v>
      </c>
      <c r="C924">
        <v>0.027624309392265</v>
      </c>
      <c r="D924">
        <v>0.01639344262295</v>
      </c>
      <c r="E924">
        <v>0.169811320754716</v>
      </c>
      <c r="F924">
        <v>0.062857142857142</v>
      </c>
      <c r="G924">
        <v>-0.436363636363636</v>
      </c>
      <c r="H924">
        <v>-0.5507246376811591</v>
      </c>
      <c r="I924">
        <v>-0.747625508819538</v>
      </c>
    </row>
    <row r="925" spans="1:9">
      <c r="A925" s="8" t="s">
        <v>937</v>
      </c>
      <c r="B925">
        <f>HYPERLINK("https://www.suredividend.com/sure-analysis-research-database/","Topgolf Callaway Brands Corp")</f>
        <v>0</v>
      </c>
      <c r="C925">
        <v>-0.065293602103418</v>
      </c>
      <c r="D925">
        <v>-0.04478280340349301</v>
      </c>
      <c r="E925">
        <v>-0.06937172774869101</v>
      </c>
      <c r="F925">
        <v>-0.222667638483965</v>
      </c>
      <c r="G925">
        <v>-0.233836206896551</v>
      </c>
      <c r="H925">
        <v>0.043542074363992</v>
      </c>
      <c r="I925">
        <v>0.548738428026865</v>
      </c>
    </row>
    <row r="926" spans="1:9">
      <c r="A926" s="8" t="s">
        <v>938</v>
      </c>
      <c r="B926">
        <f>HYPERLINK("https://www.suredividend.com/sure-analysis-research-database/","EMagin Corp")</f>
        <v>0</v>
      </c>
      <c r="C926">
        <v>0.050761421319796</v>
      </c>
      <c r="D926">
        <v>0.040201005025125</v>
      </c>
      <c r="E926">
        <v>-0.05045871559633</v>
      </c>
      <c r="F926">
        <v>1.435294117647058</v>
      </c>
      <c r="G926">
        <v>1.872606161532056</v>
      </c>
      <c r="H926">
        <v>-0.06334841628959201</v>
      </c>
      <c r="I926">
        <v>0.408163265306122</v>
      </c>
    </row>
    <row r="927" spans="1:9">
      <c r="A927" s="8" t="s">
        <v>939</v>
      </c>
      <c r="B927">
        <f>HYPERLINK("https://www.suredividend.com/sure-analysis-research-database/","Emclaire Financial Corp.")</f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</row>
    <row r="928" spans="1:9">
      <c r="A928" s="8" t="s">
        <v>940</v>
      </c>
      <c r="B928">
        <f>HYPERLINK("https://www.suredividend.com/sure-analysis-research-database/","Emcor Group, Inc.")</f>
        <v>0</v>
      </c>
      <c r="C928">
        <v>0.001624976690908</v>
      </c>
      <c r="D928">
        <v>0.154761009003143</v>
      </c>
      <c r="E928">
        <v>0.772612477211793</v>
      </c>
      <c r="F928">
        <v>0.748009547107462</v>
      </c>
      <c r="G928">
        <v>1.134775896790398</v>
      </c>
      <c r="H928">
        <v>2.47153937842826</v>
      </c>
      <c r="I928">
        <v>3.560018822205351</v>
      </c>
    </row>
    <row r="929" spans="1:9">
      <c r="A929" s="8" t="s">
        <v>941</v>
      </c>
      <c r="B929">
        <f>HYPERLINK("https://www.suredividend.com/sure-analysis-research-database/","Emcore Corp.")</f>
        <v>0</v>
      </c>
      <c r="C929">
        <v>-0.6890243902439021</v>
      </c>
      <c r="D929">
        <v>-0.778260869565217</v>
      </c>
      <c r="E929">
        <v>-0.8044906900328581</v>
      </c>
      <c r="F929">
        <v>-0.8174846625766871</v>
      </c>
      <c r="G929">
        <v>-0.8788187372708751</v>
      </c>
      <c r="H929">
        <v>-0.9747881355932201</v>
      </c>
      <c r="I929">
        <v>-0.9754807692307691</v>
      </c>
    </row>
    <row r="930" spans="1:9">
      <c r="A930" s="8" t="s">
        <v>942</v>
      </c>
      <c r="B930">
        <f>HYPERLINK("https://www.suredividend.com/sure-analysis-research-database/","Eastern Co.")</f>
        <v>0</v>
      </c>
      <c r="C930">
        <v>-0.00405343788259</v>
      </c>
      <c r="D930">
        <v>0.155756282914472</v>
      </c>
      <c r="E930">
        <v>0.493911797810293</v>
      </c>
      <c r="F930">
        <v>0.282045356860606</v>
      </c>
      <c r="G930">
        <v>0.7186367381835981</v>
      </c>
      <c r="H930">
        <v>0.393458680986371</v>
      </c>
      <c r="I930">
        <v>0.156609225355342</v>
      </c>
    </row>
    <row r="931" spans="1:9">
      <c r="A931" s="8" t="s">
        <v>943</v>
      </c>
      <c r="B931">
        <f>HYPERLINK("https://www.suredividend.com/sure-analysis-research-database/","Emmis Corp")</f>
        <v>0</v>
      </c>
      <c r="C931">
        <v>-0.014522821576763</v>
      </c>
      <c r="D931">
        <v>-0.02061855670103</v>
      </c>
      <c r="E931">
        <v>0.04972375690607701</v>
      </c>
      <c r="F931">
        <v>-0.05</v>
      </c>
      <c r="G931">
        <v>0.8199233716475091</v>
      </c>
      <c r="H931">
        <v>0.397058823529411</v>
      </c>
      <c r="I931">
        <v>2.544776119402985</v>
      </c>
    </row>
    <row r="932" spans="1:9">
      <c r="A932" s="8" t="s">
        <v>944</v>
      </c>
      <c r="B932">
        <f>HYPERLINK("https://www.suredividend.com/sure-analysis-EMN/","Eastman Chemical Co")</f>
        <v>0</v>
      </c>
      <c r="C932">
        <v>0.026532843088542</v>
      </c>
      <c r="D932">
        <v>0.168244116652511</v>
      </c>
      <c r="E932">
        <v>0.236125005384862</v>
      </c>
      <c r="F932">
        <v>0.160180103079699</v>
      </c>
      <c r="G932">
        <v>0.280733576420616</v>
      </c>
      <c r="H932">
        <v>-0.009917122491366</v>
      </c>
      <c r="I932">
        <v>0.717818752660706</v>
      </c>
    </row>
    <row r="933" spans="1:9">
      <c r="A933" s="8" t="s">
        <v>945</v>
      </c>
      <c r="B933">
        <f>HYPERLINK("https://www.suredividend.com/sure-analysis-EMR/","Emerson Electric Co.")</f>
        <v>0</v>
      </c>
      <c r="C933">
        <v>0.010018810407739</v>
      </c>
      <c r="D933">
        <v>-0.016358796747552</v>
      </c>
      <c r="E933">
        <v>0.228750345650044</v>
      </c>
      <c r="F933">
        <v>0.120052444759776</v>
      </c>
      <c r="G933">
        <v>0.308918293824155</v>
      </c>
      <c r="H933">
        <v>0.241015338572614</v>
      </c>
      <c r="I933">
        <v>0.929451201752552</v>
      </c>
    </row>
    <row r="934" spans="1:9">
      <c r="A934" s="8" t="s">
        <v>946</v>
      </c>
      <c r="B934">
        <f>HYPERLINK("https://www.suredividend.com/sure-analysis-research-database/","Endo International plc")</f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</row>
    <row r="935" spans="1:9">
      <c r="A935" s="8" t="s">
        <v>947</v>
      </c>
      <c r="B935">
        <f>HYPERLINK("https://www.suredividend.com/sure-analysis-research-database/","Englobal Corporation")</f>
        <v>0</v>
      </c>
      <c r="C935">
        <v>-0.181818181818181</v>
      </c>
      <c r="D935">
        <v>-0.248204042991591</v>
      </c>
      <c r="E935">
        <v>-0.312977099236641</v>
      </c>
      <c r="F935">
        <v>-0.203069657615112</v>
      </c>
      <c r="G935">
        <v>-0.675418349682631</v>
      </c>
      <c r="H935">
        <v>-0.8545258620689651</v>
      </c>
      <c r="I935">
        <v>-0.79420731707317</v>
      </c>
    </row>
    <row r="936" spans="1:9">
      <c r="A936" s="8" t="s">
        <v>948</v>
      </c>
      <c r="B936">
        <f>HYPERLINK("https://www.suredividend.com/sure-analysis-research-database/","Enochian Biosciences Inc")</f>
        <v>0</v>
      </c>
      <c r="C936">
        <v>0.5317286652078771</v>
      </c>
      <c r="D936">
        <v>-0.4400000000000001</v>
      </c>
      <c r="E936">
        <v>-0.363636363636363</v>
      </c>
      <c r="F936">
        <v>-0.320388349514563</v>
      </c>
      <c r="G936">
        <v>-0.7552447552447551</v>
      </c>
      <c r="H936">
        <v>-0.8786828422876951</v>
      </c>
      <c r="I936">
        <v>-0.9166666666666661</v>
      </c>
    </row>
    <row r="937" spans="1:9">
      <c r="A937" s="8" t="s">
        <v>949</v>
      </c>
      <c r="B937">
        <f>HYPERLINK("https://www.suredividend.com/sure-analysis-research-database/","Enphase Energy Inc")</f>
        <v>0</v>
      </c>
      <c r="C937">
        <v>0.06808788340221801</v>
      </c>
      <c r="D937">
        <v>-0.053512221451152</v>
      </c>
      <c r="E937">
        <v>0.145376504618829</v>
      </c>
      <c r="F937">
        <v>-0.071060995913425</v>
      </c>
      <c r="G937">
        <v>-0.325882805206216</v>
      </c>
      <c r="H937">
        <v>-0.414444497447884</v>
      </c>
      <c r="I937">
        <v>6.503056234718826</v>
      </c>
    </row>
    <row r="938" spans="1:9">
      <c r="A938" s="8" t="s">
        <v>950</v>
      </c>
      <c r="B938">
        <f>HYPERLINK("https://www.suredividend.com/sure-analysis-research-database/","Energizer Holdings Inc")</f>
        <v>0</v>
      </c>
      <c r="C938">
        <v>-0.009286630598471001</v>
      </c>
      <c r="D938">
        <v>0.015605736278423</v>
      </c>
      <c r="E938">
        <v>-0.063680900342306</v>
      </c>
      <c r="F938">
        <v>-0.084961428001081</v>
      </c>
      <c r="G938">
        <v>-0.115479421357966</v>
      </c>
      <c r="H938">
        <v>0.005174420044069</v>
      </c>
      <c r="I938">
        <v>-0.237221036810392</v>
      </c>
    </row>
    <row r="939" spans="1:9">
      <c r="A939" s="8" t="s">
        <v>951</v>
      </c>
      <c r="B939">
        <f>HYPERLINK("https://www.suredividend.com/sure-analysis-research-database/","Enersys")</f>
        <v>0</v>
      </c>
      <c r="C939">
        <v>0.09605885444035701</v>
      </c>
      <c r="D939">
        <v>0.13266358946511</v>
      </c>
      <c r="E939">
        <v>0.155073840994322</v>
      </c>
      <c r="F939">
        <v>0.03550751187274</v>
      </c>
      <c r="G939">
        <v>-0.006786498620034001</v>
      </c>
      <c r="H939">
        <v>0.50094483678718</v>
      </c>
      <c r="I939">
        <v>0.771467299450843</v>
      </c>
    </row>
    <row r="940" spans="1:9">
      <c r="A940" s="8" t="s">
        <v>952</v>
      </c>
      <c r="B940">
        <f>HYPERLINK("https://www.suredividend.com/sure-analysis-ENSG/","Ensign Group Inc")</f>
        <v>0</v>
      </c>
      <c r="C940">
        <v>0.009156422212801</v>
      </c>
      <c r="D940">
        <v>-0.041540749616108</v>
      </c>
      <c r="E940">
        <v>0.116353838116969</v>
      </c>
      <c r="F940">
        <v>0.06181317333433201</v>
      </c>
      <c r="G940">
        <v>0.270359314349627</v>
      </c>
      <c r="H940">
        <v>0.5017606544512191</v>
      </c>
      <c r="I940">
        <v>1.350661969160768</v>
      </c>
    </row>
    <row r="941" spans="1:9">
      <c r="A941" s="8" t="s">
        <v>953</v>
      </c>
      <c r="B941">
        <f>HYPERLINK("https://www.suredividend.com/sure-analysis-research-database/","Enservco Corp")</f>
        <v>0</v>
      </c>
      <c r="C941">
        <v>0.151904761904762</v>
      </c>
      <c r="D941">
        <v>0.234183673469387</v>
      </c>
      <c r="E941">
        <v>-0.193397799266422</v>
      </c>
      <c r="F941">
        <v>-0.04007936507936501</v>
      </c>
      <c r="G941">
        <v>-0.414569215876089</v>
      </c>
      <c r="H941">
        <v>-0.9188255033557041</v>
      </c>
      <c r="I941">
        <v>-0.9629782675237221</v>
      </c>
    </row>
    <row r="942" spans="1:9">
      <c r="A942" s="8" t="s">
        <v>954</v>
      </c>
      <c r="B942">
        <f>HYPERLINK("https://www.suredividend.com/sure-analysis-research-database/","Enanta Pharmaceuticals Inc")</f>
        <v>0</v>
      </c>
      <c r="C942">
        <v>-0.014503816793893</v>
      </c>
      <c r="D942">
        <v>-0.178753180661577</v>
      </c>
      <c r="E942">
        <v>0.361814345991561</v>
      </c>
      <c r="F942">
        <v>0.371944739638682</v>
      </c>
      <c r="G942">
        <v>-0.509125475285171</v>
      </c>
      <c r="H942">
        <v>-0.703150149459645</v>
      </c>
      <c r="I942">
        <v>-0.857631230701367</v>
      </c>
    </row>
    <row r="943" spans="1:9">
      <c r="A943" s="8" t="s">
        <v>955</v>
      </c>
      <c r="B943">
        <f>HYPERLINK("https://www.suredividend.com/sure-analysis-research-database/","Entegris Inc")</f>
        <v>0</v>
      </c>
      <c r="C943">
        <v>-0.019743782969103</v>
      </c>
      <c r="D943">
        <v>-0.104521998689275</v>
      </c>
      <c r="E943">
        <v>0.227754732207325</v>
      </c>
      <c r="F943">
        <v>0.08819499169297601</v>
      </c>
      <c r="G943">
        <v>0.198781312724518</v>
      </c>
      <c r="H943">
        <v>0.167729095467778</v>
      </c>
      <c r="I943">
        <v>2.76134214681032</v>
      </c>
    </row>
    <row r="944" spans="1:9">
      <c r="A944" s="8" t="s">
        <v>956</v>
      </c>
      <c r="B944">
        <f>HYPERLINK("https://www.suredividend.com/sure-analysis-research-database/","Envestnet Inc.")</f>
        <v>0</v>
      </c>
      <c r="C944">
        <v>0.024059910771191</v>
      </c>
      <c r="D944">
        <v>0.21332829903719</v>
      </c>
      <c r="E944">
        <v>0.558060606060605</v>
      </c>
      <c r="F944">
        <v>0.297859450726978</v>
      </c>
      <c r="G944">
        <v>0.189744539059607</v>
      </c>
      <c r="H944">
        <v>0.020644751468953</v>
      </c>
      <c r="I944">
        <v>-0.069629415170816</v>
      </c>
    </row>
    <row r="945" spans="1:9">
      <c r="A945" s="8" t="s">
        <v>957</v>
      </c>
      <c r="B945">
        <f>HYPERLINK("https://www.suredividend.com/sure-analysis-research-database/","Enova International Inc.")</f>
        <v>0</v>
      </c>
      <c r="C945">
        <v>-0.05463258785942401</v>
      </c>
      <c r="D945">
        <v>-0.061974956411475</v>
      </c>
      <c r="E945">
        <v>0.251956843664057</v>
      </c>
      <c r="F945">
        <v>0.06900289017341001</v>
      </c>
      <c r="G945">
        <v>0.135674534638265</v>
      </c>
      <c r="H945">
        <v>0.802070645554201</v>
      </c>
      <c r="I945">
        <v>1.554164868364264</v>
      </c>
    </row>
    <row r="946" spans="1:9">
      <c r="A946" s="8" t="s">
        <v>958</v>
      </c>
      <c r="B946">
        <f>HYPERLINK("https://www.suredividend.com/sure-analysis-research-database/","Enzo Biochem, Inc.")</f>
        <v>0</v>
      </c>
      <c r="C946">
        <v>0.036697247706421</v>
      </c>
      <c r="D946">
        <v>-0.150375939849624</v>
      </c>
      <c r="E946">
        <v>-0.066115702479338</v>
      </c>
      <c r="F946">
        <v>-0.18705035971223</v>
      </c>
      <c r="G946">
        <v>-0.484018264840182</v>
      </c>
      <c r="H946">
        <v>-0.538775510204081</v>
      </c>
      <c r="I946">
        <v>-0.675287356321839</v>
      </c>
    </row>
    <row r="947" spans="1:9">
      <c r="A947" s="8" t="s">
        <v>959</v>
      </c>
      <c r="B947">
        <f>HYPERLINK("https://www.suredividend.com/sure-analysis-EOG/","EOG Resources, Inc.")</f>
        <v>0</v>
      </c>
      <c r="C947">
        <v>-0.077306924612313</v>
      </c>
      <c r="D947">
        <v>0.02676210710481</v>
      </c>
      <c r="E947">
        <v>0.043719144982219</v>
      </c>
      <c r="F947">
        <v>0.008352741403958001</v>
      </c>
      <c r="G947">
        <v>0.07640900855556601</v>
      </c>
      <c r="H947">
        <v>-0.077057518997917</v>
      </c>
      <c r="I947">
        <v>0.7667101766269191</v>
      </c>
    </row>
    <row r="948" spans="1:9">
      <c r="A948" s="8" t="s">
        <v>960</v>
      </c>
      <c r="B948">
        <f>HYPERLINK("https://www.suredividend.com/sure-analysis-research-database/","Evolus Inc")</f>
        <v>0</v>
      </c>
      <c r="C948">
        <v>-0.128912071535022</v>
      </c>
      <c r="D948">
        <v>-0.209601081812035</v>
      </c>
      <c r="E948">
        <v>0.21897810218978</v>
      </c>
      <c r="F948">
        <v>0.110161443494776</v>
      </c>
      <c r="G948">
        <v>0.335999999999999</v>
      </c>
      <c r="H948">
        <v>-0.081696779261586</v>
      </c>
      <c r="I948">
        <v>-0.193236714975845</v>
      </c>
    </row>
    <row r="949" spans="1:9">
      <c r="A949" s="8" t="s">
        <v>961</v>
      </c>
      <c r="B949">
        <f>HYPERLINK("https://www.suredividend.com/sure-analysis-research-database/","EPAM Systems Inc")</f>
        <v>0</v>
      </c>
      <c r="C949">
        <v>-0.290775026047928</v>
      </c>
      <c r="D949">
        <v>-0.437498013539713</v>
      </c>
      <c r="E949">
        <v>-0.330534120139204</v>
      </c>
      <c r="F949">
        <v>-0.404789130288558</v>
      </c>
      <c r="G949">
        <v>-0.157719398438987</v>
      </c>
      <c r="H949">
        <v>-0.482014809611613</v>
      </c>
      <c r="I949">
        <v>0.001301272984441</v>
      </c>
    </row>
    <row r="950" spans="1:9">
      <c r="A950" s="8" t="s">
        <v>962</v>
      </c>
      <c r="B950">
        <f>HYPERLINK("https://www.suredividend.com/sure-analysis-research-database/","Bottomline Technologies (Delaware) Inc")</f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</row>
    <row r="951" spans="1:9">
      <c r="A951" s="8" t="s">
        <v>963</v>
      </c>
      <c r="B951">
        <f>HYPERLINK("https://www.suredividend.com/sure-analysis-research-database/","Edgewell Personal Care Co")</f>
        <v>0</v>
      </c>
      <c r="C951">
        <v>0.03777412397770701</v>
      </c>
      <c r="D951">
        <v>0.015894250843312</v>
      </c>
      <c r="E951">
        <v>0.111654357839479</v>
      </c>
      <c r="F951">
        <v>0.069774736477172</v>
      </c>
      <c r="G951">
        <v>-0.065793330802389</v>
      </c>
      <c r="H951">
        <v>0.123952798607778</v>
      </c>
      <c r="I951">
        <v>0.3411012345168</v>
      </c>
    </row>
    <row r="952" spans="1:9">
      <c r="A952" s="8" t="s">
        <v>964</v>
      </c>
      <c r="B952">
        <f>HYPERLINK("https://www.suredividend.com/sure-analysis-research-database/","Evolution Petroleum Corporation")</f>
        <v>0</v>
      </c>
      <c r="C952">
        <v>-0.027322404371584</v>
      </c>
      <c r="D952">
        <v>-0.04809440621769</v>
      </c>
      <c r="E952">
        <v>-0.042890685211406</v>
      </c>
      <c r="F952">
        <v>-0.043182225407633</v>
      </c>
      <c r="G952">
        <v>-0.25677462455984</v>
      </c>
      <c r="H952">
        <v>-0.109346854359863</v>
      </c>
      <c r="I952">
        <v>0.230613232549028</v>
      </c>
    </row>
    <row r="953" spans="1:9">
      <c r="A953" s="8" t="s">
        <v>965</v>
      </c>
      <c r="B953">
        <f>HYPERLINK("https://www.suredividend.com/sure-analysis-EPR/","EPR Properties")</f>
        <v>0</v>
      </c>
      <c r="C953">
        <v>-0.017937328575936</v>
      </c>
      <c r="D953">
        <v>-0.025128364523924</v>
      </c>
      <c r="E953">
        <v>-0.07316626196912</v>
      </c>
      <c r="F953">
        <v>-0.136387212724948</v>
      </c>
      <c r="G953">
        <v>-0.018266169733675</v>
      </c>
      <c r="H953">
        <v>-0.07616712104813701</v>
      </c>
      <c r="I953">
        <v>-0.321963457081426</v>
      </c>
    </row>
    <row r="954" spans="1:9">
      <c r="A954" s="8" t="s">
        <v>966</v>
      </c>
      <c r="B954">
        <f>HYPERLINK("https://www.suredividend.com/sure-analysis-EPRT/","Essential Properties Realty Trust Inc")</f>
        <v>0</v>
      </c>
      <c r="C954">
        <v>0.006600660066006001</v>
      </c>
      <c r="D954">
        <v>0.115899020285377</v>
      </c>
      <c r="E954">
        <v>0.138763166300907</v>
      </c>
      <c r="F954">
        <v>0.08577847745773501</v>
      </c>
      <c r="G954">
        <v>0.154569276259616</v>
      </c>
      <c r="H954">
        <v>0.282860147213459</v>
      </c>
      <c r="I954">
        <v>0.644283643421068</v>
      </c>
    </row>
    <row r="955" spans="1:9">
      <c r="A955" s="8" t="s">
        <v>967</v>
      </c>
      <c r="B955">
        <f>HYPERLINK("https://www.suredividend.com/sure-analysis-research-database/","Epizyme Inc")</f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</row>
    <row r="956" spans="1:9">
      <c r="A956" s="8" t="s">
        <v>968</v>
      </c>
      <c r="B956">
        <f>HYPERLINK("https://www.suredividend.com/sure-analysis-research-database/","Equity Bancshares Inc")</f>
        <v>0</v>
      </c>
      <c r="C956">
        <v>-0.019050410316529</v>
      </c>
      <c r="D956">
        <v>0.050401707255837</v>
      </c>
      <c r="E956">
        <v>0.063711453569487</v>
      </c>
      <c r="F956">
        <v>-0.009089025076235002</v>
      </c>
      <c r="G956">
        <v>0.346458656840106</v>
      </c>
      <c r="H956">
        <v>0.06514336632403001</v>
      </c>
      <c r="I956">
        <v>0.42404928648621</v>
      </c>
    </row>
    <row r="957" spans="1:9">
      <c r="A957" s="8" t="s">
        <v>969</v>
      </c>
      <c r="B957">
        <f>HYPERLINK("https://www.suredividend.com/sure-analysis-research-database/","Equity Commonwealth")</f>
        <v>0</v>
      </c>
      <c r="C957">
        <v>-0.001053185887309</v>
      </c>
      <c r="D957">
        <v>0.009042553191489</v>
      </c>
      <c r="E957">
        <v>-0.005765199161425</v>
      </c>
      <c r="F957">
        <v>-0.011979166666666</v>
      </c>
      <c r="G957">
        <v>-0.104766399244926</v>
      </c>
      <c r="H957">
        <v>-0.154476328011481</v>
      </c>
      <c r="I957">
        <v>-0.108766226139412</v>
      </c>
    </row>
    <row r="958" spans="1:9">
      <c r="A958" s="8" t="s">
        <v>970</v>
      </c>
      <c r="B958">
        <f>HYPERLINK("https://www.suredividend.com/sure-analysis-EQH/","Equitable Holdings Inc")</f>
        <v>0</v>
      </c>
      <c r="C958">
        <v>0.024440141931896</v>
      </c>
      <c r="D958">
        <v>0.20326703779385</v>
      </c>
      <c r="E958">
        <v>0.275588800482792</v>
      </c>
      <c r="F958">
        <v>0.220809698384615</v>
      </c>
      <c r="G958">
        <v>0.5589093845102781</v>
      </c>
      <c r="H958">
        <v>0.427469547197844</v>
      </c>
      <c r="I958">
        <v>1.203796280545022</v>
      </c>
    </row>
    <row r="959" spans="1:9">
      <c r="A959" s="8" t="s">
        <v>971</v>
      </c>
      <c r="B959">
        <f>HYPERLINK("https://www.suredividend.com/sure-analysis-EQIX/","Equinix Inc")</f>
        <v>0</v>
      </c>
      <c r="C959">
        <v>0.06975038305779101</v>
      </c>
      <c r="D959">
        <v>-0.159522400687563</v>
      </c>
      <c r="E959">
        <v>-0.050795463865934</v>
      </c>
      <c r="F959">
        <v>-0.045232549916852</v>
      </c>
      <c r="G959">
        <v>0.062027216112579</v>
      </c>
      <c r="H959">
        <v>0.161756276828576</v>
      </c>
      <c r="I959">
        <v>0.6880892229958711</v>
      </c>
    </row>
    <row r="960" spans="1:9">
      <c r="A960" s="8" t="s">
        <v>972</v>
      </c>
      <c r="B960">
        <f>HYPERLINK("https://www.suredividend.com/sure-analysis-EQR/","Equity Residential Properties Trust")</f>
        <v>0</v>
      </c>
      <c r="C960">
        <v>-0.024437781109445</v>
      </c>
      <c r="D960">
        <v>0.045124918688413</v>
      </c>
      <c r="E960">
        <v>0.132441929067053</v>
      </c>
      <c r="F960">
        <v>0.07537010778490601</v>
      </c>
      <c r="G960">
        <v>0.048085998782306</v>
      </c>
      <c r="H960">
        <v>-0.067802437724561</v>
      </c>
      <c r="I960">
        <v>0.002335239315817</v>
      </c>
    </row>
    <row r="961" spans="1:9">
      <c r="A961" s="8" t="s">
        <v>973</v>
      </c>
      <c r="B961">
        <f>HYPERLINK("https://www.suredividend.com/sure-analysis-research-database/","EQT Corp")</f>
        <v>0</v>
      </c>
      <c r="C961">
        <v>0.000740557886941</v>
      </c>
      <c r="D961">
        <v>0.09222189293315701</v>
      </c>
      <c r="E961">
        <v>0.105240486589348</v>
      </c>
      <c r="F961">
        <v>0.057497169747338</v>
      </c>
      <c r="G961">
        <v>0.06110376778212501</v>
      </c>
      <c r="H961">
        <v>-0.159106088702484</v>
      </c>
      <c r="I961">
        <v>1.414374281613474</v>
      </c>
    </row>
    <row r="962" spans="1:9">
      <c r="A962" s="8" t="s">
        <v>974</v>
      </c>
      <c r="B962">
        <f>HYPERLINK("https://www.suredividend.com/sure-analysis-ERIE/","Erie Indemnity Co.")</f>
        <v>0</v>
      </c>
      <c r="C962">
        <v>-0.118291239147592</v>
      </c>
      <c r="D962">
        <v>-0.137964503371048</v>
      </c>
      <c r="E962">
        <v>0.184683423280414</v>
      </c>
      <c r="F962">
        <v>0.082457931665982</v>
      </c>
      <c r="G962">
        <v>0.7182647583167461</v>
      </c>
      <c r="H962">
        <v>1.122268502467312</v>
      </c>
      <c r="I962">
        <v>0.7343421381389831</v>
      </c>
    </row>
    <row r="963" spans="1:9">
      <c r="A963" s="8" t="s">
        <v>975</v>
      </c>
      <c r="B963">
        <f>HYPERLINK("https://www.suredividend.com/sure-analysis-research-database/","Energy Recovery Inc")</f>
        <v>0</v>
      </c>
      <c r="C963">
        <v>-0.038932948810382</v>
      </c>
      <c r="D963">
        <v>-0.14331619537275</v>
      </c>
      <c r="E963">
        <v>-0.274755168661588</v>
      </c>
      <c r="F963">
        <v>-0.292462845010615</v>
      </c>
      <c r="G963">
        <v>-0.499624624624624</v>
      </c>
      <c r="H963">
        <v>-0.362505978000956</v>
      </c>
      <c r="I963">
        <v>0.341046277665996</v>
      </c>
    </row>
    <row r="964" spans="1:9">
      <c r="A964" s="8" t="s">
        <v>976</v>
      </c>
      <c r="B964">
        <f>HYPERLINK("https://www.suredividend.com/sure-analysis-ES/","Eversource Energy")</f>
        <v>0</v>
      </c>
      <c r="C964">
        <v>-0.030963511425631</v>
      </c>
      <c r="D964">
        <v>-0.002424969006716</v>
      </c>
      <c r="E964">
        <v>0.004720023051275</v>
      </c>
      <c r="F964">
        <v>-0.027696863168831</v>
      </c>
      <c r="G964">
        <v>-0.145386428888214</v>
      </c>
      <c r="H964">
        <v>-0.317677260645422</v>
      </c>
      <c r="I964">
        <v>-0.09799628296863601</v>
      </c>
    </row>
    <row r="965" spans="1:9">
      <c r="A965" s="8" t="s">
        <v>977</v>
      </c>
      <c r="B965">
        <f>HYPERLINK("https://www.suredividend.com/sure-analysis-research-database/","Elmira Savings Bank Elmira NY")</f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</row>
    <row r="966" spans="1:9">
      <c r="A966" s="8" t="s">
        <v>978</v>
      </c>
      <c r="B966">
        <f>HYPERLINK("https://www.suredividend.com/sure-analysis-research-database/","Escalade, Inc.")</f>
        <v>0</v>
      </c>
      <c r="C966">
        <v>0.034848484848484</v>
      </c>
      <c r="D966">
        <v>-0.029395254979145</v>
      </c>
      <c r="E966">
        <v>-0.276375733689318</v>
      </c>
      <c r="F966">
        <v>-0.2940240114527291</v>
      </c>
      <c r="G966">
        <v>0.138115194587703</v>
      </c>
      <c r="H966">
        <v>0.09491098838560701</v>
      </c>
      <c r="I966">
        <v>0.55363215540871</v>
      </c>
    </row>
    <row r="967" spans="1:9">
      <c r="A967" s="8" t="s">
        <v>979</v>
      </c>
      <c r="B967">
        <f>HYPERLINK("https://www.suredividend.com/sure-analysis-research-database/","Esco Technologies, Inc.")</f>
        <v>0</v>
      </c>
      <c r="C967">
        <v>-0.028676133760879</v>
      </c>
      <c r="D967">
        <v>0.053625377643504</v>
      </c>
      <c r="E967">
        <v>0.006864380059488</v>
      </c>
      <c r="F967">
        <v>-0.09276367357975801</v>
      </c>
      <c r="G967">
        <v>0.08132365765223601</v>
      </c>
      <c r="H967">
        <v>0.568266637871228</v>
      </c>
      <c r="I967">
        <v>0.456222666637364</v>
      </c>
    </row>
    <row r="968" spans="1:9">
      <c r="A968" s="8" t="s">
        <v>980</v>
      </c>
      <c r="B968">
        <f>HYPERLINK("https://www.suredividend.com/sure-analysis-research-database/","Enstar Group Limited")</f>
        <v>0</v>
      </c>
      <c r="C968">
        <v>0.009226521197427002</v>
      </c>
      <c r="D968">
        <v>0.004895222129086</v>
      </c>
      <c r="E968">
        <v>0.070737022614411</v>
      </c>
      <c r="F968">
        <v>0.01820961440462</v>
      </c>
      <c r="G968">
        <v>0.16301901435778</v>
      </c>
      <c r="H968">
        <v>0.325153645487907</v>
      </c>
      <c r="I968">
        <v>0.778799928779155</v>
      </c>
    </row>
    <row r="969" spans="1:9">
      <c r="A969" s="8" t="s">
        <v>981</v>
      </c>
      <c r="B969">
        <f>HYPERLINK("https://www.suredividend.com/sure-analysis-research-database/","Element Solutions Inc")</f>
        <v>0</v>
      </c>
      <c r="C969">
        <v>-0.016710075795264</v>
      </c>
      <c r="D969">
        <v>-0.022817542751732</v>
      </c>
      <c r="E969">
        <v>0.146176487787762</v>
      </c>
      <c r="F969">
        <v>0.023338380410379</v>
      </c>
      <c r="G969">
        <v>0.241586823976561</v>
      </c>
      <c r="H969">
        <v>0.103520756699947</v>
      </c>
      <c r="I969">
        <v>1.385468117691207</v>
      </c>
    </row>
    <row r="970" spans="1:9">
      <c r="A970" s="8" t="s">
        <v>982</v>
      </c>
      <c r="B970">
        <f>HYPERLINK("https://www.suredividend.com/sure-analysis-research-database/","Essent Group Ltd")</f>
        <v>0</v>
      </c>
      <c r="C970">
        <v>0.006238428792638</v>
      </c>
      <c r="D970">
        <v>0.056863247847251</v>
      </c>
      <c r="E970">
        <v>0.167394005296375</v>
      </c>
      <c r="F970">
        <v>0.08151070594093501</v>
      </c>
      <c r="G970">
        <v>0.219001485165613</v>
      </c>
      <c r="H970">
        <v>0.346983658252093</v>
      </c>
      <c r="I970">
        <v>0.26721181983017</v>
      </c>
    </row>
    <row r="971" spans="1:9">
      <c r="A971" s="8" t="s">
        <v>983</v>
      </c>
      <c r="B971">
        <f>HYPERLINK("https://www.suredividend.com/sure-analysis-research-database/","Espey Manufacturing &amp; Electronics Corp.")</f>
        <v>0</v>
      </c>
      <c r="C971">
        <v>-0.134826883910387</v>
      </c>
      <c r="D971">
        <v>-0.165376484364562</v>
      </c>
      <c r="E971">
        <v>0.226172195217697</v>
      </c>
      <c r="F971">
        <v>0.151512851512309</v>
      </c>
      <c r="G971">
        <v>0.332889873425664</v>
      </c>
      <c r="H971">
        <v>0.566233076718874</v>
      </c>
      <c r="I971">
        <v>0.012387929514158</v>
      </c>
    </row>
    <row r="972" spans="1:9">
      <c r="A972" s="8" t="s">
        <v>984</v>
      </c>
      <c r="B972">
        <f>HYPERLINK("https://www.suredividend.com/sure-analysis-research-database/","Esperion Therapeutics Inc.")</f>
        <v>0</v>
      </c>
      <c r="C972">
        <v>0.181434599156117</v>
      </c>
      <c r="D972">
        <v>0.228070175438596</v>
      </c>
      <c r="E972">
        <v>0.7721518987341771</v>
      </c>
      <c r="F972">
        <v>-0.063545150501672</v>
      </c>
      <c r="G972">
        <v>1.058823529411764</v>
      </c>
      <c r="H972">
        <v>-0.5483870967741931</v>
      </c>
      <c r="I972">
        <v>-0.9435370034281101</v>
      </c>
    </row>
    <row r="973" spans="1:9">
      <c r="A973" s="8" t="s">
        <v>985</v>
      </c>
      <c r="B973">
        <f>HYPERLINK("https://www.suredividend.com/sure-analysis-research-database/","Esquire Financial Holdings Inc")</f>
        <v>0</v>
      </c>
      <c r="C973">
        <v>-0.056027082480112</v>
      </c>
      <c r="D973">
        <v>-0.044142281637889</v>
      </c>
      <c r="E973">
        <v>0.014423942052739</v>
      </c>
      <c r="F973">
        <v>-0.051768687493033</v>
      </c>
      <c r="G973">
        <v>0.062151407083884</v>
      </c>
      <c r="H973">
        <v>0.294608518573855</v>
      </c>
      <c r="I973">
        <v>0.969450161840903</v>
      </c>
    </row>
    <row r="974" spans="1:9">
      <c r="A974" s="8" t="s">
        <v>986</v>
      </c>
      <c r="B974">
        <f>HYPERLINK("https://www.suredividend.com/sure-analysis-research-database/","Empire State Realty Trust Inc")</f>
        <v>0</v>
      </c>
      <c r="C974">
        <v>-0.025504782146652</v>
      </c>
      <c r="D974">
        <v>-0.04438353880303</v>
      </c>
      <c r="E974">
        <v>-0.018506031317899</v>
      </c>
      <c r="F974">
        <v>-0.050292058494552</v>
      </c>
      <c r="G974">
        <v>0.342881410538031</v>
      </c>
      <c r="H974">
        <v>0.185642988285795</v>
      </c>
      <c r="I974">
        <v>-0.34622349602886</v>
      </c>
    </row>
    <row r="975" spans="1:9">
      <c r="A975" s="8" t="s">
        <v>987</v>
      </c>
      <c r="B975">
        <f>HYPERLINK("https://www.suredividend.com/sure-analysis-ESS/","Essex Property Trust, Inc.")</f>
        <v>0</v>
      </c>
      <c r="C975">
        <v>0.04036170295338901</v>
      </c>
      <c r="D975">
        <v>0.116954610151299</v>
      </c>
      <c r="E975">
        <v>0.215743026382444</v>
      </c>
      <c r="F975">
        <v>0.092447453958028</v>
      </c>
      <c r="G975">
        <v>0.209662862939471</v>
      </c>
      <c r="H975">
        <v>0.025539204771949</v>
      </c>
      <c r="I975">
        <v>0.070263623333639</v>
      </c>
    </row>
    <row r="976" spans="1:9">
      <c r="A976" s="8" t="s">
        <v>988</v>
      </c>
      <c r="B976">
        <f>HYPERLINK("https://www.suredividend.com/sure-analysis-research-database/","ESSA Bancorp Inc")</f>
        <v>0</v>
      </c>
      <c r="C976">
        <v>-0.012462908011869</v>
      </c>
      <c r="D976">
        <v>-0.047580889802132</v>
      </c>
      <c r="E976">
        <v>-0.020317807961095</v>
      </c>
      <c r="F976">
        <v>-0.154621891431909</v>
      </c>
      <c r="G976">
        <v>0.08334743941978401</v>
      </c>
      <c r="H976">
        <v>0.145429639368636</v>
      </c>
      <c r="I976">
        <v>0.29755694356719</v>
      </c>
    </row>
    <row r="977" spans="1:9">
      <c r="A977" s="8" t="s">
        <v>989</v>
      </c>
      <c r="B977">
        <f>HYPERLINK("https://www.suredividend.com/sure-analysis-research-database/","Elastic N.V")</f>
        <v>0</v>
      </c>
      <c r="C977">
        <v>0.046750818139317</v>
      </c>
      <c r="D977">
        <v>0.048220973782771</v>
      </c>
      <c r="E977">
        <v>-0.010955031363194</v>
      </c>
      <c r="F977">
        <v>-0.006654835847382001</v>
      </c>
      <c r="G977">
        <v>0.656065088757396</v>
      </c>
      <c r="H977">
        <v>0.438761084693484</v>
      </c>
      <c r="I977">
        <v>0.375476102715321</v>
      </c>
    </row>
    <row r="978" spans="1:9">
      <c r="A978" s="8" t="s">
        <v>990</v>
      </c>
      <c r="B978">
        <f>HYPERLINK("https://www.suredividend.com/sure-analysis-research-database/","Earthstone Energy Inc")</f>
        <v>0</v>
      </c>
      <c r="C978">
        <v>0.04594861660079001</v>
      </c>
      <c r="D978">
        <v>0.324780976220275</v>
      </c>
      <c r="E978">
        <v>0.561209439528023</v>
      </c>
      <c r="F978">
        <v>0.487702037947997</v>
      </c>
      <c r="G978">
        <v>0.310024752475247</v>
      </c>
      <c r="H978">
        <v>1.085714285714286</v>
      </c>
      <c r="I978">
        <v>1.572296476306196</v>
      </c>
    </row>
    <row r="979" spans="1:9">
      <c r="A979" s="8" t="s">
        <v>991</v>
      </c>
      <c r="B979">
        <f>HYPERLINK("https://www.suredividend.com/sure-analysis-research-database/","Community Bankers Trust Corp")</f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</row>
    <row r="980" spans="1:9">
      <c r="A980" s="8" t="s">
        <v>992</v>
      </c>
      <c r="B980">
        <f>HYPERLINK("https://www.suredividend.com/sure-analysis-ETN/","Eaton Corporation plc")</f>
        <v>0</v>
      </c>
      <c r="C980">
        <v>-0.03848150749778501</v>
      </c>
      <c r="D980">
        <v>0.05190531081374501</v>
      </c>
      <c r="E980">
        <v>0.389726362998309</v>
      </c>
      <c r="F980">
        <v>0.315340345306608</v>
      </c>
      <c r="G980">
        <v>0.692950243943359</v>
      </c>
      <c r="H980">
        <v>1.241526371024126</v>
      </c>
      <c r="I980">
        <v>3.504553486475465</v>
      </c>
    </row>
    <row r="981" spans="1:9">
      <c r="A981" s="8" t="s">
        <v>993</v>
      </c>
      <c r="B981">
        <f>HYPERLINK("https://www.suredividend.com/sure-analysis-ETR/","Entergy Corp.")</f>
        <v>0</v>
      </c>
      <c r="C981">
        <v>-0.019081208175076</v>
      </c>
      <c r="D981">
        <v>0.066037939825416</v>
      </c>
      <c r="E981">
        <v>0.08843114195462001</v>
      </c>
      <c r="F981">
        <v>0.09596099926747301</v>
      </c>
      <c r="G981">
        <v>0.119985131570116</v>
      </c>
      <c r="H981">
        <v>-0.018198670173768</v>
      </c>
      <c r="I981">
        <v>0.316576827422473</v>
      </c>
    </row>
    <row r="982" spans="1:9">
      <c r="A982" s="8" t="s">
        <v>994</v>
      </c>
      <c r="B982">
        <f>HYPERLINK("https://www.suredividend.com/sure-analysis-research-database/","Equitrans Midstream Corporation")</f>
        <v>0</v>
      </c>
      <c r="C982">
        <v>0.03159441587068301</v>
      </c>
      <c r="D982">
        <v>0.281220627287079</v>
      </c>
      <c r="E982">
        <v>0.471358806145333</v>
      </c>
      <c r="F982">
        <v>0.414994507321891</v>
      </c>
      <c r="G982">
        <v>0.566404855408782</v>
      </c>
      <c r="H982">
        <v>0.8952483801295891</v>
      </c>
      <c r="I982">
        <v>0.107788447123616</v>
      </c>
    </row>
    <row r="983" spans="1:9">
      <c r="A983" s="8" t="s">
        <v>995</v>
      </c>
      <c r="B983">
        <f>HYPERLINK("https://www.suredividend.com/sure-analysis-research-database/","Etsy Inc")</f>
        <v>0</v>
      </c>
      <c r="C983">
        <v>0.03998725505814801</v>
      </c>
      <c r="D983">
        <v>-0.045614035087719</v>
      </c>
      <c r="E983">
        <v>-0.173356971001646</v>
      </c>
      <c r="F983">
        <v>-0.194571252313386</v>
      </c>
      <c r="G983">
        <v>-0.254539225762247</v>
      </c>
      <c r="H983">
        <v>-0.198821796759941</v>
      </c>
      <c r="I983">
        <v>0.021756143371419</v>
      </c>
    </row>
    <row r="984" spans="1:9">
      <c r="A984" s="8" t="s">
        <v>996</v>
      </c>
      <c r="B984">
        <f>HYPERLINK("https://www.suredividend.com/sure-analysis-research-database/","NEOS ETF Trust")</f>
        <v>0</v>
      </c>
      <c r="C984">
        <v>-0.036747474747474</v>
      </c>
      <c r="D984">
        <v>0.027342066706886</v>
      </c>
      <c r="E984">
        <v>-0.05738968843903201</v>
      </c>
      <c r="F984">
        <v>-0.072913223542221</v>
      </c>
      <c r="G984">
        <v>-0.05738968843903201</v>
      </c>
      <c r="H984">
        <v>-0.05738968843903201</v>
      </c>
      <c r="I984">
        <v>-0.05738968843903201</v>
      </c>
    </row>
    <row r="985" spans="1:9">
      <c r="A985" s="8" t="s">
        <v>997</v>
      </c>
      <c r="B985">
        <f>HYPERLINK("https://www.suredividend.com/sure-analysis-research-database/","Everbridge Inc")</f>
        <v>0</v>
      </c>
      <c r="C985">
        <v>-0.0008628127696290001</v>
      </c>
      <c r="D985">
        <v>-0.01025641025641</v>
      </c>
      <c r="E985">
        <v>0.5283765948086231</v>
      </c>
      <c r="F985">
        <v>0.4290415466886051</v>
      </c>
      <c r="G985">
        <v>0.325448302174742</v>
      </c>
      <c r="H985">
        <v>-0.148738054398431</v>
      </c>
      <c r="I985">
        <v>-0.590088495575221</v>
      </c>
    </row>
    <row r="986" spans="1:9">
      <c r="A986" s="8" t="s">
        <v>998</v>
      </c>
      <c r="B986">
        <f>HYPERLINK("https://www.suredividend.com/sure-analysis-research-database/","Evans Bancorp Inc")</f>
        <v>0</v>
      </c>
      <c r="C986">
        <v>0.014067995310668</v>
      </c>
      <c r="D986">
        <v>-0.08569455503801601</v>
      </c>
      <c r="E986">
        <v>-0.06426464543022101</v>
      </c>
      <c r="F986">
        <v>-0.139052194338646</v>
      </c>
      <c r="G986">
        <v>0.12220583720015</v>
      </c>
      <c r="H986">
        <v>-0.227945114186769</v>
      </c>
      <c r="I986">
        <v>-0.06333244298780701</v>
      </c>
    </row>
    <row r="987" spans="1:9">
      <c r="A987" s="8" t="s">
        <v>999</v>
      </c>
      <c r="B987">
        <f>HYPERLINK("https://www.suredividend.com/sure-analysis-research-database/","Entravision Communications Corp.")</f>
        <v>0</v>
      </c>
      <c r="C987">
        <v>-0.004761904761904001</v>
      </c>
      <c r="D987">
        <v>0.3582894651329041</v>
      </c>
      <c r="E987">
        <v>-0.485778958763901</v>
      </c>
      <c r="F987">
        <v>-0.482096394498822</v>
      </c>
      <c r="G987">
        <v>-0.5263670768463751</v>
      </c>
      <c r="H987">
        <v>-0.5633005286362021</v>
      </c>
      <c r="I987">
        <v>-0.117659475661755</v>
      </c>
    </row>
    <row r="988" spans="1:9">
      <c r="A988" s="8" t="s">
        <v>1000</v>
      </c>
      <c r="B988">
        <f>HYPERLINK("https://www.suredividend.com/sure-analysis-research-database/","EverQuote Inc")</f>
        <v>0</v>
      </c>
      <c r="C988">
        <v>-0.112297350731514</v>
      </c>
      <c r="D988">
        <v>0.460637605725439</v>
      </c>
      <c r="E988">
        <v>1.214003944773175</v>
      </c>
      <c r="F988">
        <v>0.8341503267973851</v>
      </c>
      <c r="G988">
        <v>1.580459770114942</v>
      </c>
      <c r="H988">
        <v>1.589388696655132</v>
      </c>
      <c r="I988">
        <v>0.872393661384486</v>
      </c>
    </row>
    <row r="989" spans="1:9">
      <c r="A989" s="8" t="s">
        <v>1001</v>
      </c>
      <c r="B989">
        <f>HYPERLINK("https://www.suredividend.com/sure-analysis-research-database/","Evofem Biosciences Inc")</f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</row>
    <row r="990" spans="1:9">
      <c r="A990" s="8" t="s">
        <v>1002</v>
      </c>
      <c r="B990">
        <f>HYPERLINK("https://www.suredividend.com/sure-analysis-research-database/","Evolent Health Inc")</f>
        <v>0</v>
      </c>
      <c r="C990">
        <v>-0.149583484244838</v>
      </c>
      <c r="D990">
        <v>-0.309614819170832</v>
      </c>
      <c r="E990">
        <v>-0.15142753885074</v>
      </c>
      <c r="F990">
        <v>-0.289131092945806</v>
      </c>
      <c r="G990">
        <v>-0.27620221948212</v>
      </c>
      <c r="H990">
        <v>-0.22277391592188</v>
      </c>
      <c r="I990">
        <v>1.638202247191011</v>
      </c>
    </row>
    <row r="991" spans="1:9">
      <c r="A991" s="8" t="s">
        <v>1003</v>
      </c>
      <c r="B991">
        <f>HYPERLINK("https://www.suredividend.com/sure-analysis-research-database/","EVI Industries Inc")</f>
        <v>0</v>
      </c>
      <c r="C991">
        <v>-0.168825368468066</v>
      </c>
      <c r="D991">
        <v>-0.112541726275631</v>
      </c>
      <c r="E991">
        <v>-0.30247376311844</v>
      </c>
      <c r="F991">
        <v>-0.215760640539401</v>
      </c>
      <c r="G991">
        <v>-0.219870048207922</v>
      </c>
      <c r="H991">
        <v>0.8010955616205021</v>
      </c>
      <c r="I991">
        <v>-0.461964566564899</v>
      </c>
    </row>
    <row r="992" spans="1:9">
      <c r="A992" s="8" t="s">
        <v>1004</v>
      </c>
      <c r="B992">
        <f>HYPERLINK("https://www.suredividend.com/sure-analysis-research-database/","Evoke Pharma Inc")</f>
        <v>0</v>
      </c>
      <c r="C992">
        <v>0.191489361702127</v>
      </c>
      <c r="D992">
        <v>-0.194244604316546</v>
      </c>
      <c r="E992">
        <v>-0.5433417597651471</v>
      </c>
      <c r="F992">
        <v>-0.466819004094068</v>
      </c>
      <c r="G992">
        <v>-0.631578947368421</v>
      </c>
      <c r="H992">
        <v>-0.758620689655172</v>
      </c>
      <c r="I992">
        <v>-0.9293036408624951</v>
      </c>
    </row>
    <row r="993" spans="1:9">
      <c r="A993" s="8" t="s">
        <v>1005</v>
      </c>
      <c r="B993">
        <f>HYPERLINK("https://www.suredividend.com/sure-analysis-research-database/","Symbolic Logic Inc")</f>
        <v>0</v>
      </c>
      <c r="C993">
        <v>-0.018867924528301</v>
      </c>
      <c r="D993">
        <v>0.152354570637119</v>
      </c>
      <c r="E993">
        <v>0.28395061728395</v>
      </c>
      <c r="F993">
        <v>0.359477124183006</v>
      </c>
      <c r="G993">
        <v>0.223529411764706</v>
      </c>
      <c r="H993">
        <v>-0.287671232876712</v>
      </c>
      <c r="I993">
        <v>-0.009523809523809001</v>
      </c>
    </row>
    <row r="994" spans="1:9">
      <c r="A994" s="8" t="s">
        <v>1006</v>
      </c>
      <c r="B994">
        <f>HYPERLINK("https://www.suredividend.com/sure-analysis-research-database/","EVO Payments Inc")</f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</row>
    <row r="995" spans="1:9">
      <c r="A995" s="8" t="s">
        <v>1007</v>
      </c>
      <c r="B995">
        <f>HYPERLINK("https://www.suredividend.com/sure-analysis-EVR/","Evercore Inc")</f>
        <v>0</v>
      </c>
      <c r="C995">
        <v>0.00137676306781</v>
      </c>
      <c r="D995">
        <v>-0.004449480204775</v>
      </c>
      <c r="E995">
        <v>0.27615589509813</v>
      </c>
      <c r="F995">
        <v>0.135222974649634</v>
      </c>
      <c r="G995">
        <v>0.656966615477926</v>
      </c>
      <c r="H995">
        <v>0.7772774250701311</v>
      </c>
      <c r="I995">
        <v>1.484988142761665</v>
      </c>
    </row>
    <row r="996" spans="1:9">
      <c r="A996" s="8" t="s">
        <v>1008</v>
      </c>
      <c r="B996">
        <f>HYPERLINK("https://www.suredividend.com/sure-analysis-EVRG/","Evergy Inc")</f>
        <v>0</v>
      </c>
      <c r="C996">
        <v>-0.004509406972569001</v>
      </c>
      <c r="D996">
        <v>0.06875250993378801</v>
      </c>
      <c r="E996">
        <v>0.06172478153047901</v>
      </c>
      <c r="F996">
        <v>0.05155519374149901</v>
      </c>
      <c r="G996">
        <v>-0.04624006800221801</v>
      </c>
      <c r="H996">
        <v>-0.160762476447946</v>
      </c>
      <c r="I996">
        <v>0.08533931198996601</v>
      </c>
    </row>
    <row r="997" spans="1:9">
      <c r="A997" s="8" t="s">
        <v>1009</v>
      </c>
      <c r="B997">
        <f>HYPERLINK("https://www.suredividend.com/sure-analysis-research-database/","Everi Holdings Inc")</f>
        <v>0</v>
      </c>
      <c r="C997">
        <v>-0.058096415327564</v>
      </c>
      <c r="D997">
        <v>-0.190223166843783</v>
      </c>
      <c r="E997">
        <v>-0.265188042430086</v>
      </c>
      <c r="F997">
        <v>-0.323868677905945</v>
      </c>
      <c r="G997">
        <v>-0.5213567839195981</v>
      </c>
      <c r="H997">
        <v>-0.584741144414169</v>
      </c>
      <c r="I997">
        <v>-0.35204081632653</v>
      </c>
    </row>
    <row r="998" spans="1:9">
      <c r="A998" s="8" t="s">
        <v>1010</v>
      </c>
      <c r="B998">
        <f>HYPERLINK("https://www.suredividend.com/sure-analysis-research-database/","Evertec Inc")</f>
        <v>0</v>
      </c>
      <c r="C998">
        <v>-0.117061356297093</v>
      </c>
      <c r="D998">
        <v>-0.107499884391176</v>
      </c>
      <c r="E998">
        <v>-0.156811044464661</v>
      </c>
      <c r="F998">
        <v>-0.196559973945132</v>
      </c>
      <c r="G998">
        <v>-0.108591052221186</v>
      </c>
      <c r="H998">
        <v>-0.135924068767908</v>
      </c>
      <c r="I998">
        <v>0.155143398325552</v>
      </c>
    </row>
    <row r="999" spans="1:9">
      <c r="A999" s="8" t="s">
        <v>1011</v>
      </c>
      <c r="B999">
        <f>HYPERLINK("https://www.suredividend.com/sure-analysis-research-database/","Edwards Lifesciences Corp")</f>
        <v>0</v>
      </c>
      <c r="C999">
        <v>0.026794035414725</v>
      </c>
      <c r="D999">
        <v>-0.06044131755676301</v>
      </c>
      <c r="E999">
        <v>0.29123937884559</v>
      </c>
      <c r="F999">
        <v>0.155934426229508</v>
      </c>
      <c r="G999">
        <v>0.055821753713464</v>
      </c>
      <c r="H999">
        <v>-0.093676092544987</v>
      </c>
      <c r="I999">
        <v>0.438550677329851</v>
      </c>
    </row>
    <row r="1000" spans="1:9">
      <c r="A1000" s="8" t="s">
        <v>1012</v>
      </c>
      <c r="B1000">
        <f>HYPERLINK("https://www.suredividend.com/sure-analysis-research-database/","East West Bancorp, Inc.")</f>
        <v>0</v>
      </c>
      <c r="C1000">
        <v>-0.07024793388429701</v>
      </c>
      <c r="D1000">
        <v>-0.04944095246016501</v>
      </c>
      <c r="E1000">
        <v>0.102000896906285</v>
      </c>
      <c r="F1000">
        <v>0.030933739597592</v>
      </c>
      <c r="G1000">
        <v>0.405758533637654</v>
      </c>
      <c r="H1000">
        <v>0.058479523566605</v>
      </c>
      <c r="I1000">
        <v>0.9089838902970591</v>
      </c>
    </row>
    <row r="1001" spans="1:9">
      <c r="A1001" s="8" t="s">
        <v>1013</v>
      </c>
      <c r="B1001">
        <f>HYPERLINK("https://www.suredividend.com/sure-analysis-research-database/","Exact Sciences Corp.")</f>
        <v>0</v>
      </c>
      <c r="C1001">
        <v>-0.300928187591597</v>
      </c>
      <c r="D1001">
        <v>-0.301496908558411</v>
      </c>
      <c r="E1001">
        <v>-0.339131773399014</v>
      </c>
      <c r="F1001">
        <v>-0.4197080291970801</v>
      </c>
      <c r="G1001">
        <v>-0.5108249772105741</v>
      </c>
      <c r="H1001">
        <v>-0.107484407484407</v>
      </c>
      <c r="I1001">
        <v>-0.602683942619157</v>
      </c>
    </row>
    <row r="1002" spans="1:9">
      <c r="A1002" s="8" t="s">
        <v>1014</v>
      </c>
      <c r="B1002">
        <f>HYPERLINK("https://www.suredividend.com/sure-analysis-EXC/","Exelon Corp.")</f>
        <v>0</v>
      </c>
      <c r="C1002">
        <v>-0.026699172815387</v>
      </c>
      <c r="D1002">
        <v>0.001841926683008</v>
      </c>
      <c r="E1002">
        <v>-0.041859380877452</v>
      </c>
      <c r="F1002">
        <v>0.04995181310451301</v>
      </c>
      <c r="G1002">
        <v>-0.039867912157337</v>
      </c>
      <c r="H1002">
        <v>-0.183681760015527</v>
      </c>
      <c r="I1002">
        <v>0.245652099046044</v>
      </c>
    </row>
    <row r="1003" spans="1:9">
      <c r="A1003" s="8" t="s">
        <v>1015</v>
      </c>
      <c r="B1003">
        <f>HYPERLINK("https://www.suredividend.com/sure-analysis-research-database/","Exelixis Inc")</f>
        <v>0</v>
      </c>
      <c r="C1003">
        <v>-0.012189616252821</v>
      </c>
      <c r="D1003">
        <v>-0.009506564056134001</v>
      </c>
      <c r="E1003">
        <v>-0.0050022737608</v>
      </c>
      <c r="F1003">
        <v>-0.08795331388078301</v>
      </c>
      <c r="G1003">
        <v>0.13544369486248</v>
      </c>
      <c r="H1003">
        <v>0.123780174627632</v>
      </c>
      <c r="I1003">
        <v>0.08316831683168301</v>
      </c>
    </row>
    <row r="1004" spans="1:9">
      <c r="A1004" s="8" t="s">
        <v>1016</v>
      </c>
      <c r="B1004">
        <f>HYPERLINK("https://www.suredividend.com/sure-analysis-research-database/","ExlService Holdings Inc")</f>
        <v>0</v>
      </c>
      <c r="C1004">
        <v>-0.049511400651465</v>
      </c>
      <c r="D1004">
        <v>-0.099104661932695</v>
      </c>
      <c r="E1004">
        <v>0</v>
      </c>
      <c r="F1004">
        <v>-0.054132901134521</v>
      </c>
      <c r="G1004">
        <v>-0.054806944804353</v>
      </c>
      <c r="H1004">
        <v>-0.040194724031313</v>
      </c>
      <c r="I1004">
        <v>1.3789336376977</v>
      </c>
    </row>
    <row r="1005" spans="1:9">
      <c r="A1005" s="8" t="s">
        <v>1017</v>
      </c>
      <c r="B1005">
        <f>HYPERLINK("https://www.suredividend.com/sure-analysis-research-database/","Eagle Materials Inc.")</f>
        <v>0</v>
      </c>
      <c r="C1005">
        <v>-0.162635560690194</v>
      </c>
      <c r="D1005">
        <v>-0.13350949287032</v>
      </c>
      <c r="E1005">
        <v>0.1968944347525</v>
      </c>
      <c r="F1005">
        <v>0.108828981055798</v>
      </c>
      <c r="G1005">
        <v>0.355243372613214</v>
      </c>
      <c r="H1005">
        <v>0.6718180100090331</v>
      </c>
      <c r="I1005">
        <v>1.569785887393306</v>
      </c>
    </row>
    <row r="1006" spans="1:9">
      <c r="A1006" s="8" t="s">
        <v>1018</v>
      </c>
      <c r="B1006">
        <f>HYPERLINK("https://www.suredividend.com/sure-analysis-EXPD/","Expeditors International Of Washington, Inc.")</f>
        <v>0</v>
      </c>
      <c r="C1006">
        <v>0.09862686964455501</v>
      </c>
      <c r="D1006">
        <v>0.034181482488893</v>
      </c>
      <c r="E1006">
        <v>0.051059352560171</v>
      </c>
      <c r="F1006">
        <v>-0.007608833206783</v>
      </c>
      <c r="G1006">
        <v>0.08684447824621901</v>
      </c>
      <c r="H1006">
        <v>0.182553588141099</v>
      </c>
      <c r="I1006">
        <v>0.8443740491117691</v>
      </c>
    </row>
    <row r="1007" spans="1:9">
      <c r="A1007" s="8" t="s">
        <v>1019</v>
      </c>
      <c r="B1007">
        <f>HYPERLINK("https://www.suredividend.com/sure-analysis-research-database/","Expedia Group Inc")</f>
        <v>0</v>
      </c>
      <c r="C1007">
        <v>0.08989460632362001</v>
      </c>
      <c r="D1007">
        <v>-0.07771865397586701</v>
      </c>
      <c r="E1007">
        <v>-0.143334493560737</v>
      </c>
      <c r="F1007">
        <v>-0.189274655774425</v>
      </c>
      <c r="G1007">
        <v>0.128059400495004</v>
      </c>
      <c r="H1007">
        <v>-0.06168509340449801</v>
      </c>
      <c r="I1007">
        <v>0.013713051493756</v>
      </c>
    </row>
    <row r="1008" spans="1:9">
      <c r="A1008" s="8" t="s">
        <v>1020</v>
      </c>
      <c r="B1008">
        <f>HYPERLINK("https://www.suredividend.com/sure-analysis-research-database/","eXp World Holdings Inc")</f>
        <v>0</v>
      </c>
      <c r="C1008">
        <v>-0.08307886351566601</v>
      </c>
      <c r="D1008">
        <v>-0.131869426876694</v>
      </c>
      <c r="E1008">
        <v>-0.225365935729908</v>
      </c>
      <c r="F1008">
        <v>-0.279271052786057</v>
      </c>
      <c r="G1008">
        <v>-0.32292911282268</v>
      </c>
      <c r="H1008">
        <v>-0.220799368177587</v>
      </c>
      <c r="I1008">
        <v>0.983521513579493</v>
      </c>
    </row>
    <row r="1009" spans="1:9">
      <c r="A1009" s="8" t="s">
        <v>1021</v>
      </c>
      <c r="B1009">
        <f>HYPERLINK("https://www.suredividend.com/sure-analysis-EXPO/","Exponent Inc.")</f>
        <v>0</v>
      </c>
      <c r="C1009">
        <v>-0.006840983002191</v>
      </c>
      <c r="D1009">
        <v>0.163478137489063</v>
      </c>
      <c r="E1009">
        <v>0.140777676489216</v>
      </c>
      <c r="F1009">
        <v>0.075471698113207</v>
      </c>
      <c r="G1009">
        <v>-0.005174200936081</v>
      </c>
      <c r="H1009">
        <v>0.056427561593862</v>
      </c>
      <c r="I1009">
        <v>0.7216389088920031</v>
      </c>
    </row>
    <row r="1010" spans="1:9">
      <c r="A1010" s="8" t="s">
        <v>1022</v>
      </c>
      <c r="B1010">
        <f>HYPERLINK("https://www.suredividend.com/sure-analysis-research-database/","Express Inc.")</f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</row>
    <row r="1011" spans="1:9">
      <c r="A1011" s="8" t="s">
        <v>1023</v>
      </c>
      <c r="B1011">
        <f>HYPERLINK("https://www.suredividend.com/sure-analysis-EXR/","Extra Space Storage Inc.")</f>
        <v>0</v>
      </c>
      <c r="C1011">
        <v>0.033496161898115</v>
      </c>
      <c r="D1011">
        <v>0.022401006246932</v>
      </c>
      <c r="E1011">
        <v>0.104375818867451</v>
      </c>
      <c r="F1011">
        <v>-0.066045880417296</v>
      </c>
      <c r="G1011">
        <v>0.03614617986686</v>
      </c>
      <c r="H1011">
        <v>-0.107209060773081</v>
      </c>
      <c r="I1011">
        <v>0.6137942908076921</v>
      </c>
    </row>
    <row r="1012" spans="1:9">
      <c r="A1012" s="8" t="s">
        <v>1024</v>
      </c>
      <c r="B1012">
        <f>HYPERLINK("https://www.suredividend.com/sure-analysis-research-database/","Exterran Corp")</f>
        <v>0</v>
      </c>
      <c r="C1012">
        <v>-0.087649402390438</v>
      </c>
      <c r="D1012">
        <v>0.221333333333333</v>
      </c>
      <c r="E1012">
        <v>-0.355836849507735</v>
      </c>
      <c r="F1012">
        <v>0.536912751677852</v>
      </c>
      <c r="G1012">
        <v>-0.019271948608136</v>
      </c>
      <c r="H1012">
        <v>-0.107212475633528</v>
      </c>
      <c r="I1012">
        <v>-0.8553379658875551</v>
      </c>
    </row>
    <row r="1013" spans="1:9">
      <c r="A1013" s="8" t="s">
        <v>1025</v>
      </c>
      <c r="B1013">
        <f>HYPERLINK("https://www.suredividend.com/sure-analysis-research-database/","Extreme Networks Inc.")</f>
        <v>0</v>
      </c>
      <c r="C1013">
        <v>0.04986400725294601</v>
      </c>
      <c r="D1013">
        <v>-0.035</v>
      </c>
      <c r="E1013">
        <v>-0.290875688916105</v>
      </c>
      <c r="F1013">
        <v>-0.3435374149659861</v>
      </c>
      <c r="G1013">
        <v>-0.489192765769739</v>
      </c>
      <c r="H1013">
        <v>0.139763779527559</v>
      </c>
      <c r="I1013">
        <v>0.9794871794871791</v>
      </c>
    </row>
    <row r="1014" spans="1:9">
      <c r="A1014" s="8" t="s">
        <v>1026</v>
      </c>
      <c r="B1014">
        <f>HYPERLINK("https://www.suredividend.com/sure-analysis-research-database/","National Vision Holdings Inc")</f>
        <v>0</v>
      </c>
      <c r="C1014">
        <v>-0.19306099608282</v>
      </c>
      <c r="D1014">
        <v>-0.379784946236559</v>
      </c>
      <c r="E1014">
        <v>-0.258611825192802</v>
      </c>
      <c r="F1014">
        <v>-0.311036789297658</v>
      </c>
      <c r="G1014">
        <v>-0.451084887704606</v>
      </c>
      <c r="H1014">
        <v>-0.496332518337408</v>
      </c>
      <c r="I1014">
        <v>-0.449408171057655</v>
      </c>
    </row>
    <row r="1015" spans="1:9">
      <c r="A1015" s="8" t="s">
        <v>1027</v>
      </c>
      <c r="B1015">
        <f>HYPERLINK("https://www.suredividend.com/sure-analysis-research-database/","AB Active ETFs Inc")</f>
        <v>0</v>
      </c>
      <c r="C1015">
        <v>0.011130868729744</v>
      </c>
      <c r="D1015">
        <v>0.012821470432764</v>
      </c>
      <c r="E1015">
        <v>0.027785551862865</v>
      </c>
      <c r="F1015">
        <v>0.013488223676834</v>
      </c>
      <c r="G1015">
        <v>0.027785551862865</v>
      </c>
      <c r="H1015">
        <v>0.027785551862865</v>
      </c>
      <c r="I1015">
        <v>0.027785551862865</v>
      </c>
    </row>
    <row r="1016" spans="1:9">
      <c r="A1016" s="8" t="s">
        <v>1028</v>
      </c>
      <c r="B1016">
        <f>HYPERLINK("https://www.suredividend.com/sure-analysis-research-database/","Vivani Medical Inc")</f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</row>
    <row r="1017" spans="1:9">
      <c r="A1017" s="8" t="s">
        <v>1029</v>
      </c>
      <c r="B1017">
        <f>HYPERLINK("https://www.suredividend.com/sure-analysis-research-database/","EyePoint Pharmaceuticals Inc")</f>
        <v>0</v>
      </c>
      <c r="C1017">
        <v>-0.233361415332771</v>
      </c>
      <c r="D1017">
        <v>-0.640458316870802</v>
      </c>
      <c r="E1017">
        <v>-0.570349386213408</v>
      </c>
      <c r="F1017">
        <v>-0.606231068801384</v>
      </c>
      <c r="G1017">
        <v>0.451355661881977</v>
      </c>
      <c r="H1017">
        <v>0.027088036117381</v>
      </c>
      <c r="I1017">
        <v>-0.376712328767123</v>
      </c>
    </row>
    <row r="1018" spans="1:9">
      <c r="A1018" s="8" t="s">
        <v>1030</v>
      </c>
      <c r="B1018">
        <f>HYPERLINK("https://www.suredividend.com/sure-analysis-research-database/","EZCorp, Inc.")</f>
        <v>0</v>
      </c>
      <c r="C1018">
        <v>0.009633911368015001</v>
      </c>
      <c r="D1018">
        <v>0.002870813397129</v>
      </c>
      <c r="E1018">
        <v>0.20876585928489</v>
      </c>
      <c r="F1018">
        <v>0.199084668192219</v>
      </c>
      <c r="G1018">
        <v>0.203214695752009</v>
      </c>
      <c r="H1018">
        <v>0.316582914572864</v>
      </c>
      <c r="I1018">
        <v>0.150384193194292</v>
      </c>
    </row>
    <row r="1019" spans="1:9">
      <c r="A1019" s="8" t="s">
        <v>1031</v>
      </c>
      <c r="B1019">
        <f>HYPERLINK("https://www.suredividend.com/sure-analysis-F/","Ford Motor Co.")</f>
        <v>0</v>
      </c>
      <c r="C1019">
        <v>-0.00164338537387</v>
      </c>
      <c r="D1019">
        <v>-0.009061177219009</v>
      </c>
      <c r="E1019">
        <v>0.150295857988165</v>
      </c>
      <c r="F1019">
        <v>0.021016983335994</v>
      </c>
      <c r="G1019">
        <v>-0.059757626410363</v>
      </c>
      <c r="H1019">
        <v>-0.028272083816531</v>
      </c>
      <c r="I1019">
        <v>0.459476990714603</v>
      </c>
    </row>
    <row r="1020" spans="1:9">
      <c r="A1020" s="8" t="s">
        <v>1032</v>
      </c>
      <c r="B1020">
        <f>HYPERLINK("https://www.suredividend.com/sure-analysis-FAF/","First American Financial Corp")</f>
        <v>0</v>
      </c>
      <c r="C1020">
        <v>-0.018045935107546</v>
      </c>
      <c r="D1020">
        <v>-0.041970478392317</v>
      </c>
      <c r="E1020">
        <v>-0.124651453010341</v>
      </c>
      <c r="F1020">
        <v>-0.156301194365526</v>
      </c>
      <c r="G1020">
        <v>-0.03524827089698401</v>
      </c>
      <c r="H1020">
        <v>-0.044453234615377</v>
      </c>
      <c r="I1020">
        <v>0.196411874837594</v>
      </c>
    </row>
    <row r="1021" spans="1:9">
      <c r="A1021" s="8" t="s">
        <v>1033</v>
      </c>
      <c r="B1021">
        <f>HYPERLINK("https://www.suredividend.com/sure-analysis-FANG/","Diamondback Energy Inc")</f>
        <v>0</v>
      </c>
      <c r="C1021">
        <v>-0.05565108218019001</v>
      </c>
      <c r="D1021">
        <v>0.05215783583905</v>
      </c>
      <c r="E1021">
        <v>0.325191379779794</v>
      </c>
      <c r="F1021">
        <v>0.261186987042181</v>
      </c>
      <c r="G1021">
        <v>0.49746422571342</v>
      </c>
      <c r="H1021">
        <v>0.301608646019218</v>
      </c>
      <c r="I1021">
        <v>1.308796356396627</v>
      </c>
    </row>
    <row r="1022" spans="1:9">
      <c r="A1022" s="8" t="s">
        <v>1034</v>
      </c>
      <c r="B1022">
        <f>HYPERLINK("https://www.suredividend.com/sure-analysis-research-database/","Farmer Bros. Co.")</f>
        <v>0</v>
      </c>
      <c r="C1022">
        <v>-0.09657320872274101</v>
      </c>
      <c r="D1022">
        <v>-0.198895027624309</v>
      </c>
      <c r="E1022">
        <v>-0.09090909090909001</v>
      </c>
      <c r="F1022">
        <v>-0.052287581699346</v>
      </c>
      <c r="G1022">
        <v>-0.11854103343465</v>
      </c>
      <c r="H1022">
        <v>-0.434697855750487</v>
      </c>
      <c r="I1022">
        <v>-0.844836811128945</v>
      </c>
    </row>
    <row r="1023" spans="1:9">
      <c r="A1023" s="8" t="s">
        <v>1035</v>
      </c>
      <c r="B1023">
        <f>HYPERLINK("https://www.suredividend.com/sure-analysis-research-database/","Faro Technologies Inc.")</f>
        <v>0</v>
      </c>
      <c r="C1023">
        <v>-0.070631970260222</v>
      </c>
      <c r="D1023">
        <v>-0.187558031569173</v>
      </c>
      <c r="E1023">
        <v>-0.09043659043659001</v>
      </c>
      <c r="F1023">
        <v>-0.223257878384376</v>
      </c>
      <c r="G1023">
        <v>0.09580463368816501</v>
      </c>
      <c r="H1023">
        <v>-0.460376194881282</v>
      </c>
      <c r="I1023">
        <v>-0.6272630457933971</v>
      </c>
    </row>
    <row r="1024" spans="1:9">
      <c r="A1024" s="8" t="s">
        <v>1036</v>
      </c>
      <c r="B1024">
        <f>HYPERLINK("https://www.suredividend.com/sure-analysis-FAST/","Fastenal Co.")</f>
        <v>0</v>
      </c>
      <c r="C1024">
        <v>-0.037946092455955</v>
      </c>
      <c r="D1024">
        <v>-0.148873246191311</v>
      </c>
      <c r="E1024">
        <v>0.048270656953468</v>
      </c>
      <c r="F1024">
        <v>0.009264890566872</v>
      </c>
      <c r="G1024">
        <v>0.249344920099806</v>
      </c>
      <c r="H1024">
        <v>0.267422345832325</v>
      </c>
      <c r="I1024">
        <v>1.335613258416286</v>
      </c>
    </row>
    <row r="1025" spans="1:9">
      <c r="A1025" s="8" t="s">
        <v>1037</v>
      </c>
      <c r="B1025">
        <f>HYPERLINK("https://www.suredividend.com/sure-analysis-research-database/","Fate Therapeutics Inc")</f>
        <v>0</v>
      </c>
      <c r="C1025">
        <v>-0.051546391752577</v>
      </c>
      <c r="D1025">
        <v>-0.5592814371257481</v>
      </c>
      <c r="E1025">
        <v>0.56595744680851</v>
      </c>
      <c r="F1025">
        <v>-0.016042780748663</v>
      </c>
      <c r="G1025">
        <v>-0.327239488117001</v>
      </c>
      <c r="H1025">
        <v>-0.848497324001646</v>
      </c>
      <c r="I1025">
        <v>-0.7958957293399881</v>
      </c>
    </row>
    <row r="1026" spans="1:9">
      <c r="A1026" s="8" t="s">
        <v>1038</v>
      </c>
      <c r="B1026">
        <f>HYPERLINK("https://www.suredividend.com/sure-analysis-research-database/","Meta Platforms Inc")</f>
        <v>0</v>
      </c>
      <c r="C1026">
        <v>-0.034990430387201</v>
      </c>
      <c r="D1026">
        <v>0.033370119291607</v>
      </c>
      <c r="E1026">
        <v>-0.4051306873184891</v>
      </c>
      <c r="F1026">
        <v>-0.415370893414598</v>
      </c>
      <c r="G1026">
        <v>-0.410692879405418</v>
      </c>
      <c r="H1026">
        <v>-0.150216076058772</v>
      </c>
      <c r="I1026">
        <v>0.271023204705578</v>
      </c>
    </row>
    <row r="1027" spans="1:9">
      <c r="A1027" s="8" t="s">
        <v>1039</v>
      </c>
      <c r="B1027">
        <f>HYPERLINK("https://www.suredividend.com/sure-analysis-research-database/","Flagstar Bancorp, Inc.")</f>
        <v>0</v>
      </c>
      <c r="C1027">
        <v>-0.028407561546265</v>
      </c>
      <c r="D1027">
        <v>-0.01774804216828</v>
      </c>
      <c r="E1027">
        <v>-0.013426752061055</v>
      </c>
      <c r="F1027">
        <v>-0.212102640736434</v>
      </c>
      <c r="G1027">
        <v>-0.170214364973055</v>
      </c>
      <c r="H1027">
        <v>0.05026088659476501</v>
      </c>
      <c r="I1027">
        <v>0.015640429739813</v>
      </c>
    </row>
    <row r="1028" spans="1:9">
      <c r="A1028" s="8" t="s">
        <v>1040</v>
      </c>
      <c r="B1028">
        <f>HYPERLINK("https://www.suredividend.com/sure-analysis-research-database/","Fortress Biotech Inc")</f>
        <v>0</v>
      </c>
      <c r="C1028">
        <v>0.011235955056179</v>
      </c>
      <c r="D1028">
        <v>-0.130434782608695</v>
      </c>
      <c r="E1028">
        <v>-0.454545454545454</v>
      </c>
      <c r="F1028">
        <v>-0.401993355481727</v>
      </c>
      <c r="G1028">
        <v>-0.7848305540613231</v>
      </c>
      <c r="H1028">
        <v>-0.9881188118811881</v>
      </c>
      <c r="I1028">
        <v>-0.992592592592592</v>
      </c>
    </row>
    <row r="1029" spans="1:9">
      <c r="A1029" s="8" t="s">
        <v>1041</v>
      </c>
      <c r="B1029">
        <f>HYPERLINK("https://www.suredividend.com/sure-analysis-research-database/","First Business Financial Services Inc")</f>
        <v>0</v>
      </c>
      <c r="C1029">
        <v>-0.014609360920395</v>
      </c>
      <c r="D1029">
        <v>0.002335826853138</v>
      </c>
      <c r="E1029">
        <v>-0.014193863574899</v>
      </c>
      <c r="F1029">
        <v>-0.129736071284627</v>
      </c>
      <c r="G1029">
        <v>0.156530816940617</v>
      </c>
      <c r="H1029">
        <v>0.09081431380057001</v>
      </c>
      <c r="I1029">
        <v>0.7644027834885211</v>
      </c>
    </row>
    <row r="1030" spans="1:9">
      <c r="A1030" s="8" t="s">
        <v>1042</v>
      </c>
      <c r="B1030">
        <f>HYPERLINK("https://www.suredividend.com/sure-analysis-research-database/","FB Financial Corp")</f>
        <v>0</v>
      </c>
      <c r="C1030">
        <v>-0.059083373554655</v>
      </c>
      <c r="D1030">
        <v>-0.011314618045506</v>
      </c>
      <c r="E1030">
        <v>-0.010758381802587</v>
      </c>
      <c r="F1030">
        <v>-0.09168487770538301</v>
      </c>
      <c r="G1030">
        <v>0.173576053421103</v>
      </c>
      <c r="H1030">
        <v>-0.147918255263451</v>
      </c>
      <c r="I1030">
        <v>0.07954699355040601</v>
      </c>
    </row>
    <row r="1031" spans="1:9">
      <c r="A1031" s="8" t="s">
        <v>1043</v>
      </c>
      <c r="B1031">
        <f>HYPERLINK("https://www.suredividend.com/sure-analysis-research-database/","Foundation Building Materials Inc")</f>
        <v>0</v>
      </c>
      <c r="C1031">
        <v>0.001040582726326</v>
      </c>
      <c r="D1031">
        <v>0.30264048747461</v>
      </c>
      <c r="E1031">
        <v>0.3742857142857141</v>
      </c>
      <c r="F1031">
        <v>0.001561686621551</v>
      </c>
      <c r="G1031">
        <v>0.043383947939262</v>
      </c>
      <c r="H1031">
        <v>1.035978835978836</v>
      </c>
      <c r="I1031">
        <v>0.241290322580645</v>
      </c>
    </row>
    <row r="1032" spans="1:9">
      <c r="A1032" s="8" t="s">
        <v>1044</v>
      </c>
      <c r="B1032">
        <f>HYPERLINK("https://www.suredividend.com/sure-analysis-research-database/","First Bancshares Inc Miss")</f>
        <v>0</v>
      </c>
      <c r="C1032">
        <v>-0.024273776362912</v>
      </c>
      <c r="D1032">
        <v>-0.028337514018173</v>
      </c>
      <c r="E1032">
        <v>-0.06828993965923401</v>
      </c>
      <c r="F1032">
        <v>-0.138176462938424</v>
      </c>
      <c r="G1032">
        <v>-0.099522585383767</v>
      </c>
      <c r="H1032">
        <v>-0.09414668026185501</v>
      </c>
      <c r="I1032">
        <v>-0.037925811995322</v>
      </c>
    </row>
    <row r="1033" spans="1:9">
      <c r="A1033" s="8" t="s">
        <v>1045</v>
      </c>
      <c r="B1033">
        <f>HYPERLINK("https://www.suredividend.com/sure-analysis-research-database/","First Bancorp")</f>
        <v>0</v>
      </c>
      <c r="C1033">
        <v>-0.017018594390166</v>
      </c>
      <c r="D1033">
        <v>-0.102115311539214</v>
      </c>
      <c r="E1033">
        <v>-0.056261233184263</v>
      </c>
      <c r="F1033">
        <v>-0.146510654250617</v>
      </c>
      <c r="G1033">
        <v>-0.065367350485745</v>
      </c>
      <c r="H1033">
        <v>-0.116738360288058</v>
      </c>
      <c r="I1033">
        <v>0.002900340195113</v>
      </c>
    </row>
    <row r="1034" spans="1:9">
      <c r="A1034" s="8" t="s">
        <v>1046</v>
      </c>
      <c r="B1034">
        <f>HYPERLINK("https://www.suredividend.com/sure-analysis-research-database/","First Bancorp PR")</f>
        <v>0</v>
      </c>
      <c r="C1034">
        <v>-0.026181891700643</v>
      </c>
      <c r="D1034">
        <v>0.006296607956358001</v>
      </c>
      <c r="E1034">
        <v>0.111310500410172</v>
      </c>
      <c r="F1034">
        <v>0.074156440292636</v>
      </c>
      <c r="G1034">
        <v>0.383139103591854</v>
      </c>
      <c r="H1034">
        <v>0.231980333785675</v>
      </c>
      <c r="I1034">
        <v>1.048386334640646</v>
      </c>
    </row>
    <row r="1035" spans="1:9">
      <c r="A1035" s="8" t="s">
        <v>1047</v>
      </c>
      <c r="B1035">
        <f>HYPERLINK("https://www.suredividend.com/sure-analysis-research-database/","Fauquier Bankshares, Inc.")</f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</row>
    <row r="1036" spans="1:9">
      <c r="A1036" s="8" t="s">
        <v>1048</v>
      </c>
      <c r="B1036">
        <f>HYPERLINK("https://www.suredividend.com/sure-analysis-research-database/","Franklin Covey Co.")</f>
        <v>0</v>
      </c>
      <c r="C1036">
        <v>-0.095394736842105</v>
      </c>
      <c r="D1036">
        <v>-0.104683195592286</v>
      </c>
      <c r="E1036">
        <v>-0.122268598084949</v>
      </c>
      <c r="F1036">
        <v>-0.17872731449575</v>
      </c>
      <c r="G1036">
        <v>-0.033783783783783</v>
      </c>
      <c r="H1036">
        <v>-0.07551073183346201</v>
      </c>
      <c r="I1036">
        <v>0.126339004410838</v>
      </c>
    </row>
    <row r="1037" spans="1:9">
      <c r="A1037" s="8" t="s">
        <v>1049</v>
      </c>
      <c r="B1037">
        <f>HYPERLINK("https://www.suredividend.com/sure-analysis-research-database/","First Capital Inc.")</f>
        <v>0</v>
      </c>
      <c r="C1037">
        <v>0.06439529075990001</v>
      </c>
      <c r="D1037">
        <v>0.123851569474631</v>
      </c>
      <c r="E1037">
        <v>0.114468857627397</v>
      </c>
      <c r="F1037">
        <v>0.09061997368036201</v>
      </c>
      <c r="G1037">
        <v>0.211962416369109</v>
      </c>
      <c r="H1037">
        <v>-0.006473655817298</v>
      </c>
      <c r="I1037">
        <v>-0.262588638897058</v>
      </c>
    </row>
    <row r="1038" spans="1:9">
      <c r="A1038" s="8" t="s">
        <v>1050</v>
      </c>
      <c r="B1038">
        <f>HYPERLINK("https://www.suredividend.com/sure-analysis-research-database/","First Community Bankshares Inc.")</f>
        <v>0</v>
      </c>
      <c r="C1038">
        <v>-0.037133397084119</v>
      </c>
      <c r="D1038">
        <v>0.022633349497833</v>
      </c>
      <c r="E1038">
        <v>-0.015028670802782</v>
      </c>
      <c r="F1038">
        <v>-0.06440874706668501</v>
      </c>
      <c r="G1038">
        <v>0.152546567624888</v>
      </c>
      <c r="H1038">
        <v>0.277192234000815</v>
      </c>
      <c r="I1038">
        <v>0.236188278147892</v>
      </c>
    </row>
    <row r="1039" spans="1:9">
      <c r="A1039" s="8" t="s">
        <v>1051</v>
      </c>
      <c r="B1039">
        <f>HYPERLINK("https://www.suredividend.com/sure-analysis-research-database/","First Choice Bancorp")</f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</row>
    <row r="1040" spans="1:9">
      <c r="A1040" s="8" t="s">
        <v>1052</v>
      </c>
      <c r="B1040">
        <f>HYPERLINK("https://www.suredividend.com/sure-analysis-research-database/","First Community Corp.")</f>
        <v>0</v>
      </c>
      <c r="C1040">
        <v>0.004981320049813</v>
      </c>
      <c r="D1040">
        <v>-0.05645486592188501</v>
      </c>
      <c r="E1040">
        <v>-0.110616396839216</v>
      </c>
      <c r="F1040">
        <v>-0.225453498416354</v>
      </c>
      <c r="G1040">
        <v>-0.071298283570495</v>
      </c>
      <c r="H1040">
        <v>-0.101866381756869</v>
      </c>
      <c r="I1040">
        <v>0.101458374564091</v>
      </c>
    </row>
    <row r="1041" spans="1:9">
      <c r="A1041" s="8" t="s">
        <v>1053</v>
      </c>
      <c r="B1041">
        <f>HYPERLINK("https://www.suredividend.com/sure-analysis-research-database/","1st Constitution Bancorp")</f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</row>
    <row r="1042" spans="1:9">
      <c r="A1042" s="8" t="s">
        <v>1054</v>
      </c>
      <c r="B1042">
        <f>HYPERLINK("https://www.suredividend.com/sure-analysis-research-database/","Fuelcell Energy Inc")</f>
        <v>0</v>
      </c>
      <c r="C1042">
        <v>0.100949968334388</v>
      </c>
      <c r="D1042">
        <v>-0.216936936936937</v>
      </c>
      <c r="E1042">
        <v>-0.299032258064516</v>
      </c>
      <c r="F1042">
        <v>-0.45675</v>
      </c>
      <c r="G1042">
        <v>-0.634789915966386</v>
      </c>
      <c r="H1042">
        <v>-0.7954823529411761</v>
      </c>
      <c r="I1042">
        <v>0.49707199448846</v>
      </c>
    </row>
    <row r="1043" spans="1:9">
      <c r="A1043" s="8" t="s">
        <v>1055</v>
      </c>
      <c r="B1043">
        <f>HYPERLINK("https://www.suredividend.com/sure-analysis-research-database/","First Commonwealth Financial Corp.")</f>
        <v>0</v>
      </c>
      <c r="C1043">
        <v>-0.030656934306569</v>
      </c>
      <c r="D1043">
        <v>-0.011838590381796</v>
      </c>
      <c r="E1043">
        <v>-0.05595325262491901</v>
      </c>
      <c r="F1043">
        <v>-0.123212422917959</v>
      </c>
      <c r="G1043">
        <v>-0.04705865468792601</v>
      </c>
      <c r="H1043">
        <v>0.014476146824032</v>
      </c>
      <c r="I1043">
        <v>0.253078440068315</v>
      </c>
    </row>
    <row r="1044" spans="1:9">
      <c r="A1044" s="8" t="s">
        <v>1056</v>
      </c>
      <c r="B1044">
        <f>HYPERLINK("https://www.suredividend.com/sure-analysis-research-database/","FirstCash Holdings Inc")</f>
        <v>0</v>
      </c>
      <c r="C1044">
        <v>-0.04940523380726401</v>
      </c>
      <c r="D1044">
        <v>-0.014203636586744</v>
      </c>
      <c r="E1044">
        <v>0.002894456660728</v>
      </c>
      <c r="F1044">
        <v>0.049991037686528</v>
      </c>
      <c r="G1044">
        <v>0.164360445494431</v>
      </c>
      <c r="H1044">
        <v>0.6065215031339091</v>
      </c>
      <c r="I1044">
        <v>0.8074641665046211</v>
      </c>
    </row>
    <row r="1045" spans="1:9">
      <c r="A1045" s="8" t="s">
        <v>1057</v>
      </c>
      <c r="B1045">
        <f>HYPERLINK("https://www.suredividend.com/sure-analysis-research-database/","FTI Consulting Inc.")</f>
        <v>0</v>
      </c>
      <c r="C1045">
        <v>-0.018088088993397</v>
      </c>
      <c r="D1045">
        <v>0.054487179487179</v>
      </c>
      <c r="E1045">
        <v>-0.021891891891892</v>
      </c>
      <c r="F1045">
        <v>0.09033391915641401</v>
      </c>
      <c r="G1045">
        <v>0.155122885413341</v>
      </c>
      <c r="H1045">
        <v>0.257470465601111</v>
      </c>
      <c r="I1045">
        <v>1.519902518277822</v>
      </c>
    </row>
    <row r="1046" spans="1:9">
      <c r="A1046" s="8" t="s">
        <v>1058</v>
      </c>
      <c r="B1046">
        <f>HYPERLINK("https://www.suredividend.com/sure-analysis-research-database/","First Citizens Bancshares, Inc (NC)")</f>
        <v>0</v>
      </c>
      <c r="C1046">
        <v>-0.011864240865931</v>
      </c>
      <c r="D1046">
        <v>0.079910499411925</v>
      </c>
      <c r="E1046">
        <v>0.186239203786805</v>
      </c>
      <c r="F1046">
        <v>0.194941790456966</v>
      </c>
      <c r="G1046">
        <v>0.332663424283719</v>
      </c>
      <c r="H1046">
        <v>1.482866340400857</v>
      </c>
      <c r="I1046">
        <v>2.958265703976196</v>
      </c>
    </row>
    <row r="1047" spans="1:9">
      <c r="A1047" s="8" t="s">
        <v>1059</v>
      </c>
      <c r="B1047">
        <f>HYPERLINK("https://www.suredividend.com/sure-analysis-FCPT/","Four Corners Property Trust Inc")</f>
        <v>0</v>
      </c>
      <c r="C1047">
        <v>0.002905770029057</v>
      </c>
      <c r="D1047">
        <v>0.016210577675334</v>
      </c>
      <c r="E1047">
        <v>-0.012151840766727</v>
      </c>
      <c r="F1047">
        <v>-0.031185714801284</v>
      </c>
      <c r="G1047">
        <v>-0.040858780747304</v>
      </c>
      <c r="H1047">
        <v>-0.030291354100189</v>
      </c>
      <c r="I1047">
        <v>0.095676702811299</v>
      </c>
    </row>
    <row r="1048" spans="1:9">
      <c r="A1048" s="8" t="s">
        <v>1060</v>
      </c>
      <c r="B1048">
        <f>HYPERLINK("https://www.suredividend.com/sure-analysis-research-database/","Freeport-McMoRan Inc")</f>
        <v>0</v>
      </c>
      <c r="C1048">
        <v>-0.041253162093792</v>
      </c>
      <c r="D1048">
        <v>0.239459437702509</v>
      </c>
      <c r="E1048">
        <v>0.359161165562767</v>
      </c>
      <c r="F1048">
        <v>0.161209430142423</v>
      </c>
      <c r="G1048">
        <v>0.32084424653972</v>
      </c>
      <c r="H1048">
        <v>0.153931729023947</v>
      </c>
      <c r="I1048">
        <v>3.952455621896548</v>
      </c>
    </row>
    <row r="1049" spans="1:9">
      <c r="A1049" s="8" t="s">
        <v>1061</v>
      </c>
      <c r="B1049">
        <f>HYPERLINK("https://www.suredividend.com/sure-analysis-research-database/","Fidelity D&amp;D Bancorp, Inc.")</f>
        <v>0</v>
      </c>
      <c r="C1049">
        <v>-0.024094937143642</v>
      </c>
      <c r="D1049">
        <v>-0.071723926693552</v>
      </c>
      <c r="E1049">
        <v>-0.156850634958612</v>
      </c>
      <c r="F1049">
        <v>-0.190704315116169</v>
      </c>
      <c r="G1049">
        <v>0.118346441390134</v>
      </c>
      <c r="H1049">
        <v>0.244776920422994</v>
      </c>
      <c r="I1049">
        <v>-0.150999247366248</v>
      </c>
    </row>
    <row r="1050" spans="1:9">
      <c r="A1050" s="8" t="s">
        <v>1062</v>
      </c>
      <c r="B1050">
        <f>HYPERLINK("https://www.suredividend.com/sure-analysis-research-database/","Fresh Del Monte Produce Inc")</f>
        <v>0</v>
      </c>
      <c r="C1050">
        <v>-0.061075736569896</v>
      </c>
      <c r="D1050">
        <v>-0.066064962572408</v>
      </c>
      <c r="E1050">
        <v>-0.05011464133639</v>
      </c>
      <c r="F1050">
        <v>-0.120313296025076</v>
      </c>
      <c r="G1050">
        <v>-0.136789482722433</v>
      </c>
      <c r="H1050">
        <v>-0.05119837587980101</v>
      </c>
      <c r="I1050">
        <v>-0.06978274368854501</v>
      </c>
    </row>
    <row r="1051" spans="1:9">
      <c r="A1051" s="8" t="s">
        <v>1063</v>
      </c>
      <c r="B1051">
        <f>HYPERLINK("https://www.suredividend.com/sure-analysis-FDS/","Factset Research Systems Inc.")</f>
        <v>0</v>
      </c>
      <c r="C1051">
        <v>-0.056213032055787</v>
      </c>
      <c r="D1051">
        <v>-0.120443629583459</v>
      </c>
      <c r="E1051">
        <v>-0.06849418413879101</v>
      </c>
      <c r="F1051">
        <v>-0.136660677719156</v>
      </c>
      <c r="G1051">
        <v>0.040607371702932</v>
      </c>
      <c r="H1051">
        <v>0.09349804403815001</v>
      </c>
      <c r="I1051">
        <v>0.476831935567429</v>
      </c>
    </row>
    <row r="1052" spans="1:9">
      <c r="A1052" s="8" t="s">
        <v>1064</v>
      </c>
      <c r="B1052">
        <f>HYPERLINK("https://www.suredividend.com/sure-analysis-FDX/","Fedex Corp")</f>
        <v>0</v>
      </c>
      <c r="C1052">
        <v>-0.045246078544725</v>
      </c>
      <c r="D1052">
        <v>-0.005020483572977</v>
      </c>
      <c r="E1052">
        <v>-0.065271396919881</v>
      </c>
      <c r="F1052">
        <v>-0.015758276939311</v>
      </c>
      <c r="G1052">
        <v>0.125617719811925</v>
      </c>
      <c r="H1052">
        <v>0.168360828384003</v>
      </c>
      <c r="I1052">
        <v>0.705782916005357</v>
      </c>
    </row>
    <row r="1053" spans="1:9">
      <c r="A1053" s="8" t="s">
        <v>1065</v>
      </c>
      <c r="B1053">
        <f>HYPERLINK("https://www.suredividend.com/sure-analysis-FE/","Firstenergy Corp.")</f>
        <v>0</v>
      </c>
      <c r="C1053">
        <v>-0.013468869123252</v>
      </c>
      <c r="D1053">
        <v>0.037130445469166</v>
      </c>
      <c r="E1053">
        <v>0.06419141190403001</v>
      </c>
      <c r="F1053">
        <v>0.08276968133324</v>
      </c>
      <c r="G1053">
        <v>0.053688724824928</v>
      </c>
      <c r="H1053">
        <v>0.008374548023772001</v>
      </c>
      <c r="I1053">
        <v>0.108281564041659</v>
      </c>
    </row>
    <row r="1054" spans="1:9">
      <c r="A1054" s="8" t="s">
        <v>1066</v>
      </c>
      <c r="B1054">
        <f>HYPERLINK("https://www.suredividend.com/sure-analysis-research-database/","Frequency Electronics, Inc.")</f>
        <v>0</v>
      </c>
      <c r="C1054">
        <v>-0.020440251572326</v>
      </c>
      <c r="D1054">
        <v>-0.124999999999999</v>
      </c>
      <c r="E1054">
        <v>-0.105741626794258</v>
      </c>
      <c r="F1054">
        <v>-0.146575342465753</v>
      </c>
      <c r="G1054">
        <v>0.4332822085889571</v>
      </c>
      <c r="H1054">
        <v>0.512086987476133</v>
      </c>
      <c r="I1054">
        <v>-0.062264813606943</v>
      </c>
    </row>
    <row r="1055" spans="1:9">
      <c r="A1055" s="8" t="s">
        <v>1067</v>
      </c>
      <c r="B1055">
        <f>HYPERLINK("https://www.suredividend.com/sure-analysis-FELE/","Franklin Electric Co., Inc.")</f>
        <v>0</v>
      </c>
      <c r="C1055">
        <v>-0.043461004167493</v>
      </c>
      <c r="D1055">
        <v>-0.05506871336430801</v>
      </c>
      <c r="E1055">
        <v>0.059317377640051</v>
      </c>
      <c r="F1055">
        <v>0.007804209987088</v>
      </c>
      <c r="G1055">
        <v>-0.01181617730724</v>
      </c>
      <c r="H1055">
        <v>0.298405681737062</v>
      </c>
      <c r="I1055">
        <v>1.271918474892237</v>
      </c>
    </row>
    <row r="1056" spans="1:9">
      <c r="A1056" s="8" t="s">
        <v>1068</v>
      </c>
      <c r="B1056">
        <f>HYPERLINK("https://www.suredividend.com/sure-analysis-research-database/","Forum Energy Technologies Inc")</f>
        <v>0</v>
      </c>
      <c r="C1056">
        <v>-0.099268547544409</v>
      </c>
      <c r="D1056">
        <v>-0.08443972384492801</v>
      </c>
      <c r="E1056">
        <v>-0.185640056683986</v>
      </c>
      <c r="F1056">
        <v>-0.222372575552548</v>
      </c>
      <c r="G1056">
        <v>-0.337432744043043</v>
      </c>
      <c r="H1056">
        <v>-0.312051077414205</v>
      </c>
      <c r="I1056">
        <v>-0.7625344352617081</v>
      </c>
    </row>
    <row r="1057" spans="1:9">
      <c r="A1057" s="8" t="s">
        <v>1069</v>
      </c>
      <c r="B1057">
        <f>HYPERLINK("https://www.suredividend.com/sure-analysis-research-database/","Futurefuel Corp")</f>
        <v>0</v>
      </c>
      <c r="C1057">
        <v>-0.190911299213334</v>
      </c>
      <c r="D1057">
        <v>0.098594408078347</v>
      </c>
      <c r="E1057">
        <v>0.07072205736894101</v>
      </c>
      <c r="F1057">
        <v>0.049595190769379</v>
      </c>
      <c r="G1057">
        <v>-0.290431476656342</v>
      </c>
      <c r="H1057">
        <v>-0.133219897908117</v>
      </c>
      <c r="I1057">
        <v>0.058860929743477</v>
      </c>
    </row>
    <row r="1058" spans="1:9">
      <c r="A1058" s="8" t="s">
        <v>1070</v>
      </c>
      <c r="B1058">
        <f>HYPERLINK("https://www.suredividend.com/sure-analysis-research-database/","First Financial Bancorp")</f>
        <v>0</v>
      </c>
      <c r="C1058">
        <v>-0.061751950671958</v>
      </c>
      <c r="D1058">
        <v>-0.01221371935628</v>
      </c>
      <c r="E1058">
        <v>-0.003059639725097</v>
      </c>
      <c r="F1058">
        <v>-0.058468078379019</v>
      </c>
      <c r="G1058">
        <v>0.04996645396357401</v>
      </c>
      <c r="H1058">
        <v>0.168634376601149</v>
      </c>
      <c r="I1058">
        <v>0.250262415152434</v>
      </c>
    </row>
    <row r="1059" spans="1:9">
      <c r="A1059" s="8" t="s">
        <v>1071</v>
      </c>
      <c r="B1059">
        <f>HYPERLINK("https://www.suredividend.com/sure-analysis-research-database/","FBL Financial Group, Inc.")</f>
        <v>0</v>
      </c>
      <c r="C1059">
        <v>0.08080808080808001</v>
      </c>
      <c r="D1059">
        <v>0.07497316532801701</v>
      </c>
      <c r="E1059">
        <v>0.173385560758631</v>
      </c>
      <c r="F1059">
        <v>0.172010115529182</v>
      </c>
      <c r="G1059">
        <v>0.772408662396689</v>
      </c>
      <c r="H1059">
        <v>0.041718262948887</v>
      </c>
      <c r="I1059">
        <v>0.230237333537734</v>
      </c>
    </row>
    <row r="1060" spans="1:9">
      <c r="A1060" s="8" t="s">
        <v>1072</v>
      </c>
      <c r="B1060">
        <f>HYPERLINK("https://www.suredividend.com/sure-analysis-research-database/","Flushing Financial Corp.")</f>
        <v>0</v>
      </c>
      <c r="C1060">
        <v>0.034426229508196</v>
      </c>
      <c r="D1060">
        <v>-0.006299212598425001</v>
      </c>
      <c r="E1060">
        <v>-0.150322836925272</v>
      </c>
      <c r="F1060">
        <v>-0.220958800943244</v>
      </c>
      <c r="G1060">
        <v>-0.06303363278639801</v>
      </c>
      <c r="H1060">
        <v>-0.3593713514117181</v>
      </c>
      <c r="I1060">
        <v>-0.203157063930544</v>
      </c>
    </row>
    <row r="1061" spans="1:9">
      <c r="A1061" s="8" t="s">
        <v>1073</v>
      </c>
      <c r="B1061">
        <f>HYPERLINK("https://www.suredividend.com/sure-analysis-FFIN/","First Financial Bankshares, Inc.")</f>
        <v>0</v>
      </c>
      <c r="C1061">
        <v>-0.072072072072072</v>
      </c>
      <c r="D1061">
        <v>-0.103155747390942</v>
      </c>
      <c r="E1061">
        <v>0.037376487811545</v>
      </c>
      <c r="F1061">
        <v>-0.037148570913473</v>
      </c>
      <c r="G1061">
        <v>0.004584024188042</v>
      </c>
      <c r="H1061">
        <v>-0.25657648832923</v>
      </c>
      <c r="I1061">
        <v>0.102863851381065</v>
      </c>
    </row>
    <row r="1062" spans="1:9">
      <c r="A1062" s="8" t="s">
        <v>1074</v>
      </c>
      <c r="B1062">
        <f>HYPERLINK("https://www.suredividend.com/sure-analysis-research-database/","F5 Inc")</f>
        <v>0</v>
      </c>
      <c r="C1062">
        <v>-0.016337927756653</v>
      </c>
      <c r="D1062">
        <v>-0.142213242151072</v>
      </c>
      <c r="E1062">
        <v>-0.02087522176227</v>
      </c>
      <c r="F1062">
        <v>-0.07492457257794101</v>
      </c>
      <c r="G1062">
        <v>0.137312817694738</v>
      </c>
      <c r="H1062">
        <v>-0.003010778587342</v>
      </c>
      <c r="I1062">
        <v>0.179021576586199</v>
      </c>
    </row>
    <row r="1063" spans="1:9">
      <c r="A1063" s="8" t="s">
        <v>1075</v>
      </c>
      <c r="B1063">
        <f>HYPERLINK("https://www.suredividend.com/sure-analysis-research-database/","First Financial Northwest Inc")</f>
        <v>0</v>
      </c>
      <c r="C1063">
        <v>0.04093137011224501</v>
      </c>
      <c r="D1063">
        <v>0.028456921701718</v>
      </c>
      <c r="E1063">
        <v>0.7179283130009591</v>
      </c>
      <c r="F1063">
        <v>0.5930374980029971</v>
      </c>
      <c r="G1063">
        <v>1.131254325611692</v>
      </c>
      <c r="H1063">
        <v>0.404605550003018</v>
      </c>
      <c r="I1063">
        <v>0.6984483611676621</v>
      </c>
    </row>
    <row r="1064" spans="1:9">
      <c r="A1064" s="8" t="s">
        <v>1076</v>
      </c>
      <c r="B1064">
        <f>HYPERLINK("https://www.suredividend.com/sure-analysis-research-database/","First Foundation Inc")</f>
        <v>0</v>
      </c>
      <c r="C1064">
        <v>0</v>
      </c>
      <c r="D1064">
        <v>-0.296244990847474</v>
      </c>
      <c r="E1064">
        <v>-0.170529753054024</v>
      </c>
      <c r="F1064">
        <v>-0.4104604417920341</v>
      </c>
      <c r="G1064">
        <v>0.077712748830426</v>
      </c>
      <c r="H1064">
        <v>-0.736851841574634</v>
      </c>
      <c r="I1064">
        <v>-0.5296782139344191</v>
      </c>
    </row>
    <row r="1065" spans="1:9">
      <c r="A1065" s="8" t="s">
        <v>1077</v>
      </c>
      <c r="B1065">
        <f>HYPERLINK("https://www.suredividend.com/sure-analysis-research-database/","F&amp;G Annuities &amp; Life Inc")</f>
        <v>0</v>
      </c>
      <c r="C1065">
        <v>-0.034371909000989</v>
      </c>
      <c r="D1065">
        <v>0.09001789248320301</v>
      </c>
      <c r="E1065">
        <v>-0.122010225601777</v>
      </c>
      <c r="F1065">
        <v>-0.146231612824235</v>
      </c>
      <c r="G1065">
        <v>0.7909968583025651</v>
      </c>
      <c r="H1065">
        <v>1.331343283582089</v>
      </c>
      <c r="I1065">
        <v>1.331343283582089</v>
      </c>
    </row>
    <row r="1066" spans="1:9">
      <c r="A1066" s="8" t="s">
        <v>1078</v>
      </c>
      <c r="B1066">
        <f>HYPERLINK("https://www.suredividend.com/sure-analysis-research-database/","First Guaranty Bancshares Inc")</f>
        <v>0</v>
      </c>
      <c r="C1066">
        <v>-0.063063063063062</v>
      </c>
      <c r="D1066">
        <v>-0.062556336758608</v>
      </c>
      <c r="E1066">
        <v>0.101228293096145</v>
      </c>
      <c r="F1066">
        <v>-0.035581479455103</v>
      </c>
      <c r="G1066">
        <v>-0.169375514148569</v>
      </c>
      <c r="H1066">
        <v>-0.554516093106136</v>
      </c>
      <c r="I1066">
        <v>-0.210062587348848</v>
      </c>
    </row>
    <row r="1067" spans="1:9">
      <c r="A1067" s="8" t="s">
        <v>1079</v>
      </c>
      <c r="B1067">
        <f>HYPERLINK("https://www.suredividend.com/sure-analysis-research-database/","FibroGen Inc")</f>
        <v>0</v>
      </c>
      <c r="C1067">
        <v>-0.197080291970802</v>
      </c>
      <c r="D1067">
        <v>-0.385474860335195</v>
      </c>
      <c r="E1067">
        <v>0.787455313617159</v>
      </c>
      <c r="F1067">
        <v>0.241114746699763</v>
      </c>
      <c r="G1067">
        <v>-0.935785172212492</v>
      </c>
      <c r="H1067">
        <v>-0.8952380952380951</v>
      </c>
      <c r="I1067">
        <v>-0.9715762273901801</v>
      </c>
    </row>
    <row r="1068" spans="1:9">
      <c r="A1068" s="8" t="s">
        <v>1080</v>
      </c>
      <c r="B1068">
        <f>HYPERLINK("https://www.suredividend.com/sure-analysis-research-database/","First Hawaiian INC")</f>
        <v>0</v>
      </c>
      <c r="C1068">
        <v>-0.06882742268233701</v>
      </c>
      <c r="D1068">
        <v>-0.03927186920613501</v>
      </c>
      <c r="E1068">
        <v>-0.009492979564276001</v>
      </c>
      <c r="F1068">
        <v>-0.095283228501072</v>
      </c>
      <c r="G1068">
        <v>0.09064071725344401</v>
      </c>
      <c r="H1068">
        <v>-0.147461400727328</v>
      </c>
      <c r="I1068">
        <v>-0.0155197512892</v>
      </c>
    </row>
    <row r="1069" spans="1:9">
      <c r="A1069" s="8" t="s">
        <v>1081</v>
      </c>
      <c r="B1069">
        <f>HYPERLINK("https://www.suredividend.com/sure-analysis-research-database/","First Horizon Corporation")</f>
        <v>0</v>
      </c>
      <c r="C1069">
        <v>-0.027440970006381</v>
      </c>
      <c r="D1069">
        <v>0.027037226729924</v>
      </c>
      <c r="E1069">
        <v>0.15879436722528</v>
      </c>
      <c r="F1069">
        <v>0.08723568187655101</v>
      </c>
      <c r="G1069">
        <v>0.371502623313744</v>
      </c>
      <c r="H1069">
        <v>-0.282428442954473</v>
      </c>
      <c r="I1069">
        <v>0.330934623513178</v>
      </c>
    </row>
    <row r="1070" spans="1:9">
      <c r="A1070" s="8" t="s">
        <v>1082</v>
      </c>
      <c r="B1070">
        <f>HYPERLINK("https://www.suredividend.com/sure-analysis-research-database/","Fiserv, Inc.")</f>
        <v>0</v>
      </c>
      <c r="C1070">
        <v>-0.010585467851542</v>
      </c>
      <c r="D1070">
        <v>0.007652891462034001</v>
      </c>
      <c r="E1070">
        <v>0.152183838076396</v>
      </c>
      <c r="F1070">
        <v>0.139867509786208</v>
      </c>
      <c r="G1070">
        <v>0.307825185697011</v>
      </c>
      <c r="H1070">
        <v>0.495653891742394</v>
      </c>
      <c r="I1070">
        <v>0.6873189213282811</v>
      </c>
    </row>
    <row r="1071" spans="1:9">
      <c r="A1071" s="8" t="s">
        <v>1083</v>
      </c>
      <c r="B1071">
        <f>HYPERLINK("https://www.suredividend.com/sure-analysis-FIBK/","First Interstate BancSystem Inc.")</f>
        <v>0</v>
      </c>
      <c r="C1071">
        <v>-0.05461121157323601</v>
      </c>
      <c r="D1071">
        <v>0.014412890106563</v>
      </c>
      <c r="E1071">
        <v>-0.002529926010157</v>
      </c>
      <c r="F1071">
        <v>-0.08751671198829801</v>
      </c>
      <c r="G1071">
        <v>0.185417639776339</v>
      </c>
      <c r="H1071">
        <v>-0.151455737087616</v>
      </c>
      <c r="I1071">
        <v>0.004449704505806</v>
      </c>
    </row>
    <row r="1072" spans="1:9">
      <c r="A1072" s="8" t="s">
        <v>1084</v>
      </c>
      <c r="B1072">
        <f>HYPERLINK("https://www.suredividend.com/sure-analysis-research-database/","Fair Isaac Corp.")</f>
        <v>0</v>
      </c>
      <c r="C1072">
        <v>0.056181586626041</v>
      </c>
      <c r="D1072">
        <v>-0.018479539172578</v>
      </c>
      <c r="E1072">
        <v>0.171958571096363</v>
      </c>
      <c r="F1072">
        <v>0.125694796436456</v>
      </c>
      <c r="G1072">
        <v>0.7305264270054671</v>
      </c>
      <c r="H1072">
        <v>2.105906892955342</v>
      </c>
      <c r="I1072">
        <v>3.184320613124701</v>
      </c>
    </row>
    <row r="1073" spans="1:9">
      <c r="A1073" s="8" t="s">
        <v>1085</v>
      </c>
      <c r="B1073">
        <f>HYPERLINK("https://www.suredividend.com/sure-analysis-FIS/","Fidelity National Information Services, Inc.")</f>
        <v>0</v>
      </c>
      <c r="C1073">
        <v>0.043062844839187</v>
      </c>
      <c r="D1073">
        <v>0.120896601590744</v>
      </c>
      <c r="E1073">
        <v>0.322330686738478</v>
      </c>
      <c r="F1073">
        <v>0.297014907890355</v>
      </c>
      <c r="G1073">
        <v>0.4549092629160501</v>
      </c>
      <c r="H1073">
        <v>-0.21449201925513</v>
      </c>
      <c r="I1073">
        <v>-0.305647004230975</v>
      </c>
    </row>
    <row r="1074" spans="1:9">
      <c r="A1074" s="8" t="s">
        <v>1086</v>
      </c>
      <c r="B1074">
        <f>HYPERLINK("https://www.suredividend.com/sure-analysis-research-database/","Financial Institutions Inc.")</f>
        <v>0</v>
      </c>
      <c r="C1074">
        <v>-0.016301292861157</v>
      </c>
      <c r="D1074">
        <v>-0.052589408490964</v>
      </c>
      <c r="E1074">
        <v>-0.002576203178077</v>
      </c>
      <c r="F1074">
        <v>-0.151334102790413</v>
      </c>
      <c r="G1074">
        <v>0.141820649337091</v>
      </c>
      <c r="H1074">
        <v>-0.246621636165605</v>
      </c>
      <c r="I1074">
        <v>-0.12716463171335</v>
      </c>
    </row>
    <row r="1075" spans="1:9">
      <c r="A1075" s="8" t="s">
        <v>1087</v>
      </c>
      <c r="B1075">
        <f>HYPERLINK("https://www.suredividend.com/sure-analysis-research-database/","Fiserv, Inc.")</f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</row>
    <row r="1076" spans="1:9">
      <c r="A1076" s="8" t="s">
        <v>1088</v>
      </c>
      <c r="B1076">
        <f>HYPERLINK("https://www.suredividend.com/sure-analysis-research-database/","Fitbit Inc")</f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</row>
    <row r="1077" spans="1:9">
      <c r="A1077" s="8" t="s">
        <v>1089</v>
      </c>
      <c r="B1077">
        <f>HYPERLINK("https://www.suredividend.com/sure-analysis-FITB/","Fifth Third Bancorp")</f>
        <v>0</v>
      </c>
      <c r="C1077">
        <v>-0.049960557454641</v>
      </c>
      <c r="D1077">
        <v>0.012705771553983</v>
      </c>
      <c r="E1077">
        <v>0.220010467845143</v>
      </c>
      <c r="F1077">
        <v>0.06819854952059601</v>
      </c>
      <c r="G1077">
        <v>0.4622498330534021</v>
      </c>
      <c r="H1077">
        <v>0.044660463663858</v>
      </c>
      <c r="I1077">
        <v>0.724730525773097</v>
      </c>
    </row>
    <row r="1078" spans="1:9">
      <c r="A1078" s="8" t="s">
        <v>1090</v>
      </c>
      <c r="B1078">
        <f>HYPERLINK("https://www.suredividend.com/sure-analysis-research-database/","Five Below Inc")</f>
        <v>0</v>
      </c>
      <c r="C1078">
        <v>-0.192517377674799</v>
      </c>
      <c r="D1078">
        <v>-0.4274739080015461</v>
      </c>
      <c r="E1078">
        <v>-0.39524319910172</v>
      </c>
      <c r="F1078">
        <v>-0.444126477763182</v>
      </c>
      <c r="G1078">
        <v>-0.373599069570733</v>
      </c>
      <c r="H1078">
        <v>-0.116076091010816</v>
      </c>
      <c r="I1078">
        <v>-0.070812421580928</v>
      </c>
    </row>
    <row r="1079" spans="1:9">
      <c r="A1079" s="8" t="s">
        <v>1091</v>
      </c>
      <c r="B1079">
        <f>HYPERLINK("https://www.suredividend.com/sure-analysis-research-database/","Five9 Inc")</f>
        <v>0</v>
      </c>
      <c r="C1079">
        <v>-0.238441098317094</v>
      </c>
      <c r="D1079">
        <v>-0.265128205128205</v>
      </c>
      <c r="E1079">
        <v>-0.4563045402807631</v>
      </c>
      <c r="F1079">
        <v>-0.453678993518871</v>
      </c>
      <c r="G1079">
        <v>-0.399119435320427</v>
      </c>
      <c r="H1079">
        <v>-0.574609143083316</v>
      </c>
      <c r="I1079">
        <v>-0.131164106709781</v>
      </c>
    </row>
    <row r="1080" spans="1:9">
      <c r="A1080" s="8" t="s">
        <v>1092</v>
      </c>
      <c r="B1080">
        <f>HYPERLINK("https://www.suredividend.com/sure-analysis-research-database/","Comfort Systems USA, Inc.")</f>
        <v>0</v>
      </c>
      <c r="C1080">
        <v>-0.112436290005245</v>
      </c>
      <c r="D1080">
        <v>-0.029486748718503</v>
      </c>
      <c r="E1080">
        <v>0.616122081309402</v>
      </c>
      <c r="F1080">
        <v>0.484110332520976</v>
      </c>
      <c r="G1080">
        <v>0.9348759598027341</v>
      </c>
      <c r="H1080">
        <v>2.322691300356116</v>
      </c>
      <c r="I1080">
        <v>5.390237969417114</v>
      </c>
    </row>
    <row r="1081" spans="1:9">
      <c r="A1081" s="8" t="s">
        <v>1093</v>
      </c>
      <c r="B1081">
        <f>HYPERLINK("https://www.suredividend.com/sure-analysis-research-database/","National Beverage Corp.")</f>
        <v>0</v>
      </c>
      <c r="C1081">
        <v>-0.015618404390038</v>
      </c>
      <c r="D1081">
        <v>-0.075703527546571</v>
      </c>
      <c r="E1081">
        <v>-0.05453071153456301</v>
      </c>
      <c r="F1081">
        <v>-0.06194690265486701</v>
      </c>
      <c r="G1081">
        <v>-0.033568172399502</v>
      </c>
      <c r="H1081">
        <v>-0.052802599512591</v>
      </c>
      <c r="I1081">
        <v>1.179347597530945</v>
      </c>
    </row>
    <row r="1082" spans="1:9">
      <c r="A1082" s="8" t="s">
        <v>1094</v>
      </c>
      <c r="B1082">
        <f>HYPERLINK("https://www.suredividend.com/sure-analysis-research-database/","Foot Locker Inc")</f>
        <v>0</v>
      </c>
      <c r="C1082">
        <v>0.087674714104193</v>
      </c>
      <c r="D1082">
        <v>0.05505341002465</v>
      </c>
      <c r="E1082">
        <v>-0.094179894179894</v>
      </c>
      <c r="F1082">
        <v>-0.175601926163723</v>
      </c>
      <c r="G1082">
        <v>-0.003368675970628</v>
      </c>
      <c r="H1082">
        <v>-0.139957801667838</v>
      </c>
      <c r="I1082">
        <v>-0.278684104085209</v>
      </c>
    </row>
    <row r="1083" spans="1:9">
      <c r="A1083" s="8" t="s">
        <v>1095</v>
      </c>
      <c r="B1083">
        <f>HYPERLINK("https://www.suredividend.com/sure-analysis-FLIC/","First Of Long Island Corp.")</f>
        <v>0</v>
      </c>
      <c r="C1083">
        <v>-0.03834808259587</v>
      </c>
      <c r="D1083">
        <v>-0.090105596129692</v>
      </c>
      <c r="E1083">
        <v>-0.159772159076264</v>
      </c>
      <c r="F1083">
        <v>-0.247478128390388</v>
      </c>
      <c r="G1083">
        <v>-0.119957527602559</v>
      </c>
      <c r="H1083">
        <v>-0.393582390327081</v>
      </c>
      <c r="I1083">
        <v>-0.404776395549821</v>
      </c>
    </row>
    <row r="1084" spans="1:9">
      <c r="A1084" s="8" t="s">
        <v>1096</v>
      </c>
      <c r="B1084">
        <f>HYPERLINK("https://www.suredividend.com/sure-analysis-research-database/","Flir Systems, Inc.")</f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</row>
    <row r="1085" spans="1:9">
      <c r="A1085" s="8" t="s">
        <v>1097</v>
      </c>
      <c r="B1085">
        <f>HYPERLINK("https://www.suredividend.com/sure-analysis-research-database/","Full House Resorts, Inc.")</f>
        <v>0</v>
      </c>
      <c r="C1085">
        <v>0</v>
      </c>
      <c r="D1085">
        <v>-0.0234375</v>
      </c>
      <c r="E1085">
        <v>-0.015748031496062</v>
      </c>
      <c r="F1085">
        <v>-0.068901303538175</v>
      </c>
      <c r="G1085">
        <v>-0.306518723994452</v>
      </c>
      <c r="H1085">
        <v>-0.306518723994452</v>
      </c>
      <c r="I1085">
        <v>1.439024390243902</v>
      </c>
    </row>
    <row r="1086" spans="1:9">
      <c r="A1086" s="8" t="s">
        <v>1098</v>
      </c>
      <c r="B1086">
        <f>HYPERLINK("https://www.suredividend.com/sure-analysis-research-database/","Fluent Inc")</f>
        <v>0</v>
      </c>
      <c r="C1086">
        <v>-0.164619164619164</v>
      </c>
      <c r="D1086">
        <v>-0.047779084747661</v>
      </c>
      <c r="E1086">
        <v>0.124115585531971</v>
      </c>
      <c r="F1086">
        <v>-0.154228855721393</v>
      </c>
      <c r="G1086">
        <v>-0.128205128205128</v>
      </c>
      <c r="H1086">
        <v>-0.603729603729603</v>
      </c>
      <c r="I1086">
        <v>-0.88095238095238</v>
      </c>
    </row>
    <row r="1087" spans="1:9">
      <c r="A1087" s="8" t="s">
        <v>1099</v>
      </c>
      <c r="B1087">
        <f>HYPERLINK("https://www.suredividend.com/sure-analysis-FLO/","Flowers Foods, Inc.")</f>
        <v>0</v>
      </c>
      <c r="C1087">
        <v>-0.081397082227048</v>
      </c>
      <c r="D1087">
        <v>0.026670929452397</v>
      </c>
      <c r="E1087">
        <v>0.06274879042407401</v>
      </c>
      <c r="F1087">
        <v>0.033952646782729</v>
      </c>
      <c r="G1087">
        <v>-0.061739978518783</v>
      </c>
      <c r="H1087">
        <v>-0.051154428778319</v>
      </c>
      <c r="I1087">
        <v>0.194023597676891</v>
      </c>
    </row>
    <row r="1088" spans="1:9">
      <c r="A1088" s="8" t="s">
        <v>1100</v>
      </c>
      <c r="B1088">
        <f>HYPERLINK("https://www.suredividend.com/sure-analysis-research-database/","Global X Funds")</f>
        <v>0</v>
      </c>
      <c r="C1088">
        <v>-0.002909265610612</v>
      </c>
      <c r="D1088">
        <v>0.002398161968169</v>
      </c>
      <c r="E1088">
        <v>0.11598207617625</v>
      </c>
      <c r="F1088">
        <v>0.063411127992911</v>
      </c>
      <c r="G1088">
        <v>0.163137349528883</v>
      </c>
      <c r="H1088">
        <v>0.163137349528883</v>
      </c>
      <c r="I1088">
        <v>0.163137349528883</v>
      </c>
    </row>
    <row r="1089" spans="1:9">
      <c r="A1089" s="8" t="s">
        <v>1101</v>
      </c>
      <c r="B1089">
        <f>HYPERLINK("https://www.suredividend.com/sure-analysis-research-database/","Fluor Corporation")</f>
        <v>0</v>
      </c>
      <c r="C1089">
        <v>0.14853284861075</v>
      </c>
      <c r="D1089">
        <v>0.187701396348012</v>
      </c>
      <c r="E1089">
        <v>0.177582534611288</v>
      </c>
      <c r="F1089">
        <v>0.129180495276997</v>
      </c>
      <c r="G1089">
        <v>0.484228187919463</v>
      </c>
      <c r="H1089">
        <v>0.4988139613690271</v>
      </c>
      <c r="I1089">
        <v>0.5475748945073861</v>
      </c>
    </row>
    <row r="1090" spans="1:9">
      <c r="A1090" s="8" t="s">
        <v>1102</v>
      </c>
      <c r="B1090">
        <f>HYPERLINK("https://www.suredividend.com/sure-analysis-research-database/","Flowserve Corp.")</f>
        <v>0</v>
      </c>
      <c r="C1090">
        <v>-0.024148606811145</v>
      </c>
      <c r="D1090">
        <v>0.08966957291313701</v>
      </c>
      <c r="E1090">
        <v>0.239692174574249</v>
      </c>
      <c r="F1090">
        <v>0.152321948223503</v>
      </c>
      <c r="G1090">
        <v>0.320124641209779</v>
      </c>
      <c r="H1090">
        <v>0.553500139644153</v>
      </c>
      <c r="I1090">
        <v>0.07750123634606701</v>
      </c>
    </row>
    <row r="1091" spans="1:9">
      <c r="A1091" s="8" t="s">
        <v>1103</v>
      </c>
      <c r="B1091">
        <f>HYPERLINK("https://www.suredividend.com/sure-analysis-research-database/","Fleetcor Technologies Inc")</f>
        <v>0</v>
      </c>
      <c r="C1091">
        <v>0.078449502133712</v>
      </c>
      <c r="D1091">
        <v>0.09314396943262901</v>
      </c>
      <c r="E1091">
        <v>0.123268390251129</v>
      </c>
      <c r="F1091">
        <v>0.07306889352818301</v>
      </c>
      <c r="G1091">
        <v>0.510108554924808</v>
      </c>
      <c r="H1091">
        <v>0.244449915876728</v>
      </c>
      <c r="I1091">
        <v>0.277099300934894</v>
      </c>
    </row>
    <row r="1092" spans="1:9">
      <c r="A1092" s="8" t="s">
        <v>1104</v>
      </c>
      <c r="B1092">
        <f>HYPERLINK("https://www.suredividend.com/sure-analysis-research-database/","1-800 Flowers.com Inc.")</f>
        <v>0</v>
      </c>
      <c r="C1092">
        <v>0.09670079635949901</v>
      </c>
      <c r="D1092">
        <v>-0.046488625123639</v>
      </c>
      <c r="E1092">
        <v>0.035445757250268</v>
      </c>
      <c r="F1092">
        <v>-0.105751391465677</v>
      </c>
      <c r="G1092">
        <v>0.117033603707995</v>
      </c>
      <c r="H1092">
        <v>-0.039840637450199</v>
      </c>
      <c r="I1092">
        <v>-0.488050982474774</v>
      </c>
    </row>
    <row r="1093" spans="1:9">
      <c r="A1093" s="8" t="s">
        <v>1105</v>
      </c>
      <c r="B1093">
        <f>HYPERLINK("https://www.suredividend.com/sure-analysis-research-database/","Flexion Therapeutics Inc")</f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</row>
    <row r="1094" spans="1:9">
      <c r="A1094" s="8" t="s">
        <v>1106</v>
      </c>
      <c r="B1094">
        <f>HYPERLINK("https://www.suredividend.com/sure-analysis-research-database/","Flexsteel Industries, Inc.")</f>
        <v>0</v>
      </c>
      <c r="C1094">
        <v>0</v>
      </c>
      <c r="D1094">
        <v>0.009325477272923001</v>
      </c>
      <c r="E1094">
        <v>0.9096532700772021</v>
      </c>
      <c r="F1094">
        <v>0.8783613838867631</v>
      </c>
      <c r="G1094">
        <v>0.9755282145952701</v>
      </c>
      <c r="H1094">
        <v>0.7841893375625231</v>
      </c>
      <c r="I1094">
        <v>1.324657262070336</v>
      </c>
    </row>
    <row r="1095" spans="1:9">
      <c r="A1095" s="8" t="s">
        <v>1107</v>
      </c>
      <c r="B1095">
        <f>HYPERLINK("https://www.suredividend.com/sure-analysis-FMAO/","Farmers &amp; Merchants Bancorp Inc.")</f>
        <v>0</v>
      </c>
      <c r="C1095">
        <v>-0.07344110854503401</v>
      </c>
      <c r="D1095">
        <v>-0.025115664243225</v>
      </c>
      <c r="E1095">
        <v>-0.050090445027417</v>
      </c>
      <c r="F1095">
        <v>-0.183141606433879</v>
      </c>
      <c r="G1095">
        <v>-0.141458237036276</v>
      </c>
      <c r="H1095">
        <v>-0.40706672420622</v>
      </c>
      <c r="I1095">
        <v>-0.165025994081091</v>
      </c>
    </row>
    <row r="1096" spans="1:9">
      <c r="A1096" s="8" t="s">
        <v>1108</v>
      </c>
      <c r="B1096">
        <f>HYPERLINK("https://www.suredividend.com/sure-analysis-FMBH/","First Mid Bancshares Inc.")</f>
        <v>0</v>
      </c>
      <c r="C1096">
        <v>-0.02132208788777</v>
      </c>
      <c r="D1096">
        <v>0.029670243185812</v>
      </c>
      <c r="E1096">
        <v>0.001234004967906</v>
      </c>
      <c r="F1096">
        <v>-0.073871981972947</v>
      </c>
      <c r="G1096">
        <v>0.266680651251351</v>
      </c>
      <c r="H1096">
        <v>-0.09847314655840601</v>
      </c>
      <c r="I1096">
        <v>0.103477359385707</v>
      </c>
    </row>
    <row r="1097" spans="1:9">
      <c r="A1097" s="8" t="s">
        <v>1109</v>
      </c>
      <c r="B1097">
        <f>HYPERLINK("https://www.suredividend.com/sure-analysis-research-database/","First Midwest Bancorp, Inc.")</f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</row>
    <row r="1098" spans="1:9">
      <c r="A1098" s="8" t="s">
        <v>1110</v>
      </c>
      <c r="B1098">
        <f>HYPERLINK("https://www.suredividend.com/sure-analysis-FMC/","FMC Corp.")</f>
        <v>0</v>
      </c>
      <c r="C1098">
        <v>-0.151161048689138</v>
      </c>
      <c r="D1098">
        <v>-0.09793014292059801</v>
      </c>
      <c r="E1098">
        <v>0.042392978105332</v>
      </c>
      <c r="F1098">
        <v>-0.09292187697612801</v>
      </c>
      <c r="G1098">
        <v>-0.474600757776669</v>
      </c>
      <c r="H1098">
        <v>-0.5075741115736591</v>
      </c>
      <c r="I1098">
        <v>-0.218490304231545</v>
      </c>
    </row>
    <row r="1099" spans="1:9">
      <c r="A1099" s="8" t="s">
        <v>1111</v>
      </c>
      <c r="B1099">
        <f>HYPERLINK("https://www.suredividend.com/sure-analysis-research-database/","Farmers National Banc Corp.")</f>
        <v>0</v>
      </c>
      <c r="C1099">
        <v>-0.024311183144246</v>
      </c>
      <c r="D1099">
        <v>-0.09541697971450001</v>
      </c>
      <c r="E1099">
        <v>-0.03845385936189701</v>
      </c>
      <c r="F1099">
        <v>-0.145420475838964</v>
      </c>
      <c r="G1099">
        <v>0.014715053854063</v>
      </c>
      <c r="H1099">
        <v>-0.10848494272534</v>
      </c>
      <c r="I1099">
        <v>0.102584296415685</v>
      </c>
    </row>
    <row r="1100" spans="1:9">
      <c r="A1100" s="8" t="s">
        <v>1112</v>
      </c>
      <c r="B1100">
        <f>HYPERLINK("https://www.suredividend.com/sure-analysis-research-database/","Fabrinet")</f>
        <v>0</v>
      </c>
      <c r="C1100">
        <v>0.102145143566958</v>
      </c>
      <c r="D1100">
        <v>0.046877836267925</v>
      </c>
      <c r="E1100">
        <v>0.3971897522863541</v>
      </c>
      <c r="F1100">
        <v>0.212052750485997</v>
      </c>
      <c r="G1100">
        <v>1.052219553420514</v>
      </c>
      <c r="H1100">
        <v>1.603136989392913</v>
      </c>
      <c r="I1100">
        <v>3.969625161568289</v>
      </c>
    </row>
    <row r="1101" spans="1:9">
      <c r="A1101" s="8" t="s">
        <v>1113</v>
      </c>
      <c r="B1101">
        <f>HYPERLINK("https://www.suredividend.com/sure-analysis-research-database/","F.N.B. Corp.")</f>
        <v>0</v>
      </c>
      <c r="C1101">
        <v>-0.041147712722616</v>
      </c>
      <c r="D1101">
        <v>-0.0278300251525</v>
      </c>
      <c r="E1101">
        <v>0.05658925293207501</v>
      </c>
      <c r="F1101">
        <v>-0.025515522990587</v>
      </c>
      <c r="G1101">
        <v>0.12768123754032</v>
      </c>
      <c r="H1101">
        <v>0.174353125668258</v>
      </c>
      <c r="I1101">
        <v>0.425095961507271</v>
      </c>
    </row>
    <row r="1102" spans="1:9">
      <c r="A1102" s="8" t="s">
        <v>1114</v>
      </c>
      <c r="B1102">
        <f>HYPERLINK("https://www.suredividend.com/sure-analysis-research-database/","FNCB Bancorp Inc")</f>
        <v>0</v>
      </c>
      <c r="C1102">
        <v>0.040981604314248</v>
      </c>
      <c r="D1102">
        <v>-0.031349990383438</v>
      </c>
      <c r="E1102">
        <v>-0.065357492323784</v>
      </c>
      <c r="F1102">
        <v>-0.131430004860229</v>
      </c>
      <c r="G1102">
        <v>0.016010416857703</v>
      </c>
      <c r="H1102">
        <v>-0.103240635825051</v>
      </c>
      <c r="I1102">
        <v>0.025394240023691</v>
      </c>
    </row>
    <row r="1103" spans="1:9">
      <c r="A1103" s="8" t="s">
        <v>1115</v>
      </c>
      <c r="B1103">
        <f>HYPERLINK("https://www.suredividend.com/sure-analysis-research-database/","Floor &amp; Decor Holdings Inc")</f>
        <v>0</v>
      </c>
      <c r="C1103">
        <v>0.00034214352921</v>
      </c>
      <c r="D1103">
        <v>-0.07666192957524001</v>
      </c>
      <c r="E1103">
        <v>0.160218253968253</v>
      </c>
      <c r="F1103">
        <v>0.048314808174973</v>
      </c>
      <c r="G1103">
        <v>0.196541845713116</v>
      </c>
      <c r="H1103">
        <v>0.5315610267155571</v>
      </c>
      <c r="I1103">
        <v>2.188386041439476</v>
      </c>
    </row>
    <row r="1104" spans="1:9">
      <c r="A1104" s="8" t="s">
        <v>1116</v>
      </c>
      <c r="B1104">
        <f>HYPERLINK("https://www.suredividend.com/sure-analysis-FNF/","Fidelity National Financial Inc")</f>
        <v>0</v>
      </c>
      <c r="C1104">
        <v>-0.055992329817833</v>
      </c>
      <c r="D1104">
        <v>-0.033735828910592</v>
      </c>
      <c r="E1104">
        <v>0.072126242157231</v>
      </c>
      <c r="F1104">
        <v>-0.025970171696746</v>
      </c>
      <c r="G1104">
        <v>0.434557597939225</v>
      </c>
      <c r="H1104">
        <v>0.266187420429264</v>
      </c>
      <c r="I1104">
        <v>0.503885725457611</v>
      </c>
    </row>
    <row r="1105" spans="1:9">
      <c r="A1105" s="8" t="s">
        <v>1117</v>
      </c>
      <c r="B1105">
        <f>HYPERLINK("https://www.suredividend.com/sure-analysis-research-database/","FedNat Holding Co")</f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</row>
    <row r="1106" spans="1:9">
      <c r="A1106" s="8" t="s">
        <v>1118</v>
      </c>
      <c r="B1106">
        <f>HYPERLINK("https://www.suredividend.com/sure-analysis-research-database/","Funko Inc")</f>
        <v>0</v>
      </c>
      <c r="C1106">
        <v>0.420029895366218</v>
      </c>
      <c r="D1106">
        <v>0.475155279503105</v>
      </c>
      <c r="E1106">
        <v>0.503164556962025</v>
      </c>
      <c r="F1106">
        <v>0.228978007761966</v>
      </c>
      <c r="G1106">
        <v>-0.247226624405705</v>
      </c>
      <c r="H1106">
        <v>-0.5683780099954561</v>
      </c>
      <c r="I1106">
        <v>-0.559777571825764</v>
      </c>
    </row>
    <row r="1107" spans="1:9">
      <c r="A1107" s="8" t="s">
        <v>1119</v>
      </c>
      <c r="B1107">
        <f>HYPERLINK("https://www.suredividend.com/sure-analysis-research-database/","First Bancorp Inc (ME)")</f>
        <v>0</v>
      </c>
      <c r="C1107">
        <v>0.013478260869565</v>
      </c>
      <c r="D1107">
        <v>0.027990809382896</v>
      </c>
      <c r="E1107">
        <v>-0.030882059469167</v>
      </c>
      <c r="F1107">
        <v>-0.127724224643755</v>
      </c>
      <c r="G1107">
        <v>-0.063840382978039</v>
      </c>
      <c r="H1107">
        <v>-0.084345489684647</v>
      </c>
      <c r="I1107">
        <v>0.286892576766371</v>
      </c>
    </row>
    <row r="1108" spans="1:9">
      <c r="A1108" s="8" t="s">
        <v>1120</v>
      </c>
      <c r="B1108">
        <f>HYPERLINK("https://www.suredividend.com/sure-analysis-research-database/","First Northwest Bancorp")</f>
        <v>0</v>
      </c>
      <c r="C1108">
        <v>-0.058369623347849</v>
      </c>
      <c r="D1108">
        <v>-0.36324653854102</v>
      </c>
      <c r="E1108">
        <v>-0.321604755646986</v>
      </c>
      <c r="F1108">
        <v>-0.366714623368615</v>
      </c>
      <c r="G1108">
        <v>-0.124333925399644</v>
      </c>
      <c r="H1108">
        <v>-0.380544316839645</v>
      </c>
      <c r="I1108">
        <v>-0.3189243702122661</v>
      </c>
    </row>
    <row r="1109" spans="1:9">
      <c r="A1109" s="8" t="s">
        <v>1121</v>
      </c>
      <c r="B1109">
        <f>HYPERLINK("https://www.suredividend.com/sure-analysis-research-database/","Focus Financial Partners Inc")</f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0" spans="1:9">
      <c r="A1110" s="8" t="s">
        <v>1122</v>
      </c>
      <c r="B1110">
        <f>HYPERLINK("https://www.suredividend.com/sure-analysis-research-database/","Ferro Corp.")</f>
        <v>0</v>
      </c>
      <c r="C1110">
        <v>0.013818516812528</v>
      </c>
      <c r="D1110">
        <v>0.013818516812528</v>
      </c>
      <c r="E1110">
        <v>0.04660009510223401</v>
      </c>
      <c r="F1110">
        <v>0.008245533669262001</v>
      </c>
      <c r="G1110">
        <v>0.277423099245502</v>
      </c>
      <c r="H1110">
        <v>1.492638731596829</v>
      </c>
      <c r="I1110">
        <v>0.428293316028552</v>
      </c>
    </row>
    <row r="1111" spans="1:9">
      <c r="A1111" s="8" t="s">
        <v>1123</v>
      </c>
      <c r="B1111">
        <f>HYPERLINK("https://www.suredividend.com/sure-analysis-research-database/","Amicus Therapeutics Inc")</f>
        <v>0</v>
      </c>
      <c r="C1111">
        <v>-0.035508637236084</v>
      </c>
      <c r="D1111">
        <v>-0.182262001627339</v>
      </c>
      <c r="E1111">
        <v>-0.123801220575414</v>
      </c>
      <c r="F1111">
        <v>-0.291754756871035</v>
      </c>
      <c r="G1111">
        <v>-0.202380952380952</v>
      </c>
      <c r="H1111">
        <v>0.192170818505338</v>
      </c>
      <c r="I1111">
        <v>-0.153327716933445</v>
      </c>
    </row>
    <row r="1112" spans="1:9">
      <c r="A1112" s="8" t="s">
        <v>1124</v>
      </c>
      <c r="B1112">
        <f>HYPERLINK("https://www.suredividend.com/sure-analysis-research-database/","Fonar Corp.")</f>
        <v>0</v>
      </c>
      <c r="C1112">
        <v>-0.08629737609329401</v>
      </c>
      <c r="D1112">
        <v>-0.323402417962003</v>
      </c>
      <c r="E1112">
        <v>-0.208585858585858</v>
      </c>
      <c r="F1112">
        <v>-0.198875255623721</v>
      </c>
      <c r="G1112">
        <v>-0.09421965317919001</v>
      </c>
      <c r="H1112">
        <v>-0.015084852294154</v>
      </c>
      <c r="I1112">
        <v>-0.218843469591226</v>
      </c>
    </row>
    <row r="1113" spans="1:9">
      <c r="A1113" s="8" t="s">
        <v>1125</v>
      </c>
      <c r="B1113">
        <f>HYPERLINK("https://www.suredividend.com/sure-analysis-research-database/","Forestar Group Inc")</f>
        <v>0</v>
      </c>
      <c r="C1113">
        <v>-0.06733021077283301</v>
      </c>
      <c r="D1113">
        <v>-0.140544915025627</v>
      </c>
      <c r="E1113">
        <v>0.026086956521738</v>
      </c>
      <c r="F1113">
        <v>-0.03658905352283</v>
      </c>
      <c r="G1113">
        <v>0.4818604651162791</v>
      </c>
      <c r="H1113">
        <v>0.942682926829268</v>
      </c>
      <c r="I1113">
        <v>0.7287032013022241</v>
      </c>
    </row>
    <row r="1114" spans="1:9">
      <c r="A1114" s="8" t="s">
        <v>1126</v>
      </c>
      <c r="B1114">
        <f>HYPERLINK("https://www.suredividend.com/sure-analysis-research-database/","Forward Industries, Inc.")</f>
        <v>0</v>
      </c>
      <c r="C1114">
        <v>0.007386363636363</v>
      </c>
      <c r="D1114">
        <v>-0.170202808112324</v>
      </c>
      <c r="E1114">
        <v>-0.291744340878828</v>
      </c>
      <c r="F1114">
        <v>-0.270770496298327</v>
      </c>
      <c r="G1114">
        <v>-0.4681</v>
      </c>
      <c r="H1114">
        <v>-0.6716666666666661</v>
      </c>
      <c r="I1114">
        <v>-0.5876744186046511</v>
      </c>
    </row>
    <row r="1115" spans="1:9">
      <c r="A1115" s="8" t="s">
        <v>1127</v>
      </c>
      <c r="B1115">
        <f>HYPERLINK("https://www.suredividend.com/sure-analysis-research-database/","FormFactor Inc.")</f>
        <v>0</v>
      </c>
      <c r="C1115">
        <v>-0.045689809030876</v>
      </c>
      <c r="D1115">
        <v>0.158362218370883</v>
      </c>
      <c r="E1115">
        <v>0.459732459732459</v>
      </c>
      <c r="F1115">
        <v>0.281946775353632</v>
      </c>
      <c r="G1115">
        <v>0.6931602279924001</v>
      </c>
      <c r="H1115">
        <v>0.317644159684573</v>
      </c>
      <c r="I1115">
        <v>2.620176032498307</v>
      </c>
    </row>
    <row r="1116" spans="1:9">
      <c r="A1116" s="8" t="s">
        <v>1128</v>
      </c>
      <c r="B1116">
        <f>HYPERLINK("https://www.suredividend.com/sure-analysis-research-database/","Forrester Research Inc.")</f>
        <v>0</v>
      </c>
      <c r="C1116">
        <v>-0.086774699424986</v>
      </c>
      <c r="D1116">
        <v>-0.148635477582846</v>
      </c>
      <c r="E1116">
        <v>-0.310031595576619</v>
      </c>
      <c r="F1116">
        <v>-0.348377471092875</v>
      </c>
      <c r="G1116">
        <v>-0.422670191672174</v>
      </c>
      <c r="H1116">
        <v>-0.6569801688592181</v>
      </c>
      <c r="I1116">
        <v>-0.620299934796783</v>
      </c>
    </row>
    <row r="1117" spans="1:9">
      <c r="A1117" s="8" t="s">
        <v>1129</v>
      </c>
      <c r="B1117">
        <f>HYPERLINK("https://www.suredividend.com/sure-analysis-research-database/","Fossil Group Inc")</f>
        <v>0</v>
      </c>
      <c r="C1117">
        <v>0.261373035566584</v>
      </c>
      <c r="D1117">
        <v>0.307890222984562</v>
      </c>
      <c r="E1117">
        <v>-0.06870229007633501</v>
      </c>
      <c r="F1117">
        <v>-0.164383561643835</v>
      </c>
      <c r="G1117">
        <v>-0.519685039370078</v>
      </c>
      <c r="H1117">
        <v>-0.8319559228650131</v>
      </c>
      <c r="I1117">
        <v>-0.8901890189018901</v>
      </c>
    </row>
    <row r="1118" spans="1:9">
      <c r="A1118" s="8" t="s">
        <v>1130</v>
      </c>
      <c r="B1118">
        <f>HYPERLINK("https://www.suredividend.com/sure-analysis-research-database/","Fox Corporation")</f>
        <v>0</v>
      </c>
      <c r="C1118">
        <v>0.0643216080402</v>
      </c>
      <c r="D1118">
        <v>0.216775181922635</v>
      </c>
      <c r="E1118">
        <v>0.185553930202704</v>
      </c>
      <c r="F1118">
        <v>0.171831775563047</v>
      </c>
      <c r="G1118">
        <v>0.048120509115382</v>
      </c>
      <c r="H1118">
        <v>0.03597037848625</v>
      </c>
      <c r="I1118">
        <v>0.027470359566114</v>
      </c>
    </row>
    <row r="1119" spans="1:9">
      <c r="A1119" s="8" t="s">
        <v>1131</v>
      </c>
      <c r="B1119">
        <f>HYPERLINK("https://www.suredividend.com/sure-analysis-FOXA/","Fox Corporation")</f>
        <v>0</v>
      </c>
      <c r="C1119">
        <v>0.055383663366336</v>
      </c>
      <c r="D1119">
        <v>0.190160502442428</v>
      </c>
      <c r="E1119">
        <v>0.173479568176032</v>
      </c>
      <c r="F1119">
        <v>0.160030471630096</v>
      </c>
      <c r="G1119">
        <v>0.04859956162328501</v>
      </c>
      <c r="H1119">
        <v>0.025315770805403</v>
      </c>
      <c r="I1119">
        <v>0.085818151721678</v>
      </c>
    </row>
    <row r="1120" spans="1:9">
      <c r="A1120" s="8" t="s">
        <v>1132</v>
      </c>
      <c r="B1120">
        <f>HYPERLINK("https://www.suredividend.com/sure-analysis-research-database/","Fox Factory Holding Corp")</f>
        <v>0</v>
      </c>
      <c r="C1120">
        <v>0.020366132723112</v>
      </c>
      <c r="D1120">
        <v>-0.126713670191931</v>
      </c>
      <c r="E1120">
        <v>-0.288495292803574</v>
      </c>
      <c r="F1120">
        <v>-0.339211618257261</v>
      </c>
      <c r="G1120">
        <v>-0.535665937727793</v>
      </c>
      <c r="H1120">
        <v>-0.479332087809434</v>
      </c>
      <c r="I1120">
        <v>-0.376363636363636</v>
      </c>
    </row>
    <row r="1121" spans="1:9">
      <c r="A1121" s="8" t="s">
        <v>1133</v>
      </c>
      <c r="B1121">
        <f>HYPERLINK("https://www.suredividend.com/sure-analysis-research-database/","Farmland Partners Inc")</f>
        <v>0</v>
      </c>
      <c r="C1121">
        <v>-0.033094812164579</v>
      </c>
      <c r="D1121">
        <v>-0.011864933545402</v>
      </c>
      <c r="E1121">
        <v>-0.108468313924718</v>
      </c>
      <c r="F1121">
        <v>-0.129047592191238</v>
      </c>
      <c r="G1121">
        <v>-0.084061311122596</v>
      </c>
      <c r="H1121">
        <v>-0.224311136624569</v>
      </c>
      <c r="I1121">
        <v>0.9324621462664691</v>
      </c>
    </row>
    <row r="1122" spans="1:9">
      <c r="A1122" s="8" t="s">
        <v>1134</v>
      </c>
      <c r="B1122">
        <f>HYPERLINK("https://www.suredividend.com/sure-analysis-research-database/","Five Prime Therapeutics Inc")</f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</row>
    <row r="1123" spans="1:9">
      <c r="A1123" s="8" t="s">
        <v>1135</v>
      </c>
      <c r="B1123">
        <f>HYPERLINK("https://www.suredividend.com/sure-analysis-FR/","First Industrial Realty Trust, Inc.")</f>
        <v>0</v>
      </c>
      <c r="C1123">
        <v>-0.018987341772151</v>
      </c>
      <c r="D1123">
        <v>-0.114268843216061</v>
      </c>
      <c r="E1123">
        <v>-0.04209034427067</v>
      </c>
      <c r="F1123">
        <v>-0.110737131983821</v>
      </c>
      <c r="G1123">
        <v>-0.108631893725918</v>
      </c>
      <c r="H1123">
        <v>-0.074844116207537</v>
      </c>
      <c r="I1123">
        <v>0.437856758545198</v>
      </c>
    </row>
    <row r="1124" spans="1:9">
      <c r="A1124" s="8" t="s">
        <v>1136</v>
      </c>
      <c r="B1124">
        <f>HYPERLINK("https://www.suredividend.com/sure-analysis-research-database/","Franklin Financial Services Corp.")</f>
        <v>0</v>
      </c>
      <c r="C1124">
        <v>-0.06294452347083901</v>
      </c>
      <c r="D1124">
        <v>0.021349499209277</v>
      </c>
      <c r="E1124">
        <v>-0.171795145808057</v>
      </c>
      <c r="F1124">
        <v>-0.128219549717953</v>
      </c>
      <c r="G1124">
        <v>0.08096355491376901</v>
      </c>
      <c r="H1124">
        <v>-0.010150186700325</v>
      </c>
      <c r="I1124">
        <v>-0.115234420906658</v>
      </c>
    </row>
    <row r="1125" spans="1:9">
      <c r="A1125" s="8" t="s">
        <v>1137</v>
      </c>
      <c r="B1125">
        <f>HYPERLINK("https://www.suredividend.com/sure-analysis-research-database/","Francesca`s Holdings Corp")</f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</row>
    <row r="1126" spans="1:9">
      <c r="A1126" s="8" t="s">
        <v>1138</v>
      </c>
      <c r="B1126">
        <f>HYPERLINK("https://www.suredividend.com/sure-analysis-research-database/","First Bank (NJ)")</f>
        <v>0</v>
      </c>
      <c r="C1126">
        <v>-0.03792434848335401</v>
      </c>
      <c r="D1126">
        <v>-0.114977364280153</v>
      </c>
      <c r="E1126">
        <v>-0.099528617457302</v>
      </c>
      <c r="F1126">
        <v>-0.188355570958239</v>
      </c>
      <c r="G1126">
        <v>0.06120747467058101</v>
      </c>
      <c r="H1126">
        <v>-0.159850767685464</v>
      </c>
      <c r="I1126">
        <v>0.158545634429878</v>
      </c>
    </row>
    <row r="1127" spans="1:9">
      <c r="A1127" s="8" t="s">
        <v>1139</v>
      </c>
      <c r="B1127">
        <f>HYPERLINK("https://www.suredividend.com/sure-analysis-research-database/","Republic First Bancorp, Inc.")</f>
        <v>0</v>
      </c>
      <c r="C1127">
        <v>-0.254545454545454</v>
      </c>
      <c r="D1127">
        <v>-0.5980392156862741</v>
      </c>
      <c r="E1127">
        <v>-0.9514792899408281</v>
      </c>
      <c r="F1127">
        <v>-0.8633333333333331</v>
      </c>
      <c r="G1127">
        <v>-0.9879411764705881</v>
      </c>
      <c r="H1127">
        <v>-0.9879411764705881</v>
      </c>
      <c r="I1127">
        <v>-0.9879411764705881</v>
      </c>
    </row>
    <row r="1128" spans="1:9">
      <c r="A1128" s="8" t="s">
        <v>1140</v>
      </c>
      <c r="B1128">
        <f>HYPERLINK("https://www.suredividend.com/sure-analysis-research-database/","First Republic Bank")</f>
        <v>0</v>
      </c>
      <c r="C1128">
        <v>-0.749106504646175</v>
      </c>
      <c r="D1128">
        <v>-0.9761224489795921</v>
      </c>
      <c r="E1128">
        <v>-0.969615808782156</v>
      </c>
      <c r="F1128">
        <v>-0.9711463529318921</v>
      </c>
      <c r="G1128">
        <v>-0.976820100868883</v>
      </c>
      <c r="H1128">
        <v>-0.9806280165241361</v>
      </c>
      <c r="I1128">
        <v>-0.961364036632617</v>
      </c>
    </row>
    <row r="1129" spans="1:9">
      <c r="A1129" s="8" t="s">
        <v>1141</v>
      </c>
      <c r="B1129">
        <f>HYPERLINK("https://www.suredividend.com/sure-analysis-research-database/","Friedman Industries, Inc.")</f>
        <v>0</v>
      </c>
      <c r="C1129">
        <v>-0.110990795885219</v>
      </c>
      <c r="D1129">
        <v>-0.101440868570678</v>
      </c>
      <c r="E1129">
        <v>0.279812938425565</v>
      </c>
      <c r="F1129">
        <v>0.06789107771151301</v>
      </c>
      <c r="G1129">
        <v>0.705353897284104</v>
      </c>
      <c r="H1129">
        <v>0.633343280612752</v>
      </c>
      <c r="I1129">
        <v>1.455510692388216</v>
      </c>
    </row>
    <row r="1130" spans="1:9">
      <c r="A1130" s="8" t="s">
        <v>1142</v>
      </c>
      <c r="B1130">
        <f>HYPERLINK("https://www.suredividend.com/sure-analysis-research-database/","Fiesta Restaurant Group Inc")</f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</row>
    <row r="1131" spans="1:9">
      <c r="A1131" s="8" t="s">
        <v>1143</v>
      </c>
      <c r="B1131">
        <f>HYPERLINK("https://www.suredividend.com/sure-analysis-FRME/","First Merchants Corp.")</f>
        <v>0</v>
      </c>
      <c r="C1131">
        <v>-0.08793359232940601</v>
      </c>
      <c r="D1131">
        <v>-0.06496150363658901</v>
      </c>
      <c r="E1131">
        <v>-0.028926318247888</v>
      </c>
      <c r="F1131">
        <v>-0.110898527073983</v>
      </c>
      <c r="G1131">
        <v>0.147334444359725</v>
      </c>
      <c r="H1131">
        <v>-0.10566712704055</v>
      </c>
      <c r="I1131">
        <v>0.143725795359947</v>
      </c>
    </row>
    <row r="1132" spans="1:9">
      <c r="A1132" s="8" t="s">
        <v>1144</v>
      </c>
      <c r="B1132">
        <f>HYPERLINK("https://www.suredividend.com/sure-analysis-research-database/","FRP Holdings Inc")</f>
        <v>0</v>
      </c>
      <c r="C1132">
        <v>-0.022578534031413</v>
      </c>
      <c r="D1132">
        <v>-0.023856209150326</v>
      </c>
      <c r="E1132">
        <v>0.022595001711742</v>
      </c>
      <c r="F1132">
        <v>-0.04993638676844701</v>
      </c>
      <c r="G1132">
        <v>-0.021137145666065</v>
      </c>
      <c r="H1132">
        <v>-0.011254551473022</v>
      </c>
      <c r="I1132">
        <v>0.235573940020682</v>
      </c>
    </row>
    <row r="1133" spans="1:9">
      <c r="A1133" s="8" t="s">
        <v>1145</v>
      </c>
      <c r="B1133">
        <f>HYPERLINK("https://www.suredividend.com/sure-analysis-research-database/","Freshpet Inc")</f>
        <v>0</v>
      </c>
      <c r="C1133">
        <v>0.052609776304888</v>
      </c>
      <c r="D1133">
        <v>0.17053620784964</v>
      </c>
      <c r="E1133">
        <v>0.682558601509733</v>
      </c>
      <c r="F1133">
        <v>0.464384508990318</v>
      </c>
      <c r="G1133">
        <v>0.9393985651045641</v>
      </c>
      <c r="H1133">
        <v>0.8026390465380241</v>
      </c>
      <c r="I1133">
        <v>1.673048600883652</v>
      </c>
    </row>
    <row r="1134" spans="1:9">
      <c r="A1134" s="8" t="s">
        <v>1146</v>
      </c>
      <c r="B1134">
        <f>HYPERLINK("https://www.suredividend.com/sure-analysis-FRT/","Federal Realty Investment Trust.")</f>
        <v>0</v>
      </c>
      <c r="C1134">
        <v>-0.020176544766708</v>
      </c>
      <c r="D1134">
        <v>0.001008837735684</v>
      </c>
      <c r="E1134">
        <v>0.041920244259691</v>
      </c>
      <c r="F1134">
        <v>-0.009287257654950001</v>
      </c>
      <c r="G1134">
        <v>0.08575193776785001</v>
      </c>
      <c r="H1134">
        <v>-0.017748786407766</v>
      </c>
      <c r="I1134">
        <v>-0.275238573581115</v>
      </c>
    </row>
    <row r="1135" spans="1:9">
      <c r="A1135" s="8" t="s">
        <v>1147</v>
      </c>
      <c r="B1135">
        <f>HYPERLINK("https://www.suredividend.com/sure-analysis-research-database/","Forterra Inc")</f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</row>
    <row r="1136" spans="1:9">
      <c r="A1136" s="8" t="s">
        <v>1148</v>
      </c>
      <c r="B1136">
        <f>HYPERLINK("https://www.suredividend.com/sure-analysis-research-database/","FS Bancorp Inc")</f>
        <v>0</v>
      </c>
      <c r="C1136">
        <v>0.07136896432193701</v>
      </c>
      <c r="D1136">
        <v>0.04755419005984601</v>
      </c>
      <c r="E1136">
        <v>0.041432671908149</v>
      </c>
      <c r="F1136">
        <v>-0.067332033149109</v>
      </c>
      <c r="G1136">
        <v>0.113167592083104</v>
      </c>
      <c r="H1136">
        <v>0.199679414608199</v>
      </c>
      <c r="I1136">
        <v>0.593553222672567</v>
      </c>
    </row>
    <row r="1137" spans="1:9">
      <c r="A1137" s="8" t="s">
        <v>1149</v>
      </c>
      <c r="B1137">
        <f>HYPERLINK("https://www.suredividend.com/sure-analysis-research-database/","ForeScout Technologies Inc")</f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</row>
    <row r="1138" spans="1:9">
      <c r="A1138" s="8" t="s">
        <v>1150</v>
      </c>
      <c r="B1138">
        <f>HYPERLINK("https://www.suredividend.com/sure-analysis-research-database/","First Savings Financial Group Inc")</f>
        <v>0</v>
      </c>
      <c r="C1138">
        <v>0.021157436216552</v>
      </c>
      <c r="D1138">
        <v>0.004948190970776</v>
      </c>
      <c r="E1138">
        <v>0.117375495362993</v>
      </c>
      <c r="F1138">
        <v>-0.005816066884769</v>
      </c>
      <c r="G1138">
        <v>0.318284061696658</v>
      </c>
      <c r="H1138">
        <v>-0.260720898487653</v>
      </c>
      <c r="I1138">
        <v>-0.003152734496018</v>
      </c>
    </row>
    <row r="1139" spans="1:9">
      <c r="A1139" s="8" t="s">
        <v>1151</v>
      </c>
      <c r="B1139">
        <f>HYPERLINK("https://www.suredividend.com/sure-analysis-research-database/","First Solar Inc")</f>
        <v>0</v>
      </c>
      <c r="C1139">
        <v>0.373298402424616</v>
      </c>
      <c r="D1139">
        <v>0.667227938883691</v>
      </c>
      <c r="E1139">
        <v>0.8542100152587041</v>
      </c>
      <c r="F1139">
        <v>0.5517761783143711</v>
      </c>
      <c r="G1139">
        <v>0.394138506466416</v>
      </c>
      <c r="H1139">
        <v>2.713055555555555</v>
      </c>
      <c r="I1139">
        <v>3.275387813849352</v>
      </c>
    </row>
    <row r="1140" spans="1:9">
      <c r="A1140" s="8" t="s">
        <v>1152</v>
      </c>
      <c r="B1140">
        <f>HYPERLINK("https://www.suredividend.com/sure-analysis-research-database/","Fastly Inc")</f>
        <v>0</v>
      </c>
      <c r="C1140">
        <v>-0.121034077555816</v>
      </c>
      <c r="D1140">
        <v>-0.4459259259259261</v>
      </c>
      <c r="E1140">
        <v>-0.5558194774346791</v>
      </c>
      <c r="F1140">
        <v>-0.5797752808988761</v>
      </c>
      <c r="G1140">
        <v>-0.5466666666666661</v>
      </c>
      <c r="H1140">
        <v>-0.40729001584786</v>
      </c>
      <c r="I1140">
        <v>-0.647834274952918</v>
      </c>
    </row>
    <row r="1141" spans="1:9">
      <c r="A1141" s="8" t="s">
        <v>1153</v>
      </c>
      <c r="B1141">
        <f>HYPERLINK("https://www.suredividend.com/sure-analysis-research-database/","Franklin Street Properties Corp.")</f>
        <v>0</v>
      </c>
      <c r="C1141">
        <v>-0.103092783505154</v>
      </c>
      <c r="D1141">
        <v>-0.232160981421825</v>
      </c>
      <c r="E1141">
        <v>-0.288052373158756</v>
      </c>
      <c r="F1141">
        <v>-0.3075178095275991</v>
      </c>
      <c r="G1141">
        <v>0.194890811701689</v>
      </c>
      <c r="H1141">
        <v>-0.591884601852937</v>
      </c>
      <c r="I1141">
        <v>-0.687953946306558</v>
      </c>
    </row>
    <row r="1142" spans="1:9">
      <c r="A1142" s="8" t="s">
        <v>1154</v>
      </c>
      <c r="B1142">
        <f>HYPERLINK("https://www.suredividend.com/sure-analysis-research-database/","Federal Signal Corp.")</f>
        <v>0</v>
      </c>
      <c r="C1142">
        <v>-2.4483485888E-05</v>
      </c>
      <c r="D1142">
        <v>0.06196202343572001</v>
      </c>
      <c r="E1142">
        <v>0.209319245053169</v>
      </c>
      <c r="F1142">
        <v>0.120912726417313</v>
      </c>
      <c r="G1142">
        <v>0.43284330103575</v>
      </c>
      <c r="H1142">
        <v>1.374847712925019</v>
      </c>
      <c r="I1142">
        <v>2.497090854232837</v>
      </c>
    </row>
    <row r="1143" spans="1:9">
      <c r="A1143" s="8" t="s">
        <v>1155</v>
      </c>
      <c r="B1143">
        <f>HYPERLINK("https://www.suredividend.com/sure-analysis-research-database/","L.B. Foster Co.")</f>
        <v>0</v>
      </c>
      <c r="C1143">
        <v>-0.034228928965771</v>
      </c>
      <c r="D1143">
        <v>0.136422693806842</v>
      </c>
      <c r="E1143">
        <v>0.347022587268993</v>
      </c>
      <c r="F1143">
        <v>0.193269668030923</v>
      </c>
      <c r="G1143">
        <v>0.8823529411764701</v>
      </c>
      <c r="H1143">
        <v>0.9924069855732721</v>
      </c>
      <c r="I1143">
        <v>0.119453924914675</v>
      </c>
    </row>
    <row r="1144" spans="1:9">
      <c r="A1144" s="8" t="s">
        <v>1156</v>
      </c>
      <c r="B1144">
        <f>HYPERLINK("https://www.suredividend.com/sure-analysis-research-database/","Frontdoor Inc.")</f>
        <v>0</v>
      </c>
      <c r="C1144">
        <v>-0.014190317195325</v>
      </c>
      <c r="D1144">
        <v>0.127984718242597</v>
      </c>
      <c r="E1144">
        <v>0.003967129498441</v>
      </c>
      <c r="F1144">
        <v>0.005962521294718</v>
      </c>
      <c r="G1144">
        <v>0.100994406463642</v>
      </c>
      <c r="H1144">
        <v>0.444942903752039</v>
      </c>
      <c r="I1144">
        <v>-0.12280267392919</v>
      </c>
    </row>
    <row r="1145" spans="1:9">
      <c r="A1145" s="8" t="s">
        <v>1157</v>
      </c>
      <c r="B1145">
        <f>HYPERLINK("https://www.suredividend.com/sure-analysis-research-database/","Fuel Tech Inc")</f>
        <v>0</v>
      </c>
      <c r="C1145">
        <v>-0.156328124999999</v>
      </c>
      <c r="D1145">
        <v>-0.05271929824561301</v>
      </c>
      <c r="E1145">
        <v>0.038365384615384</v>
      </c>
      <c r="F1145">
        <v>0.02847619047619</v>
      </c>
      <c r="G1145">
        <v>-0.220288808664259</v>
      </c>
      <c r="H1145">
        <v>-0.181893939393939</v>
      </c>
      <c r="I1145">
        <v>-0.361005917159763</v>
      </c>
    </row>
    <row r="1146" spans="1:9">
      <c r="A1146" s="8" t="s">
        <v>1158</v>
      </c>
      <c r="B1146">
        <f>HYPERLINK("https://www.suredividend.com/sure-analysis-research-database/","TechnipFMC plc")</f>
        <v>0</v>
      </c>
      <c r="C1146">
        <v>-0.08997510273869801</v>
      </c>
      <c r="D1146">
        <v>0.095572568704633</v>
      </c>
      <c r="E1146">
        <v>0.300190180269466</v>
      </c>
      <c r="F1146">
        <v>0.209810079258262</v>
      </c>
      <c r="G1146">
        <v>0.652616813520543</v>
      </c>
      <c r="H1146">
        <v>1.90186044287149</v>
      </c>
      <c r="I1146">
        <v>0.120793560632299</v>
      </c>
    </row>
    <row r="1147" spans="1:9">
      <c r="A1147" s="8" t="s">
        <v>1159</v>
      </c>
      <c r="B1147">
        <f>HYPERLINK("https://www.suredividend.com/sure-analysis-research-database/","Flotek Industries Inc")</f>
        <v>0</v>
      </c>
      <c r="C1147">
        <v>0.380555555555555</v>
      </c>
      <c r="D1147">
        <v>0.737762237762237</v>
      </c>
      <c r="E1147">
        <v>0.572784810126582</v>
      </c>
      <c r="F1147">
        <v>0.267857142857142</v>
      </c>
      <c r="G1147">
        <v>0.284835323923271</v>
      </c>
      <c r="H1147">
        <v>-0.39975845410628</v>
      </c>
      <c r="I1147">
        <v>-0.7692664809656451</v>
      </c>
    </row>
    <row r="1148" spans="1:9">
      <c r="A1148" s="8" t="s">
        <v>1160</v>
      </c>
      <c r="B1148">
        <f>HYPERLINK("https://www.suredividend.com/sure-analysis-research-database/","Fortinet Inc")</f>
        <v>0</v>
      </c>
      <c r="C1148">
        <v>0.004879690392057</v>
      </c>
      <c r="D1148">
        <v>-0.182701519091282</v>
      </c>
      <c r="E1148">
        <v>0.163678877630553</v>
      </c>
      <c r="F1148">
        <v>0.020331453955236</v>
      </c>
      <c r="G1148">
        <v>-0.109454220101401</v>
      </c>
      <c r="H1148">
        <v>-0.022201846879297</v>
      </c>
      <c r="I1148">
        <v>3.044974261717692</v>
      </c>
    </row>
    <row r="1149" spans="1:9">
      <c r="A1149" s="8" t="s">
        <v>1161</v>
      </c>
      <c r="B1149">
        <f>HYPERLINK("https://www.suredividend.com/sure-analysis-research-database/","FTS International Inc.")</f>
        <v>0</v>
      </c>
      <c r="C1149">
        <v>0.005686125852919</v>
      </c>
      <c r="D1149">
        <v>0.018817204301075</v>
      </c>
      <c r="E1149">
        <v>0.134245404018811</v>
      </c>
      <c r="F1149">
        <v>0.010666666666666</v>
      </c>
      <c r="G1149">
        <v>0.287239204269772</v>
      </c>
      <c r="H1149">
        <v>0.8802267895109851</v>
      </c>
      <c r="I1149">
        <v>0.8802267895109851</v>
      </c>
    </row>
    <row r="1150" spans="1:9">
      <c r="A1150" s="8" t="s">
        <v>1162</v>
      </c>
      <c r="B1150">
        <f>HYPERLINK("https://www.suredividend.com/sure-analysis-research-database/","Fortive Corp")</f>
        <v>0</v>
      </c>
      <c r="C1150">
        <v>-0.054657064667953</v>
      </c>
      <c r="D1150">
        <v>-0.143287139532911</v>
      </c>
      <c r="E1150">
        <v>0.055579335311486</v>
      </c>
      <c r="F1150">
        <v>-0.009937370883584</v>
      </c>
      <c r="G1150">
        <v>0.061456508005059</v>
      </c>
      <c r="H1150">
        <v>0.152274455144449</v>
      </c>
      <c r="I1150">
        <v>0.118112656574195</v>
      </c>
    </row>
    <row r="1151" spans="1:9">
      <c r="A1151" s="8" t="s">
        <v>1163</v>
      </c>
      <c r="B1151">
        <f>HYPERLINK("https://www.suredividend.com/sure-analysis-FUL/","H.B. Fuller Company")</f>
        <v>0</v>
      </c>
      <c r="C1151">
        <v>-0.039520202020202</v>
      </c>
      <c r="D1151">
        <v>-0.040822116445481</v>
      </c>
      <c r="E1151">
        <v>-0.032965859512453</v>
      </c>
      <c r="F1151">
        <v>-0.06028644771723801</v>
      </c>
      <c r="G1151">
        <v>0.120609522013708</v>
      </c>
      <c r="H1151">
        <v>0.058499232598492</v>
      </c>
      <c r="I1151">
        <v>0.88281826237185</v>
      </c>
    </row>
    <row r="1152" spans="1:9">
      <c r="A1152" s="8" t="s">
        <v>1164</v>
      </c>
      <c r="B1152">
        <f>HYPERLINK("https://www.suredividend.com/sure-analysis-FULT/","Fulton Financial Corp.")</f>
        <v>0</v>
      </c>
      <c r="C1152">
        <v>-0.036928487690504</v>
      </c>
      <c r="D1152">
        <v>0.06389178478693</v>
      </c>
      <c r="E1152">
        <v>0.09574241049991901</v>
      </c>
      <c r="F1152">
        <v>0.008953464094029001</v>
      </c>
      <c r="G1152">
        <v>0.337566654455163</v>
      </c>
      <c r="H1152">
        <v>0.150519939778019</v>
      </c>
      <c r="I1152">
        <v>0.299738944703741</v>
      </c>
    </row>
    <row r="1153" spans="1:9">
      <c r="A1153" s="8" t="s">
        <v>1165</v>
      </c>
      <c r="B1153">
        <f>HYPERLINK("https://www.suredividend.com/sure-analysis-research-database/","First United Corporation")</f>
        <v>0</v>
      </c>
      <c r="C1153">
        <v>-0.107808340727595</v>
      </c>
      <c r="D1153">
        <v>-0.081231725146198</v>
      </c>
      <c r="E1153">
        <v>-0.028652575447273</v>
      </c>
      <c r="F1153">
        <v>-0.113350881137873</v>
      </c>
      <c r="G1153">
        <v>0.446866681056191</v>
      </c>
      <c r="H1153">
        <v>0.052312103943946</v>
      </c>
      <c r="I1153">
        <v>0.355185217631559</v>
      </c>
    </row>
    <row r="1154" spans="1:9">
      <c r="A1154" s="8" t="s">
        <v>1166</v>
      </c>
      <c r="B1154">
        <f>HYPERLINK("https://www.suredividend.com/sure-analysis-research-database/","First US Bancshares Inc")</f>
        <v>0</v>
      </c>
      <c r="C1154">
        <v>0.011794578564298</v>
      </c>
      <c r="D1154">
        <v>0.054289869122636</v>
      </c>
      <c r="E1154">
        <v>0.142181961402126</v>
      </c>
      <c r="F1154">
        <v>0.03361219741596901</v>
      </c>
      <c r="G1154">
        <v>0.5139869773917071</v>
      </c>
      <c r="H1154">
        <v>0.023659878219773</v>
      </c>
      <c r="I1154">
        <v>0.216542176957945</v>
      </c>
    </row>
    <row r="1155" spans="1:9">
      <c r="A1155" s="8" t="s">
        <v>1167</v>
      </c>
      <c r="B1155">
        <f>HYPERLINK("https://www.suredividend.com/sure-analysis-research-database/","Five Star Senior Living Inc.")</f>
        <v>0</v>
      </c>
      <c r="C1155">
        <v>-0.033670033670033</v>
      </c>
      <c r="D1155">
        <v>-0.306763285024154</v>
      </c>
      <c r="E1155">
        <v>-0.4973730297723291</v>
      </c>
      <c r="F1155">
        <v>-0.027118644067796</v>
      </c>
      <c r="G1155">
        <v>-0.62037037037037</v>
      </c>
      <c r="H1155">
        <v>-0.393234672304439</v>
      </c>
      <c r="I1155">
        <v>-0.8956363636363631</v>
      </c>
    </row>
    <row r="1156" spans="1:9">
      <c r="A1156" s="8" t="s">
        <v>1168</v>
      </c>
      <c r="B1156">
        <f>HYPERLINK("https://www.suredividend.com/sure-analysis-research-database/","Liberty Media Corp.")</f>
        <v>0</v>
      </c>
      <c r="C1156">
        <v>0.018504120665526</v>
      </c>
      <c r="D1156">
        <v>0.023597437099546</v>
      </c>
      <c r="E1156">
        <v>0.165480427046263</v>
      </c>
      <c r="F1156">
        <v>0.12969989651604</v>
      </c>
      <c r="G1156">
        <v>-0.010723455671348</v>
      </c>
      <c r="H1156">
        <v>-0.010723455671348</v>
      </c>
      <c r="I1156">
        <v>-0.010723455671348</v>
      </c>
    </row>
    <row r="1157" spans="1:9">
      <c r="A1157" s="8" t="s">
        <v>1169</v>
      </c>
      <c r="B1157">
        <f>HYPERLINK("https://www.suredividend.com/sure-analysis-research-database/","Liberty Media Corp.")</f>
        <v>0</v>
      </c>
      <c r="C1157">
        <v>-0.002359145156813</v>
      </c>
      <c r="D1157">
        <v>0.012392620757639</v>
      </c>
      <c r="E1157">
        <v>0.16251617076326</v>
      </c>
      <c r="F1157">
        <v>0.138761286234753</v>
      </c>
      <c r="G1157">
        <v>-0.030217186024551</v>
      </c>
      <c r="H1157">
        <v>-0.030217186024551</v>
      </c>
      <c r="I1157">
        <v>-0.030217186024551</v>
      </c>
    </row>
    <row r="1158" spans="1:9">
      <c r="A1158" s="8" t="s">
        <v>1170</v>
      </c>
      <c r="B1158">
        <f>HYPERLINK("https://www.suredividend.com/sure-analysis-research-database/","Forward Air Corp.")</f>
        <v>0</v>
      </c>
      <c r="C1158">
        <v>-0.011477761836441</v>
      </c>
      <c r="D1158">
        <v>-0.33961661341853</v>
      </c>
      <c r="E1158">
        <v>-0.6757138374647</v>
      </c>
      <c r="F1158">
        <v>-0.671226340066804</v>
      </c>
      <c r="G1158">
        <v>-0.799612215220552</v>
      </c>
      <c r="H1158">
        <v>-0.7824146395893771</v>
      </c>
      <c r="I1158">
        <v>-0.6194113119722481</v>
      </c>
    </row>
    <row r="1159" spans="1:9">
      <c r="A1159" s="8" t="s">
        <v>1171</v>
      </c>
      <c r="B1159">
        <f>HYPERLINK("https://www.suredividend.com/sure-analysis-research-database/","Genpact Ltd")</f>
        <v>0</v>
      </c>
      <c r="C1159">
        <v>0.025530605967394</v>
      </c>
      <c r="D1159">
        <v>-0.029615076766353</v>
      </c>
      <c r="E1159">
        <v>-0.023673144276159</v>
      </c>
      <c r="F1159">
        <v>-0.035206009850506</v>
      </c>
      <c r="G1159">
        <v>-0.09435151330765401</v>
      </c>
      <c r="H1159">
        <v>-0.244835138948975</v>
      </c>
      <c r="I1159">
        <v>-0.046679533919507</v>
      </c>
    </row>
    <row r="1160" spans="1:9">
      <c r="A1160" s="8" t="s">
        <v>1172</v>
      </c>
      <c r="B1160">
        <f>HYPERLINK("https://www.suredividend.com/sure-analysis-research-database/","German American Bancorp Inc")</f>
        <v>0</v>
      </c>
      <c r="C1160">
        <v>0.012805661583648</v>
      </c>
      <c r="D1160">
        <v>-0.028613406349225</v>
      </c>
      <c r="E1160">
        <v>0.05931151372304901</v>
      </c>
      <c r="F1160">
        <v>0.021398294264848</v>
      </c>
      <c r="G1160">
        <v>0.109012459061844</v>
      </c>
      <c r="H1160">
        <v>-0.057631710692935</v>
      </c>
      <c r="I1160">
        <v>0.332073413896023</v>
      </c>
    </row>
    <row r="1161" spans="1:9">
      <c r="A1161" s="8" t="s">
        <v>1173</v>
      </c>
      <c r="B1161">
        <f>HYPERLINK("https://www.suredividend.com/sure-analysis-research-database/","Gaia Inc")</f>
        <v>0</v>
      </c>
      <c r="C1161">
        <v>0.216577540106951</v>
      </c>
      <c r="D1161">
        <v>0.547619047619047</v>
      </c>
      <c r="E1161">
        <v>0.521739130434782</v>
      </c>
      <c r="F1161">
        <v>0.685185185185185</v>
      </c>
      <c r="G1161">
        <v>0.7808219178082191</v>
      </c>
      <c r="H1161">
        <v>-0.118217054263566</v>
      </c>
      <c r="I1161">
        <v>-0.367176634214186</v>
      </c>
    </row>
    <row r="1162" spans="1:9">
      <c r="A1162" s="8" t="s">
        <v>1174</v>
      </c>
      <c r="B1162">
        <f>HYPERLINK("https://www.suredividend.com/sure-analysis-research-database/","Galectin Therapeutics Inc")</f>
        <v>0</v>
      </c>
      <c r="C1162">
        <v>-0.223880597014925</v>
      </c>
      <c r="D1162">
        <v>0.24401913875598</v>
      </c>
      <c r="E1162">
        <v>0.347150259067357</v>
      </c>
      <c r="F1162">
        <v>0.566265060240964</v>
      </c>
      <c r="G1162">
        <v>0.699346405228758</v>
      </c>
      <c r="H1162">
        <v>0.710526315789473</v>
      </c>
      <c r="I1162">
        <v>-0.346733668341708</v>
      </c>
    </row>
    <row r="1163" spans="1:9">
      <c r="A1163" s="8" t="s">
        <v>1175</v>
      </c>
      <c r="B1163">
        <f>HYPERLINK("https://www.suredividend.com/sure-analysis-GATX/","GATX Corp.")</f>
        <v>0</v>
      </c>
      <c r="C1163">
        <v>0.002752924982794</v>
      </c>
      <c r="D1163">
        <v>-0.011011388490836</v>
      </c>
      <c r="E1163">
        <v>0.17670812469714</v>
      </c>
      <c r="F1163">
        <v>0.095827448751911</v>
      </c>
      <c r="G1163">
        <v>0.05473302698646201</v>
      </c>
      <c r="H1163">
        <v>0.234279711709608</v>
      </c>
      <c r="I1163">
        <v>0.968463748622691</v>
      </c>
    </row>
    <row r="1164" spans="1:9">
      <c r="A1164" s="8" t="s">
        <v>1176</v>
      </c>
      <c r="B1164">
        <f>HYPERLINK("https://www.suredividend.com/sure-analysis-research-database/","Glacier Bancorp, Inc.")</f>
        <v>0</v>
      </c>
      <c r="C1164">
        <v>-0.05634171907756801</v>
      </c>
      <c r="D1164">
        <v>-0.09350196227498001</v>
      </c>
      <c r="E1164">
        <v>-0.036258724789106</v>
      </c>
      <c r="F1164">
        <v>-0.120924725670414</v>
      </c>
      <c r="G1164">
        <v>0.065075806422989</v>
      </c>
      <c r="H1164">
        <v>-0.19948781447502</v>
      </c>
      <c r="I1164">
        <v>0.089834966118571</v>
      </c>
    </row>
    <row r="1165" spans="1:9">
      <c r="A1165" s="8" t="s">
        <v>1177</v>
      </c>
      <c r="B1165">
        <f>HYPERLINK("https://www.suredividend.com/sure-analysis-research-database/","Gamco Investors Inc")</f>
        <v>0</v>
      </c>
      <c r="C1165">
        <v>-0.260674696866621</v>
      </c>
      <c r="D1165">
        <v>-0.298831544041254</v>
      </c>
      <c r="E1165">
        <v>-0.313037415756449</v>
      </c>
      <c r="F1165">
        <v>-0.404838605759938</v>
      </c>
      <c r="G1165">
        <v>-0.375609920958468</v>
      </c>
      <c r="H1165">
        <v>0.428847641144624</v>
      </c>
      <c r="I1165">
        <v>-0.429449368456811</v>
      </c>
    </row>
    <row r="1166" spans="1:9">
      <c r="A1166" s="8" t="s">
        <v>1178</v>
      </c>
      <c r="B1166">
        <f>HYPERLINK("https://www.suredividend.com/sure-analysis-research-database/","Global Indemnity Group LLC")</f>
        <v>0</v>
      </c>
      <c r="C1166">
        <v>-0.024207402779946</v>
      </c>
      <c r="D1166">
        <v>0.055127365086227</v>
      </c>
      <c r="E1166">
        <v>0.108957565689051</v>
      </c>
      <c r="F1166">
        <v>-0.019327781213409</v>
      </c>
      <c r="G1166">
        <v>0.162310482745791</v>
      </c>
      <c r="H1166">
        <v>0.261126698019901</v>
      </c>
      <c r="I1166">
        <v>0.515592555937202</v>
      </c>
    </row>
    <row r="1167" spans="1:9">
      <c r="A1167" s="8" t="s">
        <v>1179</v>
      </c>
      <c r="B1167">
        <f>HYPERLINK("https://www.suredividend.com/sure-analysis-research-database/","Global Blood Therapeutics Inc.")</f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</row>
    <row r="1168" spans="1:9">
      <c r="A1168" s="8" t="s">
        <v>1180</v>
      </c>
      <c r="B1168">
        <f>HYPERLINK("https://www.suredividend.com/sure-analysis-research-database/","Greenbrier Cos., Inc.")</f>
        <v>0</v>
      </c>
      <c r="C1168">
        <v>-0.013746369796708</v>
      </c>
      <c r="D1168">
        <v>-0.007048513106803001</v>
      </c>
      <c r="E1168">
        <v>0.304691922128281</v>
      </c>
      <c r="F1168">
        <v>0.167371351964525</v>
      </c>
      <c r="G1168">
        <v>0.7233329950268951</v>
      </c>
      <c r="H1168">
        <v>0.246256825788268</v>
      </c>
      <c r="I1168">
        <v>1.118237047941018</v>
      </c>
    </row>
    <row r="1169" spans="1:9">
      <c r="A1169" s="8" t="s">
        <v>1181</v>
      </c>
      <c r="B1169">
        <f>HYPERLINK("https://www.suredividend.com/sure-analysis-research-database/","Greene County Bancorp Inc")</f>
        <v>0</v>
      </c>
      <c r="C1169">
        <v>-0.021422652065268</v>
      </c>
      <c r="D1169">
        <v>0.09669958188773201</v>
      </c>
      <c r="E1169">
        <v>0.246567086907809</v>
      </c>
      <c r="F1169">
        <v>0.104671376394728</v>
      </c>
      <c r="G1169">
        <v>0.033007990561484</v>
      </c>
      <c r="H1169">
        <v>1.669692664841828</v>
      </c>
      <c r="I1169">
        <v>3.622768861556922</v>
      </c>
    </row>
    <row r="1170" spans="1:9">
      <c r="A1170" s="8" t="s">
        <v>1182</v>
      </c>
      <c r="B1170">
        <f>HYPERLINK("https://www.suredividend.com/sure-analysis-research-database/","Gannett Co Inc.")</f>
        <v>0</v>
      </c>
      <c r="C1170">
        <v>0.246105919003115</v>
      </c>
      <c r="D1170">
        <v>0.9704433497536941</v>
      </c>
      <c r="E1170">
        <v>1.083333333333333</v>
      </c>
      <c r="F1170">
        <v>0.7391304347826081</v>
      </c>
      <c r="G1170">
        <v>0.9138755980861241</v>
      </c>
      <c r="H1170">
        <v>0.055408970976253</v>
      </c>
      <c r="I1170">
        <v>-0.54337899543379</v>
      </c>
    </row>
    <row r="1171" spans="1:9">
      <c r="A1171" s="8" t="s">
        <v>1183</v>
      </c>
      <c r="B1171">
        <f>HYPERLINK("https://www.suredividend.com/sure-analysis-research-database/","Genesco Inc.")</f>
        <v>0</v>
      </c>
      <c r="C1171">
        <v>0.013996889580093</v>
      </c>
      <c r="D1171">
        <v>-0.108985309190297</v>
      </c>
      <c r="E1171">
        <v>-0.181932245922208</v>
      </c>
      <c r="F1171">
        <v>-0.259301334848054</v>
      </c>
      <c r="G1171">
        <v>0.206290471785383</v>
      </c>
      <c r="H1171">
        <v>-0.5581158929176551</v>
      </c>
      <c r="I1171">
        <v>-0.404566210045662</v>
      </c>
    </row>
    <row r="1172" spans="1:9">
      <c r="A1172" s="8" t="s">
        <v>1184</v>
      </c>
      <c r="B1172">
        <f>HYPERLINK("https://www.suredividend.com/sure-analysis-research-database/","GCP Applied Technologies Inc")</f>
        <v>0</v>
      </c>
      <c r="C1172">
        <v>0.012654223347042</v>
      </c>
      <c r="D1172">
        <v>0.02137843012125</v>
      </c>
      <c r="E1172">
        <v>0.018777848504137</v>
      </c>
      <c r="F1172">
        <v>0.011054958938723</v>
      </c>
      <c r="G1172">
        <v>0.4425416854438931</v>
      </c>
      <c r="H1172">
        <v>0.5691176470588231</v>
      </c>
      <c r="I1172">
        <v>0.029260450160771</v>
      </c>
    </row>
    <row r="1173" spans="1:9">
      <c r="A1173" s="8" t="s">
        <v>1185</v>
      </c>
      <c r="B1173">
        <f>HYPERLINK("https://www.suredividend.com/sure-analysis-GD/","General Dynamics Corp.")</f>
        <v>0</v>
      </c>
      <c r="C1173">
        <v>0.019667996045948</v>
      </c>
      <c r="D1173">
        <v>0.101020893779861</v>
      </c>
      <c r="E1173">
        <v>0.201668533268631</v>
      </c>
      <c r="F1173">
        <v>0.163813998292834</v>
      </c>
      <c r="G1173">
        <v>0.428302681374004</v>
      </c>
      <c r="H1173">
        <v>0.32802844113594</v>
      </c>
      <c r="I1173">
        <v>0.942492759646229</v>
      </c>
    </row>
    <row r="1174" spans="1:9">
      <c r="A1174" s="8" t="s">
        <v>1186</v>
      </c>
      <c r="B1174">
        <f>HYPERLINK("https://www.suredividend.com/sure-analysis-research-database/","Godaddy Inc")</f>
        <v>0</v>
      </c>
      <c r="C1174">
        <v>0.06098210886943201</v>
      </c>
      <c r="D1174">
        <v>0.22438938675101</v>
      </c>
      <c r="E1174">
        <v>0.341677096370463</v>
      </c>
      <c r="F1174">
        <v>0.312735493594574</v>
      </c>
      <c r="G1174">
        <v>0.9190305700908841</v>
      </c>
      <c r="H1174">
        <v>0.8809555945471721</v>
      </c>
      <c r="I1174">
        <v>0.903825136612022</v>
      </c>
    </row>
    <row r="1175" spans="1:9">
      <c r="A1175" s="8" t="s">
        <v>1187</v>
      </c>
      <c r="B1175">
        <f>HYPERLINK("https://www.suredividend.com/sure-analysis-research-database/","Golden Entertainment Inc")</f>
        <v>0</v>
      </c>
      <c r="C1175">
        <v>-0.03211157963023</v>
      </c>
      <c r="D1175">
        <v>-0.112644225050553</v>
      </c>
      <c r="E1175">
        <v>-0.213185990280843</v>
      </c>
      <c r="F1175">
        <v>-0.241758185911541</v>
      </c>
      <c r="G1175">
        <v>-0.265943105670737</v>
      </c>
      <c r="H1175">
        <v>-0.331795687126318</v>
      </c>
      <c r="I1175">
        <v>1.453685050117997</v>
      </c>
    </row>
    <row r="1176" spans="1:9">
      <c r="A1176" s="8" t="s">
        <v>1188</v>
      </c>
      <c r="B1176">
        <f>HYPERLINK("https://www.suredividend.com/sure-analysis-research-database/","Green Dot Corp.")</f>
        <v>0</v>
      </c>
      <c r="C1176">
        <v>0.05717367853290201</v>
      </c>
      <c r="D1176">
        <v>0.150234741784037</v>
      </c>
      <c r="E1176">
        <v>0.06637649619151201</v>
      </c>
      <c r="F1176">
        <v>-0.01010101010101</v>
      </c>
      <c r="G1176">
        <v>-0.493540051679586</v>
      </c>
      <c r="H1176">
        <v>-0.6621854532919681</v>
      </c>
      <c r="I1176">
        <v>-0.802578565672844</v>
      </c>
    </row>
    <row r="1177" spans="1:9">
      <c r="A1177" s="8" t="s">
        <v>1189</v>
      </c>
      <c r="B1177">
        <f>HYPERLINK("https://www.suredividend.com/sure-analysis-research-database/","Goodrich Petroleum Corp.")</f>
        <v>0</v>
      </c>
      <c r="C1177">
        <v>-0.001301518438177</v>
      </c>
      <c r="D1177">
        <v>0.1240234375</v>
      </c>
      <c r="E1177">
        <v>0.648997134670487</v>
      </c>
      <c r="F1177">
        <v>1.281466798810703</v>
      </c>
      <c r="G1177">
        <v>1.243664717348927</v>
      </c>
      <c r="H1177">
        <v>1.365878725590955</v>
      </c>
      <c r="I1177">
        <v>1.087035358114234</v>
      </c>
    </row>
    <row r="1178" spans="1:9">
      <c r="A1178" s="8" t="s">
        <v>1190</v>
      </c>
      <c r="B1178">
        <f>HYPERLINK("https://www.suredividend.com/sure-analysis-research-database/","GE Aerospace")</f>
        <v>0</v>
      </c>
      <c r="C1178">
        <v>-0.040644626140538</v>
      </c>
      <c r="D1178">
        <v>0.223691797743213</v>
      </c>
      <c r="E1178">
        <v>0.706333942788494</v>
      </c>
      <c r="F1178">
        <v>0.596370308222115</v>
      </c>
      <c r="G1178">
        <v>0.9246816168656881</v>
      </c>
      <c r="H1178">
        <v>2.340388749293426</v>
      </c>
      <c r="I1178">
        <v>2.302993337712301</v>
      </c>
    </row>
    <row r="1179" spans="1:9">
      <c r="A1179" s="8" t="s">
        <v>1191</v>
      </c>
      <c r="B1179">
        <f>HYPERLINK("https://www.suredividend.com/sure-analysis-research-database/","Great Elm Capital Group Inc")</f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</row>
    <row r="1180" spans="1:9">
      <c r="A1180" s="8" t="s">
        <v>1192</v>
      </c>
      <c r="B1180">
        <f>HYPERLINK("https://www.suredividend.com/sure-analysis-GEF/","Greif Inc")</f>
        <v>0</v>
      </c>
      <c r="C1180">
        <v>-0.03419476835802</v>
      </c>
      <c r="D1180">
        <v>-0.028373583936537</v>
      </c>
      <c r="E1180">
        <v>-0.07493774054788301</v>
      </c>
      <c r="F1180">
        <v>-0.057852383038575</v>
      </c>
      <c r="G1180">
        <v>-0.015639906334017</v>
      </c>
      <c r="H1180">
        <v>0.04630260320907</v>
      </c>
      <c r="I1180">
        <v>1.148852472810652</v>
      </c>
    </row>
    <row r="1181" spans="1:9">
      <c r="A1181" s="8" t="s">
        <v>1193</v>
      </c>
      <c r="B1181">
        <f>HYPERLINK("https://www.suredividend.com/sure-analysis-research-database/","Gen Digital Inc")</f>
        <v>0</v>
      </c>
      <c r="C1181">
        <v>0.250758955676988</v>
      </c>
      <c r="D1181">
        <v>0.140479167339481</v>
      </c>
      <c r="E1181">
        <v>0.13427795316056</v>
      </c>
      <c r="F1181">
        <v>0.106941670622161</v>
      </c>
      <c r="G1181">
        <v>0.448069826020736</v>
      </c>
      <c r="H1181">
        <v>0.002449350354425</v>
      </c>
      <c r="I1181">
        <v>0.294986641521294</v>
      </c>
    </row>
    <row r="1182" spans="1:9">
      <c r="A1182" s="8" t="s">
        <v>1194</v>
      </c>
      <c r="B1182">
        <f>HYPERLINK("https://www.suredividend.com/sure-analysis-research-database/","Gencor Industries, Inc.")</f>
        <v>0</v>
      </c>
      <c r="C1182">
        <v>0.122495706926159</v>
      </c>
      <c r="D1182">
        <v>0.182750301568154</v>
      </c>
      <c r="E1182">
        <v>0.296100462656972</v>
      </c>
      <c r="F1182">
        <v>0.214993804213134</v>
      </c>
      <c r="G1182">
        <v>0.3742116327960751</v>
      </c>
      <c r="H1182">
        <v>0.9415841584158411</v>
      </c>
      <c r="I1182">
        <v>0.6618644067796601</v>
      </c>
    </row>
    <row r="1183" spans="1:9">
      <c r="A1183" s="8" t="s">
        <v>1195</v>
      </c>
      <c r="B1183">
        <f>HYPERLINK("https://www.suredividend.com/sure-analysis-research-database/","Geo Group, Inc.")</f>
        <v>0</v>
      </c>
      <c r="C1183">
        <v>0.01173881144534</v>
      </c>
      <c r="D1183">
        <v>0.151085141903171</v>
      </c>
      <c r="E1183">
        <v>0.368055555555555</v>
      </c>
      <c r="F1183">
        <v>0.273314866112649</v>
      </c>
      <c r="G1183">
        <v>0.7932379713914171</v>
      </c>
      <c r="H1183">
        <v>0.9841726618705031</v>
      </c>
      <c r="I1183">
        <v>-0.256046309633633</v>
      </c>
    </row>
    <row r="1184" spans="1:9">
      <c r="A1184" s="8" t="s">
        <v>1196</v>
      </c>
      <c r="B1184">
        <f>HYPERLINK("https://www.suredividend.com/sure-analysis-research-database/","Geospace Technologies Corp")</f>
        <v>0</v>
      </c>
      <c r="C1184">
        <v>-0.256448047162859</v>
      </c>
      <c r="D1184">
        <v>-0.183656957928802</v>
      </c>
      <c r="E1184">
        <v>-0.153523489932885</v>
      </c>
      <c r="F1184">
        <v>-0.22145061728395</v>
      </c>
      <c r="G1184">
        <v>0.211284513805522</v>
      </c>
      <c r="H1184">
        <v>0.5546995377503851</v>
      </c>
      <c r="I1184">
        <v>-0.228003060443764</v>
      </c>
    </row>
    <row r="1185" spans="1:9">
      <c r="A1185" s="8" t="s">
        <v>1197</v>
      </c>
      <c r="B1185">
        <f>HYPERLINK("https://www.suredividend.com/sure-analysis-research-database/","Geron Corp.")</f>
        <v>0</v>
      </c>
      <c r="C1185">
        <v>0.186046511627906</v>
      </c>
      <c r="D1185">
        <v>1.185714285714285</v>
      </c>
      <c r="E1185">
        <v>1.196172248803828</v>
      </c>
      <c r="F1185">
        <v>1.175355450236967</v>
      </c>
      <c r="G1185">
        <v>0.289325842696629</v>
      </c>
      <c r="H1185">
        <v>2.350364963503649</v>
      </c>
      <c r="I1185">
        <v>2.25531914893617</v>
      </c>
    </row>
    <row r="1186" spans="1:9">
      <c r="A1186" s="8" t="s">
        <v>1198</v>
      </c>
      <c r="B1186">
        <f>HYPERLINK("https://www.suredividend.com/sure-analysis-research-database/","Guess Inc.")</f>
        <v>0</v>
      </c>
      <c r="C1186">
        <v>-0.133707865168539</v>
      </c>
      <c r="D1186">
        <v>-0.024137101775792</v>
      </c>
      <c r="E1186">
        <v>0.145384047815946</v>
      </c>
      <c r="F1186">
        <v>0.09223816741985201</v>
      </c>
      <c r="G1186">
        <v>0.234844723481268</v>
      </c>
      <c r="H1186">
        <v>0.35996425169628</v>
      </c>
      <c r="I1186">
        <v>1.042546427530664</v>
      </c>
    </row>
    <row r="1187" spans="1:9">
      <c r="A1187" s="8" t="s">
        <v>1199</v>
      </c>
      <c r="B1187">
        <f>HYPERLINK("https://www.suredividend.com/sure-analysis-research-database/","Gevo Inc")</f>
        <v>0</v>
      </c>
      <c r="C1187">
        <v>-0.164968066313357</v>
      </c>
      <c r="D1187">
        <v>-0.253250698748328</v>
      </c>
      <c r="E1187">
        <v>-0.460964912280701</v>
      </c>
      <c r="F1187">
        <v>-0.470258620689655</v>
      </c>
      <c r="G1187">
        <v>-0.6159375</v>
      </c>
      <c r="H1187">
        <v>-0.8042993630573241</v>
      </c>
      <c r="I1187">
        <v>-0.67313829787234</v>
      </c>
    </row>
    <row r="1188" spans="1:9">
      <c r="A1188" s="8" t="s">
        <v>1200</v>
      </c>
      <c r="B1188">
        <f>HYPERLINK("https://www.suredividend.com/sure-analysis-research-database/","Guaranty Federal Bancshares Inc")</f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</row>
    <row r="1189" spans="1:9">
      <c r="A1189" s="8" t="s">
        <v>1201</v>
      </c>
      <c r="B1189">
        <f>HYPERLINK("https://www.suredividend.com/sure-analysis-research-database/","Griffon Corp.")</f>
        <v>0</v>
      </c>
      <c r="C1189">
        <v>-0.030141647250268</v>
      </c>
      <c r="D1189">
        <v>-0.056328114541845</v>
      </c>
      <c r="E1189">
        <v>0.302413915724522</v>
      </c>
      <c r="F1189">
        <v>0.08039339766914501</v>
      </c>
      <c r="G1189">
        <v>0.8335384271171271</v>
      </c>
      <c r="H1189">
        <v>1.31341150565826</v>
      </c>
      <c r="I1189">
        <v>4.164481976304512</v>
      </c>
    </row>
    <row r="1190" spans="1:9">
      <c r="A1190" s="8" t="s">
        <v>1202</v>
      </c>
      <c r="B1190">
        <f>HYPERLINK("https://www.suredividend.com/sure-analysis-research-database/","General Finance Corporation")</f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</row>
    <row r="1191" spans="1:9">
      <c r="A1191" s="8" t="s">
        <v>1203</v>
      </c>
      <c r="B1191">
        <f>HYPERLINK("https://www.suredividend.com/sure-analysis-GGG/","Graco Inc.")</f>
        <v>0</v>
      </c>
      <c r="C1191">
        <v>-0.061901340996168</v>
      </c>
      <c r="D1191">
        <v>-0.159774710237558</v>
      </c>
      <c r="E1191">
        <v>-0.041751973367187</v>
      </c>
      <c r="F1191">
        <v>-0.09167424087848401</v>
      </c>
      <c r="G1191">
        <v>-0.037630076547407</v>
      </c>
      <c r="H1191">
        <v>0.255719654777264</v>
      </c>
      <c r="I1191">
        <v>0.6758605495795911</v>
      </c>
    </row>
    <row r="1192" spans="1:9">
      <c r="A1192" s="8" t="s">
        <v>1204</v>
      </c>
      <c r="B1192">
        <f>HYPERLINK("https://www.suredividend.com/sure-analysis-research-database/","Guardant Health Inc")</f>
        <v>0</v>
      </c>
      <c r="C1192">
        <v>0.523379383634431</v>
      </c>
      <c r="D1192">
        <v>0.443605236656596</v>
      </c>
      <c r="E1192">
        <v>0.091774562071591</v>
      </c>
      <c r="F1192">
        <v>0.05988909426987001</v>
      </c>
      <c r="G1192">
        <v>-0.126979293544458</v>
      </c>
      <c r="H1192">
        <v>-0.289467162329615</v>
      </c>
      <c r="I1192">
        <v>-0.6844248761695101</v>
      </c>
    </row>
    <row r="1193" spans="1:9">
      <c r="A1193" s="8" t="s">
        <v>1205</v>
      </c>
      <c r="B1193">
        <f>HYPERLINK("https://www.suredividend.com/sure-analysis-research-database/","Graham Holdings Co.")</f>
        <v>0</v>
      </c>
      <c r="C1193">
        <v>-0.05181071109868</v>
      </c>
      <c r="D1193">
        <v>-0.007390991966240001</v>
      </c>
      <c r="E1193">
        <v>0.101153759059372</v>
      </c>
      <c r="F1193">
        <v>0.026976248748935</v>
      </c>
      <c r="G1193">
        <v>0.207629451088471</v>
      </c>
      <c r="H1193">
        <v>0.200050840040644</v>
      </c>
      <c r="I1193">
        <v>0.07817989312856601</v>
      </c>
    </row>
    <row r="1194" spans="1:9">
      <c r="A1194" s="8" t="s">
        <v>1206</v>
      </c>
      <c r="B1194">
        <f>HYPERLINK("https://www.suredividend.com/sure-analysis-research-database/","Greenhill &amp; Co Inc")</f>
        <v>0</v>
      </c>
      <c r="C1194">
        <v>0.01215395003376</v>
      </c>
      <c r="D1194">
        <v>0.023173270536841</v>
      </c>
      <c r="E1194">
        <v>0.049345121840239</v>
      </c>
      <c r="F1194">
        <v>0.4959631947147281</v>
      </c>
      <c r="G1194">
        <v>0.655146522977718</v>
      </c>
      <c r="H1194">
        <v>-0.06749031098171601</v>
      </c>
      <c r="I1194">
        <v>-0.294026778944195</v>
      </c>
    </row>
    <row r="1195" spans="1:9">
      <c r="A1195" s="8" t="s">
        <v>1207</v>
      </c>
      <c r="B1195">
        <f>HYPERLINK("https://www.suredividend.com/sure-analysis-research-database/","Graham Corp.")</f>
        <v>0</v>
      </c>
      <c r="C1195">
        <v>-0.058563159686755</v>
      </c>
      <c r="D1195">
        <v>0.129493464052287</v>
      </c>
      <c r="E1195">
        <v>0.5746013667425961</v>
      </c>
      <c r="F1195">
        <v>0.457564575645756</v>
      </c>
      <c r="G1195">
        <v>1.363247863247863</v>
      </c>
      <c r="H1195">
        <v>2.56774193548387</v>
      </c>
      <c r="I1195">
        <v>0.446962164425139</v>
      </c>
    </row>
    <row r="1196" spans="1:9">
      <c r="A1196" s="8" t="s">
        <v>1208</v>
      </c>
      <c r="B1196">
        <f>HYPERLINK("https://www.suredividend.com/sure-analysis-research-database/","Gulf Island Fabrication, Inc.")</f>
        <v>0</v>
      </c>
      <c r="C1196">
        <v>-0.05420827389443601</v>
      </c>
      <c r="D1196">
        <v>0.279922779922779</v>
      </c>
      <c r="E1196">
        <v>0.59375</v>
      </c>
      <c r="F1196">
        <v>0.531177829099307</v>
      </c>
      <c r="G1196">
        <v>1.062208398133748</v>
      </c>
      <c r="H1196">
        <v>0.9969879518072281</v>
      </c>
      <c r="I1196">
        <v>-0.15</v>
      </c>
    </row>
    <row r="1197" spans="1:9">
      <c r="A1197" s="8" t="s">
        <v>1209</v>
      </c>
      <c r="B1197">
        <f>HYPERLINK("https://www.suredividend.com/sure-analysis-research-database/","G-III Apparel Group Ltd.")</f>
        <v>0</v>
      </c>
      <c r="C1197">
        <v>-0.054577464788732</v>
      </c>
      <c r="D1197">
        <v>-0.095350404312668</v>
      </c>
      <c r="E1197">
        <v>-0.107083471898902</v>
      </c>
      <c r="F1197">
        <v>-0.209829311359623</v>
      </c>
      <c r="G1197">
        <v>0.32070831283817</v>
      </c>
      <c r="H1197">
        <v>-0.008859357696566001</v>
      </c>
      <c r="I1197">
        <v>0.06547619047619001</v>
      </c>
    </row>
    <row r="1198" spans="1:9">
      <c r="A1198" s="8" t="s">
        <v>1210</v>
      </c>
      <c r="B1198">
        <f>HYPERLINK("https://www.suredividend.com/sure-analysis-GILD/","Gilead Sciences, Inc.")</f>
        <v>0</v>
      </c>
      <c r="C1198">
        <v>-0.011610143599144</v>
      </c>
      <c r="D1198">
        <v>-0.103554054859166</v>
      </c>
      <c r="E1198">
        <v>-0.138495789681123</v>
      </c>
      <c r="F1198">
        <v>-0.184888051239927</v>
      </c>
      <c r="G1198">
        <v>-0.081307808741633</v>
      </c>
      <c r="H1198">
        <v>0.164867453567339</v>
      </c>
      <c r="I1198">
        <v>0.259955989172557</v>
      </c>
    </row>
    <row r="1199" spans="1:9">
      <c r="A1199" s="8" t="s">
        <v>1211</v>
      </c>
      <c r="B1199">
        <f>HYPERLINK("https://www.suredividend.com/sure-analysis-GIS/","General Mills, Inc.")</f>
        <v>0</v>
      </c>
      <c r="C1199">
        <v>-0.035045057931626</v>
      </c>
      <c r="D1199">
        <v>0.05839198471246401</v>
      </c>
      <c r="E1199">
        <v>0.034193065724762</v>
      </c>
      <c r="F1199">
        <v>0.05403944288718601</v>
      </c>
      <c r="G1199">
        <v>-0.142881827976662</v>
      </c>
      <c r="H1199">
        <v>0.03728920933222001</v>
      </c>
      <c r="I1199">
        <v>0.51873656246834</v>
      </c>
    </row>
    <row r="1200" spans="1:9">
      <c r="A1200" s="8" t="s">
        <v>1212</v>
      </c>
      <c r="B1200">
        <f>HYPERLINK("https://www.suredividend.com/sure-analysis-research-database/","Glaukos Corporation")</f>
        <v>0</v>
      </c>
      <c r="C1200">
        <v>0.05491757732913501</v>
      </c>
      <c r="D1200">
        <v>0.281183218985491</v>
      </c>
      <c r="E1200">
        <v>0.8121221762647151</v>
      </c>
      <c r="F1200">
        <v>0.433010441564976</v>
      </c>
      <c r="G1200">
        <v>0.7116453794139741</v>
      </c>
      <c r="H1200">
        <v>1.513459841129743</v>
      </c>
      <c r="I1200">
        <v>0.6472885032537951</v>
      </c>
    </row>
    <row r="1201" spans="1:9">
      <c r="A1201" s="8" t="s">
        <v>1213</v>
      </c>
      <c r="B1201">
        <f>HYPERLINK("https://www.suredividend.com/sure-analysis-GL/","Globe Life Inc")</f>
        <v>0</v>
      </c>
      <c r="C1201">
        <v>-0.044974166275246</v>
      </c>
      <c r="D1201">
        <v>-0.359175887426752</v>
      </c>
      <c r="E1201">
        <v>-0.332046100563486</v>
      </c>
      <c r="F1201">
        <v>-0.329137521446482</v>
      </c>
      <c r="G1201">
        <v>-0.24205923549843</v>
      </c>
      <c r="H1201">
        <v>-0.165404460206632</v>
      </c>
      <c r="I1201">
        <v>-0.08309526654836601</v>
      </c>
    </row>
    <row r="1202" spans="1:9">
      <c r="A1202" s="8" t="s">
        <v>1214</v>
      </c>
      <c r="B1202">
        <f>HYPERLINK("https://www.suredividend.com/sure-analysis-research-database/","Glen Burnie Bancorp")</f>
        <v>0</v>
      </c>
      <c r="C1202">
        <v>-0.198058252427184</v>
      </c>
      <c r="D1202">
        <v>-0.332341815124963</v>
      </c>
      <c r="E1202">
        <v>-0.215112411866436</v>
      </c>
      <c r="F1202">
        <v>-0.273973806803199</v>
      </c>
      <c r="G1202">
        <v>-0.455568884377595</v>
      </c>
      <c r="H1202">
        <v>-0.585045564609309</v>
      </c>
      <c r="I1202">
        <v>-0.5100539771042171</v>
      </c>
    </row>
    <row r="1203" spans="1:9">
      <c r="A1203" s="8" t="s">
        <v>1215</v>
      </c>
      <c r="B1203">
        <f>HYPERLINK("https://www.suredividend.com/sure-analysis-research-database/","Great Lakes Dredge &amp; Dock Corporation")</f>
        <v>0</v>
      </c>
      <c r="C1203">
        <v>0.006857142857142001</v>
      </c>
      <c r="D1203">
        <v>-0.00339366515837</v>
      </c>
      <c r="E1203">
        <v>0.260371959942775</v>
      </c>
      <c r="F1203">
        <v>0.147135416666666</v>
      </c>
      <c r="G1203">
        <v>0.188933873144399</v>
      </c>
      <c r="H1203">
        <v>-0.423051735428945</v>
      </c>
      <c r="I1203">
        <v>-0.182745825602968</v>
      </c>
    </row>
    <row r="1204" spans="1:9">
      <c r="A1204" s="8" t="s">
        <v>1216</v>
      </c>
      <c r="B1204">
        <f>HYPERLINK("https://www.suredividend.com/sure-analysis-research-database/","GCI Liberty Inc")</f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</row>
    <row r="1205" spans="1:9">
      <c r="A1205" s="8" t="s">
        <v>1217</v>
      </c>
      <c r="B1205">
        <f>HYPERLINK("https://www.suredividend.com/sure-analysis-GLPI/","Gaming and Leisure Properties Inc")</f>
        <v>0</v>
      </c>
      <c r="C1205">
        <v>0.005505077006637001</v>
      </c>
      <c r="D1205">
        <v>0.007750149928495001</v>
      </c>
      <c r="E1205">
        <v>-0.009204937420485001</v>
      </c>
      <c r="F1205">
        <v>-0.069235341362039</v>
      </c>
      <c r="G1205">
        <v>-0.000105276166849</v>
      </c>
      <c r="H1205">
        <v>0.09817465224888201</v>
      </c>
      <c r="I1205">
        <v>0.6031909701708871</v>
      </c>
    </row>
    <row r="1206" spans="1:9">
      <c r="A1206" s="8" t="s">
        <v>1218</v>
      </c>
      <c r="B1206">
        <f>HYPERLINK("https://www.suredividend.com/sure-analysis-research-database/","Greenlight Capital Re Ltd")</f>
        <v>0</v>
      </c>
      <c r="C1206">
        <v>0.0007955449482890001</v>
      </c>
      <c r="D1206">
        <v>0.016155088852988</v>
      </c>
      <c r="E1206">
        <v>0.135379061371841</v>
      </c>
      <c r="F1206">
        <v>0.101576182136602</v>
      </c>
      <c r="G1206">
        <v>0.259259259259259</v>
      </c>
      <c r="H1206">
        <v>0.558859975216852</v>
      </c>
      <c r="I1206">
        <v>0.364425162689804</v>
      </c>
    </row>
    <row r="1207" spans="1:9">
      <c r="A1207" s="8" t="s">
        <v>1219</v>
      </c>
      <c r="B1207">
        <f>HYPERLINK("https://www.suredividend.com/sure-analysis-research-database/","Glatfelter Corporation")</f>
        <v>0</v>
      </c>
      <c r="C1207">
        <v>-0.029940119760478</v>
      </c>
      <c r="D1207">
        <v>-0.232227488151658</v>
      </c>
      <c r="E1207">
        <v>0.094594594594594</v>
      </c>
      <c r="F1207">
        <v>-0.164948453608247</v>
      </c>
      <c r="G1207">
        <v>-0.5474860335195531</v>
      </c>
      <c r="H1207">
        <v>-0.8074065267788141</v>
      </c>
      <c r="I1207">
        <v>-0.888094497979484</v>
      </c>
    </row>
    <row r="1208" spans="1:9">
      <c r="A1208" s="8" t="s">
        <v>1220</v>
      </c>
      <c r="B1208">
        <f>HYPERLINK("https://www.suredividend.com/sure-analysis-research-database/","Glu Mobile Inc")</f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</row>
    <row r="1209" spans="1:9">
      <c r="A1209" s="8" t="s">
        <v>1221</v>
      </c>
      <c r="B1209">
        <f>HYPERLINK("https://www.suredividend.com/sure-analysis-GLW/","Corning, Inc.")</f>
        <v>0</v>
      </c>
      <c r="C1209">
        <v>0.113462860450812</v>
      </c>
      <c r="D1209">
        <v>0.141470651871542</v>
      </c>
      <c r="E1209">
        <v>0.293896299099212</v>
      </c>
      <c r="F1209">
        <v>0.232709356975005</v>
      </c>
      <c r="G1209">
        <v>0.198741856637874</v>
      </c>
      <c r="H1209">
        <v>0.102522995351669</v>
      </c>
      <c r="I1209">
        <v>0.404818149657069</v>
      </c>
    </row>
    <row r="1210" spans="1:9">
      <c r="A1210" s="8" t="s">
        <v>1222</v>
      </c>
      <c r="B1210">
        <f>HYPERLINK("https://www.suredividend.com/sure-analysis-research-database/","GlycoMimetics Inc")</f>
        <v>0</v>
      </c>
      <c r="C1210">
        <v>-0.157170923379174</v>
      </c>
      <c r="D1210">
        <v>-0.9080714285714281</v>
      </c>
      <c r="E1210">
        <v>-0.839125</v>
      </c>
      <c r="F1210">
        <v>-0.89093220338983</v>
      </c>
      <c r="G1210">
        <v>-0.863809523809523</v>
      </c>
      <c r="H1210">
        <v>-0.584838709677419</v>
      </c>
      <c r="I1210">
        <v>-0.9779811804961501</v>
      </c>
    </row>
    <row r="1211" spans="1:9">
      <c r="A1211" s="8" t="s">
        <v>1223</v>
      </c>
      <c r="B1211">
        <f>HYPERLINK("https://www.suredividend.com/sure-analysis-research-database/","General Motors Company")</f>
        <v>0</v>
      </c>
      <c r="C1211">
        <v>0.012380178428684</v>
      </c>
      <c r="D1211">
        <v>0.164944644745391</v>
      </c>
      <c r="E1211">
        <v>0.372021210511627</v>
      </c>
      <c r="F1211">
        <v>0.279965957160894</v>
      </c>
      <c r="G1211">
        <v>0.276431798004388</v>
      </c>
      <c r="H1211">
        <v>0.216543069935261</v>
      </c>
      <c r="I1211">
        <v>0.359100354043858</v>
      </c>
    </row>
    <row r="1212" spans="1:9">
      <c r="A1212" s="8" t="s">
        <v>1224</v>
      </c>
      <c r="B1212">
        <f>HYPERLINK("https://www.suredividend.com/sure-analysis-research-database/","Gamestop Corporation")</f>
        <v>0</v>
      </c>
      <c r="C1212">
        <v>0.7302268546903741</v>
      </c>
      <c r="D1212">
        <v>0.8492791612057661</v>
      </c>
      <c r="E1212">
        <v>0.7249388753056231</v>
      </c>
      <c r="F1212">
        <v>0.6098117512835131</v>
      </c>
      <c r="G1212">
        <v>0.080811949444657</v>
      </c>
      <c r="H1212">
        <v>-0.229488054607508</v>
      </c>
      <c r="I1212">
        <v>21.48605577689243</v>
      </c>
    </row>
    <row r="1213" spans="1:9">
      <c r="A1213" s="8" t="s">
        <v>1225</v>
      </c>
      <c r="B1213">
        <f>HYPERLINK("https://www.suredividend.com/sure-analysis-research-database/","Globus Medical Inc")</f>
        <v>0</v>
      </c>
      <c r="C1213">
        <v>0.267912772585669</v>
      </c>
      <c r="D1213">
        <v>0.197499080544317</v>
      </c>
      <c r="E1213">
        <v>0.4365762188396201</v>
      </c>
      <c r="F1213">
        <v>0.22199286920623</v>
      </c>
      <c r="G1213">
        <v>0.161198288159771</v>
      </c>
      <c r="H1213">
        <v>0.046777045491078</v>
      </c>
      <c r="I1213">
        <v>0.6158808933002481</v>
      </c>
    </row>
    <row r="1214" spans="1:9">
      <c r="A1214" s="8" t="s">
        <v>1226</v>
      </c>
      <c r="B1214">
        <f>HYPERLINK("https://www.suredividend.com/sure-analysis-GMRE/","Global Medical REIT Inc")</f>
        <v>0</v>
      </c>
      <c r="C1214">
        <v>0.06375442739079</v>
      </c>
      <c r="D1214">
        <v>0.041449938738238</v>
      </c>
      <c r="E1214">
        <v>-0.10828277629873</v>
      </c>
      <c r="F1214">
        <v>-0.168719495880502</v>
      </c>
      <c r="G1214">
        <v>0.05244714402523001</v>
      </c>
      <c r="H1214">
        <v>-0.188310225849751</v>
      </c>
      <c r="I1214">
        <v>0.188090089139722</v>
      </c>
    </row>
    <row r="1215" spans="1:9">
      <c r="A1215" s="8" t="s">
        <v>1227</v>
      </c>
      <c r="B1215">
        <f>HYPERLINK("https://www.suredividend.com/sure-analysis-research-database/","GMS Inc")</f>
        <v>0</v>
      </c>
      <c r="C1215">
        <v>-0.053991107347025</v>
      </c>
      <c r="D1215">
        <v>-0.013468756899977</v>
      </c>
      <c r="E1215">
        <v>0.278763594733829</v>
      </c>
      <c r="F1215">
        <v>0.08407133325245601</v>
      </c>
      <c r="G1215">
        <v>0.31955109273479</v>
      </c>
      <c r="H1215">
        <v>0.69595748718922</v>
      </c>
      <c r="I1215">
        <v>3.972732331663885</v>
      </c>
    </row>
    <row r="1216" spans="1:9">
      <c r="A1216" s="8" t="s">
        <v>1228</v>
      </c>
      <c r="B1216">
        <f>HYPERLINK("https://www.suredividend.com/sure-analysis-research-database/","Genocea Biosciences Inc")</f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</row>
    <row r="1217" spans="1:9">
      <c r="A1217" s="8" t="s">
        <v>1229</v>
      </c>
      <c r="B1217">
        <f>HYPERLINK("https://www.suredividend.com/sure-analysis-research-database/","Genie Energy Ltd")</f>
        <v>0</v>
      </c>
      <c r="C1217">
        <v>-0.067234968254369</v>
      </c>
      <c r="D1217">
        <v>-0.209089836670348</v>
      </c>
      <c r="E1217">
        <v>-0.4241025761160691</v>
      </c>
      <c r="F1217">
        <v>-0.470984864787318</v>
      </c>
      <c r="G1217">
        <v>0.055720574025695</v>
      </c>
      <c r="H1217">
        <v>0.7595972609930091</v>
      </c>
      <c r="I1217">
        <v>0.758045292014302</v>
      </c>
    </row>
    <row r="1218" spans="1:9">
      <c r="A1218" s="8" t="s">
        <v>1230</v>
      </c>
      <c r="B1218">
        <f>HYPERLINK("https://www.suredividend.com/sure-analysis-research-database/","Genco Shipping &amp; Trading Limited")</f>
        <v>0</v>
      </c>
      <c r="C1218">
        <v>-0.013410179029293</v>
      </c>
      <c r="D1218">
        <v>0.08259384305875</v>
      </c>
      <c r="E1218">
        <v>0.594940794976009</v>
      </c>
      <c r="F1218">
        <v>0.362283422627439</v>
      </c>
      <c r="G1218">
        <v>0.6595926593178411</v>
      </c>
      <c r="H1218">
        <v>-0.037282071039195</v>
      </c>
      <c r="I1218">
        <v>2.851536894321906</v>
      </c>
    </row>
    <row r="1219" spans="1:9">
      <c r="A1219" s="8" t="s">
        <v>1231</v>
      </c>
      <c r="B1219">
        <f>HYPERLINK("https://www.suredividend.com/sure-analysis-GNL/","Global Net Lease Inc")</f>
        <v>0</v>
      </c>
      <c r="C1219">
        <v>0.029166666666666</v>
      </c>
      <c r="D1219">
        <v>0.031817865348464</v>
      </c>
      <c r="E1219">
        <v>-0.143005840513502</v>
      </c>
      <c r="F1219">
        <v>-0.198988195615514</v>
      </c>
      <c r="G1219">
        <v>-0.19740048740861</v>
      </c>
      <c r="H1219">
        <v>-0.325038256940902</v>
      </c>
      <c r="I1219">
        <v>-0.300382382098852</v>
      </c>
    </row>
    <row r="1220" spans="1:9">
      <c r="A1220" s="8" t="s">
        <v>1232</v>
      </c>
      <c r="B1220">
        <f>HYPERLINK("https://www.suredividend.com/sure-analysis-research-database/","GenMark Diagnostics Inc")</f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</row>
    <row r="1221" spans="1:9">
      <c r="A1221" s="8" t="s">
        <v>1233</v>
      </c>
      <c r="B1221">
        <f>HYPERLINK("https://www.suredividend.com/sure-analysis-research-database/","Generac Holdings Inc")</f>
        <v>0</v>
      </c>
      <c r="C1221">
        <v>0.013414455358451</v>
      </c>
      <c r="D1221">
        <v>0.215812153724386</v>
      </c>
      <c r="E1221">
        <v>0.146827042720862</v>
      </c>
      <c r="F1221">
        <v>0.069715258433921</v>
      </c>
      <c r="G1221">
        <v>0.169330965068087</v>
      </c>
      <c r="H1221">
        <v>-0.527802445522235</v>
      </c>
      <c r="I1221">
        <v>1.295748920624377</v>
      </c>
    </row>
    <row r="1222" spans="1:9">
      <c r="A1222" s="8" t="s">
        <v>1234</v>
      </c>
      <c r="B1222">
        <f>HYPERLINK("https://www.suredividend.com/sure-analysis-research-database/","Gentex Corp.")</f>
        <v>0</v>
      </c>
      <c r="C1222">
        <v>-0.016445470282746</v>
      </c>
      <c r="D1222">
        <v>-0.078063094127351</v>
      </c>
      <c r="E1222">
        <v>0.118698909522887</v>
      </c>
      <c r="F1222">
        <v>0.05533300725019</v>
      </c>
      <c r="G1222">
        <v>0.257418548122355</v>
      </c>
      <c r="H1222">
        <v>0.143533784395745</v>
      </c>
      <c r="I1222">
        <v>0.574312248601868</v>
      </c>
    </row>
    <row r="1223" spans="1:9">
      <c r="A1223" s="8" t="s">
        <v>1235</v>
      </c>
      <c r="B1223">
        <f>HYPERLINK("https://www.suredividend.com/sure-analysis-research-database/","Guaranty Bancshares, Inc. (TX)")</f>
        <v>0</v>
      </c>
      <c r="C1223">
        <v>-0.02710027100271</v>
      </c>
      <c r="D1223">
        <v>-0.036971960861896</v>
      </c>
      <c r="E1223">
        <v>-0.017639392933981</v>
      </c>
      <c r="F1223">
        <v>-0.139230642430055</v>
      </c>
      <c r="G1223">
        <v>0.07898127937425101</v>
      </c>
      <c r="H1223">
        <v>-0.176244166735982</v>
      </c>
      <c r="I1223">
        <v>0.208576177751593</v>
      </c>
    </row>
    <row r="1224" spans="1:9">
      <c r="A1224" s="8" t="s">
        <v>1236</v>
      </c>
      <c r="B1224">
        <f>HYPERLINK("https://www.suredividend.com/sure-analysis-research-database/","Genworth Financial Inc")</f>
        <v>0</v>
      </c>
      <c r="C1224">
        <v>-0.05446293494705001</v>
      </c>
      <c r="D1224">
        <v>0.011326860841424</v>
      </c>
      <c r="E1224">
        <v>0.02291325695581</v>
      </c>
      <c r="F1224">
        <v>-0.064371257485029</v>
      </c>
      <c r="G1224">
        <v>0.072041166380788</v>
      </c>
      <c r="H1224">
        <v>0.524390243902439</v>
      </c>
      <c r="I1224">
        <v>0.947040498442367</v>
      </c>
    </row>
    <row r="1225" spans="1:9">
      <c r="A1225" s="8" t="s">
        <v>1237</v>
      </c>
      <c r="B1225">
        <f>HYPERLINK("https://www.suredividend.com/sure-analysis-research-database/","Gogo Inc")</f>
        <v>0</v>
      </c>
      <c r="C1225">
        <v>-0.018999999999999</v>
      </c>
      <c r="D1225">
        <v>0.107223476297968</v>
      </c>
      <c r="E1225">
        <v>-0.040117416829745</v>
      </c>
      <c r="F1225">
        <v>-0.031589338598223</v>
      </c>
      <c r="G1225">
        <v>-0.4</v>
      </c>
      <c r="H1225">
        <v>-0.529044647143542</v>
      </c>
      <c r="I1225">
        <v>1.109677419354838</v>
      </c>
    </row>
    <row r="1226" spans="1:9">
      <c r="A1226" s="8" t="s">
        <v>1238</v>
      </c>
      <c r="B1226">
        <f>HYPERLINK("https://www.suredividend.com/sure-analysis-research-database/","Acushnet Holdings Corp")</f>
        <v>0</v>
      </c>
      <c r="C1226">
        <v>0.002364095189326</v>
      </c>
      <c r="D1226">
        <v>0.024276833609063</v>
      </c>
      <c r="E1226">
        <v>0.148789097573275</v>
      </c>
      <c r="F1226">
        <v>0.04185755968212</v>
      </c>
      <c r="G1226">
        <v>0.310551361666472</v>
      </c>
      <c r="H1226">
        <v>0.580479220251793</v>
      </c>
      <c r="I1226">
        <v>1.849422532142078</v>
      </c>
    </row>
    <row r="1227" spans="1:9">
      <c r="A1227" s="8" t="s">
        <v>1239</v>
      </c>
      <c r="B1227">
        <f>HYPERLINK("https://www.suredividend.com/sure-analysis-GOOD/","Gladstone Commercial Corp")</f>
        <v>0</v>
      </c>
      <c r="C1227">
        <v>0.009951719381219</v>
      </c>
      <c r="D1227">
        <v>0.158566123042144</v>
      </c>
      <c r="E1227">
        <v>0.164451368940389</v>
      </c>
      <c r="F1227">
        <v>0.167691957165641</v>
      </c>
      <c r="G1227">
        <v>0.323519917360707</v>
      </c>
      <c r="H1227">
        <v>-0.06580994603180801</v>
      </c>
      <c r="I1227">
        <v>0.129201060740787</v>
      </c>
    </row>
    <row r="1228" spans="1:9">
      <c r="A1228" s="8" t="s">
        <v>1240</v>
      </c>
      <c r="B1228">
        <f>HYPERLINK("https://www.suredividend.com/sure-analysis-research-database/","Alphabet Inc")</f>
        <v>0</v>
      </c>
      <c r="C1228">
        <v>0.017169614984391</v>
      </c>
      <c r="D1228">
        <v>0.301020408163265</v>
      </c>
      <c r="E1228">
        <v>0.270855904658721</v>
      </c>
      <c r="F1228">
        <v>0.248492159227985</v>
      </c>
      <c r="G1228">
        <v>0.431185944363103</v>
      </c>
      <c r="H1228">
        <v>0.5009020766957121</v>
      </c>
      <c r="I1228">
        <v>2.301001838580165</v>
      </c>
    </row>
    <row r="1229" spans="1:9">
      <c r="A1229" s="8" t="s">
        <v>1241</v>
      </c>
      <c r="B1229">
        <f>HYPERLINK("https://www.suredividend.com/sure-analysis-GOOGL/","Alphabet Inc")</f>
        <v>0</v>
      </c>
      <c r="C1229">
        <v>0.018744525547445</v>
      </c>
      <c r="D1229">
        <v>0.298258669444857</v>
      </c>
      <c r="E1229">
        <v>0.274081647557145</v>
      </c>
      <c r="F1229">
        <v>0.248908296943231</v>
      </c>
      <c r="G1229">
        <v>0.424163265306122</v>
      </c>
      <c r="H1229">
        <v>0.48920823392332</v>
      </c>
      <c r="I1229">
        <v>2.265909750367382</v>
      </c>
    </row>
    <row r="1230" spans="1:9">
      <c r="A1230" s="8" t="s">
        <v>1242</v>
      </c>
      <c r="B1230">
        <f>HYPERLINK("https://www.suredividend.com/sure-analysis-research-database/","Gold Resource Corp")</f>
        <v>0</v>
      </c>
      <c r="C1230">
        <v>0.026424983620877</v>
      </c>
      <c r="D1230">
        <v>0.619572708476912</v>
      </c>
      <c r="E1230">
        <v>0.5824915824915821</v>
      </c>
      <c r="F1230">
        <v>0.25</v>
      </c>
      <c r="G1230">
        <v>-0.4125</v>
      </c>
      <c r="H1230">
        <v>-0.7329545454545451</v>
      </c>
      <c r="I1230">
        <v>-0.8280844215223671</v>
      </c>
    </row>
    <row r="1231" spans="1:9">
      <c r="A1231" s="8" t="s">
        <v>1243</v>
      </c>
      <c r="B1231">
        <f>HYPERLINK("https://www.suredividend.com/sure-analysis-research-database/","Gossamer Bio Inc")</f>
        <v>0</v>
      </c>
      <c r="C1231">
        <v>-0.250307587149692</v>
      </c>
      <c r="D1231">
        <v>-0.60546762589928</v>
      </c>
      <c r="E1231">
        <v>-0.4922222222222221</v>
      </c>
      <c r="F1231">
        <v>-0.399013698630137</v>
      </c>
      <c r="G1231">
        <v>-0.546776859504132</v>
      </c>
      <c r="H1231">
        <v>-0.9218803418803411</v>
      </c>
      <c r="I1231">
        <v>-0.970308608554412</v>
      </c>
    </row>
    <row r="1232" spans="1:9">
      <c r="A1232" s="8" t="s">
        <v>1244</v>
      </c>
      <c r="B1232">
        <f>HYPERLINK("https://www.suredividend.com/sure-analysis-GPC/","Genuine Parts Co.")</f>
        <v>0</v>
      </c>
      <c r="C1232">
        <v>-0.056280618555762</v>
      </c>
      <c r="D1232">
        <v>-0.030626177165935</v>
      </c>
      <c r="E1232">
        <v>0.09599940214096901</v>
      </c>
      <c r="F1232">
        <v>0.06260506938513201</v>
      </c>
      <c r="G1232">
        <v>-0.027410556805614</v>
      </c>
      <c r="H1232">
        <v>0.08352929499325701</v>
      </c>
      <c r="I1232">
        <v>0.6324928938941451</v>
      </c>
    </row>
    <row r="1233" spans="1:9">
      <c r="A1233" s="8" t="s">
        <v>1245</v>
      </c>
      <c r="B1233">
        <f>HYPERLINK("https://www.suredividend.com/sure-analysis-research-database/","Group 1 Automotive, Inc.")</f>
        <v>0</v>
      </c>
      <c r="C1233">
        <v>0.024970341707406</v>
      </c>
      <c r="D1233">
        <v>0.1462638569633</v>
      </c>
      <c r="E1233">
        <v>0.07095325383732601</v>
      </c>
      <c r="F1233">
        <v>-0.000141571709363</v>
      </c>
      <c r="G1233">
        <v>0.242642410404659</v>
      </c>
      <c r="H1233">
        <v>0.6562825186358371</v>
      </c>
      <c r="I1233">
        <v>3.197993688287668</v>
      </c>
    </row>
    <row r="1234" spans="1:9">
      <c r="A1234" s="8" t="s">
        <v>1246</v>
      </c>
      <c r="B1234">
        <f>HYPERLINK("https://www.suredividend.com/sure-analysis-research-database/","Graphic Packaging Holding Co")</f>
        <v>0</v>
      </c>
      <c r="C1234">
        <v>-0.002556610664718</v>
      </c>
      <c r="D1234">
        <v>0.023398387145126</v>
      </c>
      <c r="E1234">
        <v>0.174557981704248</v>
      </c>
      <c r="F1234">
        <v>0.111830347146736</v>
      </c>
      <c r="G1234">
        <v>0.05468855599195101</v>
      </c>
      <c r="H1234">
        <v>0.239616903454223</v>
      </c>
      <c r="I1234">
        <v>1.099025425031512</v>
      </c>
    </row>
    <row r="1235" spans="1:9">
      <c r="A1235" s="8" t="s">
        <v>1247</v>
      </c>
      <c r="B1235">
        <f>HYPERLINK("https://www.suredividend.com/sure-analysis-research-database/","Granite Point Mortgage Trust Inc")</f>
        <v>0</v>
      </c>
      <c r="C1235">
        <v>-0.294520547945205</v>
      </c>
      <c r="D1235">
        <v>-0.3273835437527211</v>
      </c>
      <c r="E1235">
        <v>-0.4121899254299191</v>
      </c>
      <c r="F1235">
        <v>-0.4632621156852521</v>
      </c>
      <c r="G1235">
        <v>-0.329892435808466</v>
      </c>
      <c r="H1235">
        <v>-0.6316868503861921</v>
      </c>
      <c r="I1235">
        <v>-0.730422948073701</v>
      </c>
    </row>
    <row r="1236" spans="1:9">
      <c r="A1236" s="8" t="s">
        <v>1248</v>
      </c>
      <c r="B1236">
        <f>HYPERLINK("https://www.suredividend.com/sure-analysis-research-database/","Global Payments, Inc.")</f>
        <v>0</v>
      </c>
      <c r="C1236">
        <v>-0.118538565629228</v>
      </c>
      <c r="D1236">
        <v>-0.24155393342503</v>
      </c>
      <c r="E1236">
        <v>-0.181761085290792</v>
      </c>
      <c r="F1236">
        <v>-0.229192091389371</v>
      </c>
      <c r="G1236">
        <v>-0.033240460039418</v>
      </c>
      <c r="H1236">
        <v>-0.22869497811044</v>
      </c>
      <c r="I1236">
        <v>-0.3742046263128671</v>
      </c>
    </row>
    <row r="1237" spans="1:9">
      <c r="A1237" s="8" t="s">
        <v>1249</v>
      </c>
      <c r="B1237">
        <f>HYPERLINK("https://www.suredividend.com/sure-analysis-research-database/","Gulfport Energy Corp.")</f>
        <v>0</v>
      </c>
      <c r="C1237">
        <v>0.007993402271141</v>
      </c>
      <c r="D1237">
        <v>0.07547042100988201</v>
      </c>
      <c r="E1237">
        <v>0.188851477740366</v>
      </c>
      <c r="F1237">
        <v>0.192867867867867</v>
      </c>
      <c r="G1237">
        <v>0.5463746958637461</v>
      </c>
      <c r="H1237">
        <v>0.483843855061636</v>
      </c>
      <c r="I1237">
        <v>1.178067169294036</v>
      </c>
    </row>
    <row r="1238" spans="1:9">
      <c r="A1238" s="8" t="s">
        <v>1250</v>
      </c>
      <c r="B1238">
        <f>HYPERLINK("https://www.suredividend.com/sure-analysis-research-database/","Green Plains Inc")</f>
        <v>0</v>
      </c>
      <c r="C1238">
        <v>-0.135373443983402</v>
      </c>
      <c r="D1238">
        <v>-0.197786333012512</v>
      </c>
      <c r="E1238">
        <v>-0.278979238754325</v>
      </c>
      <c r="F1238">
        <v>-0.339016653449643</v>
      </c>
      <c r="G1238">
        <v>-0.480199563454942</v>
      </c>
      <c r="H1238">
        <v>-0.551036897387557</v>
      </c>
      <c r="I1238">
        <v>0.337881219903691</v>
      </c>
    </row>
    <row r="1239" spans="1:9">
      <c r="A1239" s="8" t="s">
        <v>1251</v>
      </c>
      <c r="B1239">
        <f>HYPERLINK("https://www.suredividend.com/sure-analysis-research-database/","GoPro Inc.")</f>
        <v>0</v>
      </c>
      <c r="C1239">
        <v>-0.206521739130434</v>
      </c>
      <c r="D1239">
        <v>-0.365217391304347</v>
      </c>
      <c r="E1239">
        <v>-0.587570621468926</v>
      </c>
      <c r="F1239">
        <v>-0.579250720461095</v>
      </c>
      <c r="G1239">
        <v>-0.6612529002320181</v>
      </c>
      <c r="H1239">
        <v>-0.785923753665689</v>
      </c>
      <c r="I1239">
        <v>-0.75</v>
      </c>
    </row>
    <row r="1240" spans="1:9">
      <c r="A1240" s="8" t="s">
        <v>1252</v>
      </c>
      <c r="B1240">
        <f>HYPERLINK("https://www.suredividend.com/sure-analysis-GPS/","Gap, Inc.")</f>
        <v>0</v>
      </c>
      <c r="C1240">
        <v>0.151967435549525</v>
      </c>
      <c r="D1240">
        <v>0.326113555306797</v>
      </c>
      <c r="E1240">
        <v>0.208185492286966</v>
      </c>
      <c r="F1240">
        <v>0.23476540911603</v>
      </c>
      <c r="G1240">
        <v>1.845174262734584</v>
      </c>
      <c r="H1240">
        <v>1.684811367493437</v>
      </c>
      <c r="I1240">
        <v>0.68002374591867</v>
      </c>
    </row>
    <row r="1241" spans="1:9">
      <c r="A1241" s="8" t="s">
        <v>1253</v>
      </c>
      <c r="B1241">
        <f>HYPERLINK("https://www.suredividend.com/sure-analysis-research-database/","GP Strategies Corp.")</f>
        <v>0</v>
      </c>
      <c r="C1241">
        <v>0.005303760848601</v>
      </c>
      <c r="D1241">
        <v>0.322969543147208</v>
      </c>
      <c r="E1241">
        <v>0.232998225901833</v>
      </c>
      <c r="F1241">
        <v>0.7580101180438451</v>
      </c>
      <c r="G1241">
        <v>0.9763033175355451</v>
      </c>
      <c r="H1241">
        <v>0.8851717902350811</v>
      </c>
      <c r="I1241">
        <v>-0.134854771784232</v>
      </c>
    </row>
    <row r="1242" spans="1:9">
      <c r="A1242" s="8" t="s">
        <v>1254</v>
      </c>
      <c r="B1242">
        <f>HYPERLINK("https://www.suredividend.com/sure-analysis-research-database/","W.R. Grace &amp; Co.")</f>
        <v>0</v>
      </c>
      <c r="C1242">
        <v>0.008210890233361001</v>
      </c>
      <c r="D1242">
        <v>0.013466550825369</v>
      </c>
      <c r="E1242">
        <v>0.178282828282828</v>
      </c>
      <c r="F1242">
        <v>0.283873890895483</v>
      </c>
      <c r="G1242">
        <v>0.7397421333777441</v>
      </c>
      <c r="H1242">
        <v>0.068696462109297</v>
      </c>
      <c r="I1242">
        <v>0.028803257362506</v>
      </c>
    </row>
    <row r="1243" spans="1:9">
      <c r="A1243" s="8" t="s">
        <v>1255</v>
      </c>
      <c r="B1243">
        <f>HYPERLINK("https://www.suredividend.com/sure-analysis-research-database/","Green Brick Partners Inc")</f>
        <v>0</v>
      </c>
      <c r="C1243">
        <v>-0.04432971337012601</v>
      </c>
      <c r="D1243">
        <v>0.019369540448157</v>
      </c>
      <c r="E1243">
        <v>0.060450414855788</v>
      </c>
      <c r="F1243">
        <v>0.033500192529842</v>
      </c>
      <c r="G1243">
        <v>-0.026478055857816</v>
      </c>
      <c r="H1243">
        <v>1.217265592730277</v>
      </c>
      <c r="I1243">
        <v>4.892425905598244</v>
      </c>
    </row>
    <row r="1244" spans="1:9">
      <c r="A1244" s="8" t="s">
        <v>1256</v>
      </c>
      <c r="B1244">
        <f>HYPERLINK("https://www.suredividend.com/sure-analysis-GRC/","Gorman-Rupp Co.")</f>
        <v>0</v>
      </c>
      <c r="C1244">
        <v>0.109869760181203</v>
      </c>
      <c r="D1244">
        <v>-0.011140352073305</v>
      </c>
      <c r="E1244">
        <v>0.089978867756645</v>
      </c>
      <c r="F1244">
        <v>0.03138528754202601</v>
      </c>
      <c r="G1244">
        <v>0.360666749222288</v>
      </c>
      <c r="H1244">
        <v>0.284854240267034</v>
      </c>
      <c r="I1244">
        <v>0.319284253727542</v>
      </c>
    </row>
    <row r="1245" spans="1:9">
      <c r="A1245" s="8" t="s">
        <v>1257</v>
      </c>
      <c r="B1245">
        <f>HYPERLINK("https://www.suredividend.com/sure-analysis-research-database/","Griid Infrastructure Inc.")</f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</row>
    <row r="1246" spans="1:9">
      <c r="A1246" s="8" t="s">
        <v>1258</v>
      </c>
      <c r="B1246">
        <f>HYPERLINK("https://www.suredividend.com/sure-analysis-GRMN/","Garmin Ltd")</f>
        <v>0</v>
      </c>
      <c r="C1246">
        <v>-0.03942104024476301</v>
      </c>
      <c r="D1246">
        <v>0.160059999673142</v>
      </c>
      <c r="E1246">
        <v>0.326607392143065</v>
      </c>
      <c r="F1246">
        <v>0.276391142036237</v>
      </c>
      <c r="G1246">
        <v>0.5792558943989911</v>
      </c>
      <c r="H1246">
        <v>0.631312894126534</v>
      </c>
      <c r="I1246">
        <v>1.332495638893214</v>
      </c>
    </row>
    <row r="1247" spans="1:9">
      <c r="A1247" s="8" t="s">
        <v>1259</v>
      </c>
      <c r="B1247">
        <f>HYPERLINK("https://www.suredividend.com/sure-analysis-GROW/","U.S. Global Investors, Inc.")</f>
        <v>0</v>
      </c>
      <c r="C1247">
        <v>-0.044117647058823</v>
      </c>
      <c r="D1247">
        <v>0.002197124465173</v>
      </c>
      <c r="E1247">
        <v>-0.101589495507947</v>
      </c>
      <c r="F1247">
        <v>-0.055404178019981</v>
      </c>
      <c r="G1247">
        <v>-0.012945598117003</v>
      </c>
      <c r="H1247">
        <v>-0.416608701505598</v>
      </c>
      <c r="I1247">
        <v>1.583465818759936</v>
      </c>
    </row>
    <row r="1248" spans="1:9">
      <c r="A1248" s="8" t="s">
        <v>1260</v>
      </c>
      <c r="B1248">
        <f>HYPERLINK("https://www.suredividend.com/sure-analysis-research-database/","Groupon Inc")</f>
        <v>0</v>
      </c>
      <c r="C1248">
        <v>0.296160877513711</v>
      </c>
      <c r="D1248">
        <v>-0.238044062332079</v>
      </c>
      <c r="E1248">
        <v>0.234653896386591</v>
      </c>
      <c r="F1248">
        <v>0.10436137071651</v>
      </c>
      <c r="G1248">
        <v>1.51418439716312</v>
      </c>
      <c r="H1248">
        <v>-0.039295392953929</v>
      </c>
      <c r="I1248">
        <v>-0.7991501416430591</v>
      </c>
    </row>
    <row r="1249" spans="1:9">
      <c r="A1249" s="8" t="s">
        <v>1261</v>
      </c>
      <c r="B1249">
        <f>HYPERLINK("https://www.suredividend.com/sure-analysis-research-database/","Gritstone Bio Inc")</f>
        <v>0</v>
      </c>
      <c r="C1249">
        <v>-0.261782178217821</v>
      </c>
      <c r="D1249">
        <v>-0.7121235521235521</v>
      </c>
      <c r="E1249">
        <v>-0.5397530864197531</v>
      </c>
      <c r="F1249">
        <v>-0.6345098039215681</v>
      </c>
      <c r="G1249">
        <v>-0.688033472803347</v>
      </c>
      <c r="H1249">
        <v>-0.6700884955752211</v>
      </c>
      <c r="I1249">
        <v>-0.9228955532574971</v>
      </c>
    </row>
    <row r="1250" spans="1:9">
      <c r="A1250" s="8" t="s">
        <v>1262</v>
      </c>
      <c r="B1250">
        <f>HYPERLINK("https://www.suredividend.com/sure-analysis-research-database/","Just Eat Takeaway.com N.V.")</f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</row>
    <row r="1251" spans="1:9">
      <c r="A1251" s="8" t="s">
        <v>1263</v>
      </c>
      <c r="B1251">
        <f>HYPERLINK("https://www.suredividend.com/sure-analysis-GS/","Goldman Sachs Group, Inc.")</f>
        <v>0</v>
      </c>
      <c r="C1251">
        <v>0.031237021978081</v>
      </c>
      <c r="D1251">
        <v>0.178237913873194</v>
      </c>
      <c r="E1251">
        <v>0.337433254757059</v>
      </c>
      <c r="F1251">
        <v>0.194769394090053</v>
      </c>
      <c r="G1251">
        <v>0.395578851846409</v>
      </c>
      <c r="H1251">
        <v>0.499941309368212</v>
      </c>
      <c r="I1251">
        <v>1.711479097512754</v>
      </c>
    </row>
    <row r="1252" spans="1:9">
      <c r="A1252" s="8" t="s">
        <v>1264</v>
      </c>
      <c r="B1252">
        <f>HYPERLINK("https://www.suredividend.com/sure-analysis-research-database/","Globalstar Inc.")</f>
        <v>0</v>
      </c>
      <c r="C1252">
        <v>-0.155038759689922</v>
      </c>
      <c r="D1252">
        <v>-0.161538461538461</v>
      </c>
      <c r="E1252">
        <v>-0.258503401360544</v>
      </c>
      <c r="F1252">
        <v>-0.438144329896907</v>
      </c>
      <c r="G1252">
        <v>-0.134920634920634</v>
      </c>
      <c r="H1252">
        <v>-0.161538461538461</v>
      </c>
      <c r="I1252">
        <v>1.074215033301617</v>
      </c>
    </row>
    <row r="1253" spans="1:9">
      <c r="A1253" s="8" t="s">
        <v>1265</v>
      </c>
      <c r="B1253">
        <f>HYPERLINK("https://www.suredividend.com/sure-analysis-research-database/","Great Southern Bancorp, Inc.")</f>
        <v>0</v>
      </c>
      <c r="C1253">
        <v>-0.00877527661198</v>
      </c>
      <c r="D1253">
        <v>0.001258317323349</v>
      </c>
      <c r="E1253">
        <v>-0.013914508892988</v>
      </c>
      <c r="F1253">
        <v>-0.111267709222393</v>
      </c>
      <c r="G1253">
        <v>0.006309771430563001</v>
      </c>
      <c r="H1253">
        <v>-0.045388155537795</v>
      </c>
      <c r="I1253">
        <v>0.094074395374398</v>
      </c>
    </row>
    <row r="1254" spans="1:9">
      <c r="A1254" s="8" t="s">
        <v>1266</v>
      </c>
      <c r="B1254">
        <f>HYPERLINK("https://www.suredividend.com/sure-analysis-research-database/","Goosehead Insurance Inc")</f>
        <v>0</v>
      </c>
      <c r="C1254">
        <v>0.008687100475331</v>
      </c>
      <c r="D1254">
        <v>-0.24118372379778</v>
      </c>
      <c r="E1254">
        <v>-0.143969954096536</v>
      </c>
      <c r="F1254">
        <v>-0.188126649076517</v>
      </c>
      <c r="G1254">
        <v>0.040054081460199</v>
      </c>
      <c r="H1254">
        <v>0.232772435897435</v>
      </c>
      <c r="I1254">
        <v>0.613228790655121</v>
      </c>
    </row>
    <row r="1255" spans="1:9">
      <c r="A1255" s="8" t="s">
        <v>1267</v>
      </c>
      <c r="B1255">
        <f>HYPERLINK("https://www.suredividend.com/sure-analysis-research-database/","GSI Technology Inc")</f>
        <v>0</v>
      </c>
      <c r="C1255">
        <v>-0.185897435897435</v>
      </c>
      <c r="D1255">
        <v>-0.446623093681917</v>
      </c>
      <c r="E1255">
        <v>-0.180645161290322</v>
      </c>
      <c r="F1255">
        <v>-0.03787878787878701</v>
      </c>
      <c r="G1255">
        <v>-0.637142857142857</v>
      </c>
      <c r="H1255">
        <v>-0.387213510253317</v>
      </c>
      <c r="I1255">
        <v>-0.682896379525593</v>
      </c>
    </row>
    <row r="1256" spans="1:9">
      <c r="A1256" s="8" t="s">
        <v>1268</v>
      </c>
      <c r="B1256">
        <f>HYPERLINK("https://www.suredividend.com/sure-analysis-research-database/","GreenSky Inc")</f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</row>
    <row r="1257" spans="1:9">
      <c r="A1257" s="8" t="s">
        <v>1269</v>
      </c>
      <c r="B1257">
        <f>HYPERLINK("https://www.suredividend.com/sure-analysis-research-database/","Goodyear Tire &amp; Rubber Co.")</f>
        <v>0</v>
      </c>
      <c r="C1257">
        <v>-0.02818035426731</v>
      </c>
      <c r="D1257">
        <v>-0.025040387722132</v>
      </c>
      <c r="E1257">
        <v>-0.139087018544935</v>
      </c>
      <c r="F1257">
        <v>-0.157122905027932</v>
      </c>
      <c r="G1257">
        <v>-0.117044623262618</v>
      </c>
      <c r="H1257">
        <v>-0.115102639296187</v>
      </c>
      <c r="I1257">
        <v>-0.163687259222305</v>
      </c>
    </row>
    <row r="1258" spans="1:9">
      <c r="A1258" s="8" t="s">
        <v>1270</v>
      </c>
      <c r="B1258">
        <f>HYPERLINK("https://www.suredividend.com/sure-analysis-research-database/","Gates Industrial Corporation plc")</f>
        <v>0</v>
      </c>
      <c r="C1258">
        <v>0.001215066828675</v>
      </c>
      <c r="D1258">
        <v>0.065976714100905</v>
      </c>
      <c r="E1258">
        <v>0.345306122448979</v>
      </c>
      <c r="F1258">
        <v>0.228017883755588</v>
      </c>
      <c r="G1258">
        <v>0.277519379844961</v>
      </c>
      <c r="H1258">
        <v>0.251328777524677</v>
      </c>
      <c r="I1258">
        <v>0.4833483348334831</v>
      </c>
    </row>
    <row r="1259" spans="1:9">
      <c r="A1259" s="8" t="s">
        <v>1271</v>
      </c>
      <c r="B1259">
        <f>HYPERLINK("https://www.suredividend.com/sure-analysis-research-database/","G1 Therapeutics Inc")</f>
        <v>0</v>
      </c>
      <c r="C1259">
        <v>-0.291764705882353</v>
      </c>
      <c r="D1259">
        <v>-0.159217877094972</v>
      </c>
      <c r="E1259">
        <v>-0.053459119496855</v>
      </c>
      <c r="F1259">
        <v>-0.01311475409836</v>
      </c>
      <c r="G1259">
        <v>0.05614035087719201</v>
      </c>
      <c r="H1259">
        <v>-0.37160751565762</v>
      </c>
      <c r="I1259">
        <v>-0.841244725738396</v>
      </c>
    </row>
    <row r="1260" spans="1:9">
      <c r="A1260" s="8" t="s">
        <v>1272</v>
      </c>
      <c r="B1260">
        <f>HYPERLINK("https://www.suredividend.com/sure-analysis-research-database/","Good Times Restaurants Inc.")</f>
        <v>0</v>
      </c>
      <c r="C1260">
        <v>-0.084870848708487</v>
      </c>
      <c r="D1260">
        <v>-0.04980842911877301</v>
      </c>
      <c r="E1260">
        <v>-0.027450980392156</v>
      </c>
      <c r="F1260">
        <v>-0.023622047244094</v>
      </c>
      <c r="G1260">
        <v>-0.170568561872909</v>
      </c>
      <c r="H1260">
        <v>-0.173333333333333</v>
      </c>
      <c r="I1260">
        <v>0.305263157894736</v>
      </c>
    </row>
    <row r="1261" spans="1:9">
      <c r="A1261" s="8" t="s">
        <v>1273</v>
      </c>
      <c r="B1261">
        <f>HYPERLINK("https://www.suredividend.com/sure-analysis-research-database/","Chart Industries Inc")</f>
        <v>0</v>
      </c>
      <c r="C1261">
        <v>-0.094926859632741</v>
      </c>
      <c r="D1261">
        <v>0.005462969365880001</v>
      </c>
      <c r="E1261">
        <v>0.168716341130134</v>
      </c>
      <c r="F1261">
        <v>0.06652974400352001</v>
      </c>
      <c r="G1261">
        <v>0.09397336543525701</v>
      </c>
      <c r="H1261">
        <v>-0.241800073004119</v>
      </c>
      <c r="I1261">
        <v>0.796614358087235</v>
      </c>
    </row>
    <row r="1262" spans="1:9">
      <c r="A1262" s="8" t="s">
        <v>1274</v>
      </c>
      <c r="B1262">
        <f>HYPERLINK("https://www.suredividend.com/sure-analysis-research-database/","Gray Television, Inc.")</f>
        <v>0</v>
      </c>
      <c r="C1262">
        <v>-0.176119402985074</v>
      </c>
      <c r="D1262">
        <v>-0.032105346215216</v>
      </c>
      <c r="E1262">
        <v>-0.282361965184154</v>
      </c>
      <c r="F1262">
        <v>-0.3756150531066541</v>
      </c>
      <c r="G1262">
        <v>-0.285936044706612</v>
      </c>
      <c r="H1262">
        <v>-0.6989118280742901</v>
      </c>
      <c r="I1262">
        <v>-0.634449190424158</v>
      </c>
    </row>
    <row r="1263" spans="1:9">
      <c r="A1263" s="8" t="s">
        <v>1275</v>
      </c>
      <c r="B1263">
        <f>HYPERLINK("https://www.suredividend.com/sure-analysis-research-database/","Triple-S Management Corp")</f>
        <v>0</v>
      </c>
      <c r="C1263">
        <v>0.008688340807174001</v>
      </c>
      <c r="D1263">
        <v>0.019835647492207</v>
      </c>
      <c r="E1263">
        <v>0.479243732018084</v>
      </c>
      <c r="F1263">
        <v>0.008688340807174001</v>
      </c>
      <c r="G1263">
        <v>0.536064874093043</v>
      </c>
      <c r="H1263">
        <v>1.042565266742338</v>
      </c>
      <c r="I1263">
        <v>0.9795608554079021</v>
      </c>
    </row>
    <row r="1264" spans="1:9">
      <c r="A1264" s="8" t="s">
        <v>1276</v>
      </c>
      <c r="B1264">
        <f>HYPERLINK("https://www.suredividend.com/sure-analysis-research-database/","GTT Communications Inc")</f>
        <v>0</v>
      </c>
      <c r="C1264">
        <v>-0.208053691275167</v>
      </c>
      <c r="D1264">
        <v>0.296703296703296</v>
      </c>
      <c r="E1264">
        <v>-0.264797507788162</v>
      </c>
      <c r="F1264">
        <v>0</v>
      </c>
      <c r="G1264">
        <v>-0.712195121951219</v>
      </c>
      <c r="H1264">
        <v>-0.868961687951138</v>
      </c>
      <c r="I1264">
        <v>-0.868743047830923</v>
      </c>
    </row>
    <row r="1265" spans="1:9">
      <c r="A1265" s="8" t="s">
        <v>1277</v>
      </c>
      <c r="B1265">
        <f>HYPERLINK("https://www.suredividend.com/sure-analysis-research-database/","Garrett Motion Inc")</f>
        <v>0</v>
      </c>
      <c r="C1265">
        <v>-0.039572192513368</v>
      </c>
      <c r="D1265">
        <v>-0.05870020964360501</v>
      </c>
      <c r="E1265">
        <v>0.143949044585987</v>
      </c>
      <c r="F1265">
        <v>-0.071354705274043</v>
      </c>
      <c r="G1265">
        <v>0.09245742092457401</v>
      </c>
      <c r="H1265">
        <v>0.519458544839255</v>
      </c>
      <c r="I1265">
        <v>0.5644599303135881</v>
      </c>
    </row>
    <row r="1266" spans="1:9">
      <c r="A1266" s="8" t="s">
        <v>1278</v>
      </c>
      <c r="B1266">
        <f>HYPERLINK("https://www.suredividend.com/sure-analysis-GTY/","Getty Realty Corp.")</f>
        <v>0</v>
      </c>
      <c r="C1266">
        <v>-0.026409707351891</v>
      </c>
      <c r="D1266">
        <v>0.02193335705857</v>
      </c>
      <c r="E1266">
        <v>-0.061094265722713</v>
      </c>
      <c r="F1266">
        <v>-0.050459976957643</v>
      </c>
      <c r="G1266">
        <v>-0.184449533330543</v>
      </c>
      <c r="H1266">
        <v>0.100763432703326</v>
      </c>
      <c r="I1266">
        <v>0.124313274562412</v>
      </c>
    </row>
    <row r="1267" spans="1:9">
      <c r="A1267" s="8" t="s">
        <v>1279</v>
      </c>
      <c r="B1267">
        <f>HYPERLINK("https://www.suredividend.com/sure-analysis-research-database/","GTY Technology Holdings Inc")</f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</row>
    <row r="1268" spans="1:9">
      <c r="A1268" s="8" t="s">
        <v>1280</v>
      </c>
      <c r="B1268">
        <f>HYPERLINK("https://www.suredividend.com/sure-analysis-research-database/","Visionary Holdings Inc.")</f>
        <v>0</v>
      </c>
      <c r="C1268">
        <v>0</v>
      </c>
      <c r="D1268">
        <v>0.9685039370078741</v>
      </c>
      <c r="E1268">
        <v>1.890173410404624</v>
      </c>
      <c r="F1268">
        <v>0.6666666666666661</v>
      </c>
      <c r="G1268">
        <v>11.44370703958284</v>
      </c>
      <c r="H1268">
        <v>3.338842975206612</v>
      </c>
      <c r="I1268">
        <v>-0.79</v>
      </c>
    </row>
    <row r="1269" spans="1:9">
      <c r="A1269" s="8" t="s">
        <v>1281</v>
      </c>
      <c r="B1269">
        <f>HYPERLINK("https://www.suredividend.com/sure-analysis-research-database/","Granite Construction Inc.")</f>
        <v>0</v>
      </c>
      <c r="C1269">
        <v>-0.005881364476558001</v>
      </c>
      <c r="D1269">
        <v>0.117312105158786</v>
      </c>
      <c r="E1269">
        <v>0.237387681341298</v>
      </c>
      <c r="F1269">
        <v>0.165861310588921</v>
      </c>
      <c r="G1269">
        <v>0.476221013941255</v>
      </c>
      <c r="H1269">
        <v>0.8648577084567951</v>
      </c>
      <c r="I1269">
        <v>0.522109959322923</v>
      </c>
    </row>
    <row r="1270" spans="1:9">
      <c r="A1270" s="8" t="s">
        <v>1282</v>
      </c>
      <c r="B1270">
        <f>HYPERLINK("https://www.suredividend.com/sure-analysis-research-database/","GSE Systems, Inc.")</f>
        <v>0</v>
      </c>
      <c r="C1270">
        <v>0.372693726937269</v>
      </c>
      <c r="D1270">
        <v>0.61038961038961</v>
      </c>
      <c r="E1270">
        <v>-0.090464547677261</v>
      </c>
      <c r="F1270">
        <v>0.8507462686567161</v>
      </c>
      <c r="G1270">
        <v>-0.227895392278953</v>
      </c>
      <c r="H1270">
        <v>-0.7361702127659571</v>
      </c>
      <c r="I1270">
        <v>-0.8493927125506071</v>
      </c>
    </row>
    <row r="1271" spans="1:9">
      <c r="A1271" s="8" t="s">
        <v>1283</v>
      </c>
      <c r="B1271">
        <f>HYPERLINK("https://www.suredividend.com/sure-analysis-research-database/","Great Western Bancorp Inc")</f>
        <v>0</v>
      </c>
      <c r="C1271">
        <v>-0.09069493521790301</v>
      </c>
      <c r="D1271">
        <v>-0.09182614117280201</v>
      </c>
      <c r="E1271">
        <v>0.005525833352328</v>
      </c>
      <c r="F1271">
        <v>-0.09069493521790301</v>
      </c>
      <c r="G1271">
        <v>0.291310002216302</v>
      </c>
      <c r="H1271">
        <v>0.074191573440195</v>
      </c>
      <c r="I1271">
        <v>-0.198119944429296</v>
      </c>
    </row>
    <row r="1272" spans="1:9">
      <c r="A1272" s="8" t="s">
        <v>1284</v>
      </c>
      <c r="B1272">
        <f>HYPERLINK("https://www.suredividend.com/sure-analysis-research-database/","GWG Holdings Inc")</f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</row>
    <row r="1273" spans="1:9">
      <c r="A1273" s="8" t="s">
        <v>1285</v>
      </c>
      <c r="B1273">
        <f>HYPERLINK("https://www.suredividend.com/sure-analysis-research-database/","Guidewire Software Inc")</f>
        <v>0</v>
      </c>
      <c r="C1273">
        <v>0.114273467638233</v>
      </c>
      <c r="D1273">
        <v>0.111605233900624</v>
      </c>
      <c r="E1273">
        <v>0.314921598381386</v>
      </c>
      <c r="F1273">
        <v>0.192039618488627</v>
      </c>
      <c r="G1273">
        <v>0.794808064070698</v>
      </c>
      <c r="H1273">
        <v>0.6160636578391141</v>
      </c>
      <c r="I1273">
        <v>0.339723768295196</v>
      </c>
    </row>
    <row r="1274" spans="1:9">
      <c r="A1274" s="8" t="s">
        <v>1286</v>
      </c>
      <c r="B1274">
        <f>HYPERLINK("https://www.suredividend.com/sure-analysis-GWRS/","Global Water Resources Inc")</f>
        <v>0</v>
      </c>
      <c r="C1274">
        <v>-0.034137165168867</v>
      </c>
      <c r="D1274">
        <v>0.001253615410456</v>
      </c>
      <c r="E1274">
        <v>0.026683694044898</v>
      </c>
      <c r="F1274">
        <v>-0.04701001341360701</v>
      </c>
      <c r="G1274">
        <v>0.06102177612614101</v>
      </c>
      <c r="H1274">
        <v>-0.06734644034680601</v>
      </c>
      <c r="I1274">
        <v>0.431315592203898</v>
      </c>
    </row>
    <row r="1275" spans="1:9">
      <c r="A1275" s="8" t="s">
        <v>1287</v>
      </c>
      <c r="B1275">
        <f>HYPERLINK("https://www.suredividend.com/sure-analysis-GWW/","W.W. Grainger Inc.")</f>
        <v>0</v>
      </c>
      <c r="C1275">
        <v>-0.054681822694226</v>
      </c>
      <c r="D1275">
        <v>-0.09592432858765701</v>
      </c>
      <c r="E1275">
        <v>0.10963739823142</v>
      </c>
      <c r="F1275">
        <v>0.08112948314316401</v>
      </c>
      <c r="G1275">
        <v>0.290280503872432</v>
      </c>
      <c r="H1275">
        <v>0.800951330211213</v>
      </c>
      <c r="I1275">
        <v>2.540615592914721</v>
      </c>
    </row>
    <row r="1276" spans="1:9">
      <c r="A1276" s="8" t="s">
        <v>1288</v>
      </c>
      <c r="B1276">
        <f>HYPERLINK("https://www.suredividend.com/sure-analysis-research-database/","Hyatt Hotels Corporation")</f>
        <v>0</v>
      </c>
      <c r="C1276">
        <v>-0.03392735320055201</v>
      </c>
      <c r="D1276">
        <v>-0.07247180672140001</v>
      </c>
      <c r="E1276">
        <v>0.203788096803969</v>
      </c>
      <c r="F1276">
        <v>0.115265343254315</v>
      </c>
      <c r="G1276">
        <v>0.25097712388164</v>
      </c>
      <c r="H1276">
        <v>0.5518188835456951</v>
      </c>
      <c r="I1276">
        <v>0.9982186049777181</v>
      </c>
    </row>
    <row r="1277" spans="1:9">
      <c r="A1277" s="8" t="s">
        <v>1289</v>
      </c>
      <c r="B1277">
        <f>HYPERLINK("https://www.suredividend.com/sure-analysis-research-database/","Hawaiian Holdings, Inc.")</f>
        <v>0</v>
      </c>
      <c r="C1277">
        <v>0.068799999999999</v>
      </c>
      <c r="D1277">
        <v>-0.038848920863309</v>
      </c>
      <c r="E1277">
        <v>-0.02906976744186</v>
      </c>
      <c r="F1277">
        <v>-0.059154929577464</v>
      </c>
      <c r="G1277">
        <v>0.476243093922651</v>
      </c>
      <c r="H1277">
        <v>-0.230414746543778</v>
      </c>
      <c r="I1277">
        <v>-0.470677263686717</v>
      </c>
    </row>
    <row r="1278" spans="1:9">
      <c r="A1278" s="8" t="s">
        <v>1290</v>
      </c>
      <c r="B1278">
        <f>HYPERLINK("https://www.suredividend.com/sure-analysis-research-database/","Haemonetics Corp.")</f>
        <v>0</v>
      </c>
      <c r="C1278">
        <v>-0.100735294117647</v>
      </c>
      <c r="D1278">
        <v>0.101093247588424</v>
      </c>
      <c r="E1278">
        <v>0.028224837857314</v>
      </c>
      <c r="F1278">
        <v>0.001169453865044</v>
      </c>
      <c r="G1278">
        <v>-0.024387464387464</v>
      </c>
      <c r="H1278">
        <v>0.295550847457627</v>
      </c>
      <c r="I1278">
        <v>-0.174604704974932</v>
      </c>
    </row>
    <row r="1279" spans="1:9">
      <c r="A1279" s="8" t="s">
        <v>1291</v>
      </c>
      <c r="B1279">
        <f>HYPERLINK("https://www.suredividend.com/sure-analysis-research-database/","Hanmi Financial Corp.")</f>
        <v>0</v>
      </c>
      <c r="C1279">
        <v>-0.025657071339173</v>
      </c>
      <c r="D1279">
        <v>0.021117523609653</v>
      </c>
      <c r="E1279">
        <v>-0.09685203338805101</v>
      </c>
      <c r="F1279">
        <v>-0.145735260229779</v>
      </c>
      <c r="G1279">
        <v>0.029176526578797</v>
      </c>
      <c r="H1279">
        <v>-0.215956814679786</v>
      </c>
      <c r="I1279">
        <v>-0.008766401191772001</v>
      </c>
    </row>
    <row r="1280" spans="1:9">
      <c r="A1280" s="8" t="s">
        <v>1292</v>
      </c>
      <c r="B1280">
        <f>HYPERLINK("https://www.suredividend.com/sure-analysis-research-database/","Hain Celestial Group Inc")</f>
        <v>0</v>
      </c>
      <c r="C1280">
        <v>0.133633633633633</v>
      </c>
      <c r="D1280">
        <v>-0.189914163090128</v>
      </c>
      <c r="E1280">
        <v>-0.300925925925926</v>
      </c>
      <c r="F1280">
        <v>-0.310502283105022</v>
      </c>
      <c r="G1280">
        <v>-0.380131362889983</v>
      </c>
      <c r="H1280">
        <v>-0.7129277566539921</v>
      </c>
      <c r="I1280">
        <v>-0.6408182683158891</v>
      </c>
    </row>
    <row r="1281" spans="1:9">
      <c r="A1281" s="8" t="s">
        <v>1293</v>
      </c>
      <c r="B1281">
        <f>HYPERLINK("https://www.suredividend.com/sure-analysis-HAL/","Halliburton Co.")</f>
        <v>0</v>
      </c>
      <c r="C1281">
        <v>-0.079249891255305</v>
      </c>
      <c r="D1281">
        <v>-0.053554170693504</v>
      </c>
      <c r="E1281">
        <v>-4.9880140955E-05</v>
      </c>
      <c r="F1281">
        <v>-0.04790373993915201</v>
      </c>
      <c r="G1281">
        <v>0.06635960850083801</v>
      </c>
      <c r="H1281">
        <v>-0.170053746812816</v>
      </c>
      <c r="I1281">
        <v>0.719995962450792</v>
      </c>
    </row>
    <row r="1282" spans="1:9">
      <c r="A1282" s="8" t="s">
        <v>1294</v>
      </c>
      <c r="B1282">
        <f>HYPERLINK("https://www.suredividend.com/sure-analysis-research-database/","Hallmark Financial Services, Inc")</f>
        <v>0</v>
      </c>
      <c r="C1282">
        <v>-0.9998461538461531</v>
      </c>
      <c r="D1282">
        <v>-0.9998765432098761</v>
      </c>
      <c r="E1282">
        <v>-0.999855072463768</v>
      </c>
      <c r="F1282">
        <v>-0.999855072463768</v>
      </c>
      <c r="G1282">
        <v>-0.999855072463768</v>
      </c>
      <c r="H1282">
        <v>-0.999855072463768</v>
      </c>
      <c r="I1282">
        <v>-0.999855072463768</v>
      </c>
    </row>
    <row r="1283" spans="1:9">
      <c r="A1283" s="8" t="s">
        <v>1295</v>
      </c>
      <c r="B1283">
        <f>HYPERLINK("https://www.suredividend.com/sure-analysis-research-database/","Halozyme Therapeutics Inc.")</f>
        <v>0</v>
      </c>
      <c r="C1283">
        <v>0.233923804901722</v>
      </c>
      <c r="D1283">
        <v>0.219132102613282</v>
      </c>
      <c r="E1283">
        <v>0.266500622665006</v>
      </c>
      <c r="F1283">
        <v>0.375811688311688</v>
      </c>
      <c r="G1283">
        <v>0.464573732718894</v>
      </c>
      <c r="H1283">
        <v>0.105194522929797</v>
      </c>
      <c r="I1283">
        <v>2.27852998065764</v>
      </c>
    </row>
    <row r="1284" spans="1:9">
      <c r="A1284" s="8" t="s">
        <v>1296</v>
      </c>
      <c r="B1284">
        <f>HYPERLINK("https://www.suredividend.com/sure-analysis-HAS/","Hasbro, Inc.")</f>
        <v>0</v>
      </c>
      <c r="C1284">
        <v>-0.04431000654022201</v>
      </c>
      <c r="D1284">
        <v>0.150574696805358</v>
      </c>
      <c r="E1284">
        <v>0.247393704769973</v>
      </c>
      <c r="F1284">
        <v>0.189984181048611</v>
      </c>
      <c r="G1284">
        <v>0.048707013329075</v>
      </c>
      <c r="H1284">
        <v>-0.246071056351835</v>
      </c>
      <c r="I1284">
        <v>-0.308872913020857</v>
      </c>
    </row>
    <row r="1285" spans="1:9">
      <c r="A1285" s="8" t="s">
        <v>1297</v>
      </c>
      <c r="B1285">
        <f>HYPERLINK("https://www.suredividend.com/sure-analysis-HASI/","Hannon Armstrong Sustainable Infrastructure capital Inc")</f>
        <v>0</v>
      </c>
      <c r="C1285">
        <v>0.193203512791141</v>
      </c>
      <c r="D1285">
        <v>0.245823997958841</v>
      </c>
      <c r="E1285">
        <v>0.274901373629735</v>
      </c>
      <c r="F1285">
        <v>0.150512852609179</v>
      </c>
      <c r="G1285">
        <v>0.312539901212996</v>
      </c>
      <c r="H1285">
        <v>-0.124760184290495</v>
      </c>
      <c r="I1285">
        <v>0.4909208881594641</v>
      </c>
    </row>
    <row r="1286" spans="1:9">
      <c r="A1286" s="8" t="s">
        <v>1298</v>
      </c>
      <c r="B1286">
        <f>HYPERLINK("https://www.suredividend.com/sure-analysis-research-database/","Haynes International Inc.")</f>
        <v>0</v>
      </c>
      <c r="C1286">
        <v>-0.003502899886172</v>
      </c>
      <c r="D1286">
        <v>-0.003168578545165</v>
      </c>
      <c r="E1286">
        <v>0.226365929415688</v>
      </c>
      <c r="F1286">
        <v>0.046657474536316</v>
      </c>
      <c r="G1286">
        <v>0.209354147737317</v>
      </c>
      <c r="H1286">
        <v>0.539617071613261</v>
      </c>
      <c r="I1286">
        <v>1.233527591639932</v>
      </c>
    </row>
    <row r="1287" spans="1:9">
      <c r="A1287" s="8" t="s">
        <v>1299</v>
      </c>
      <c r="B1287">
        <f>HYPERLINK("https://www.suredividend.com/sure-analysis-HBAN/","Huntington Bancshares, Inc.")</f>
        <v>0</v>
      </c>
      <c r="C1287">
        <v>-0.032490974729241</v>
      </c>
      <c r="D1287">
        <v>0.014321615647803</v>
      </c>
      <c r="E1287">
        <v>0.184834123222748</v>
      </c>
      <c r="F1287">
        <v>0.078913678854097</v>
      </c>
      <c r="G1287">
        <v>0.303425870085403</v>
      </c>
      <c r="H1287">
        <v>0.136623887762632</v>
      </c>
      <c r="I1287">
        <v>0.3564537844048301</v>
      </c>
    </row>
    <row r="1288" spans="1:9">
      <c r="A1288" s="8" t="s">
        <v>1300</v>
      </c>
      <c r="B1288">
        <f>HYPERLINK("https://www.suredividend.com/sure-analysis-research-database/","Hamilton Beach Brands Holding Co")</f>
        <v>0</v>
      </c>
      <c r="C1288">
        <v>-0.194798613765293</v>
      </c>
      <c r="D1288">
        <v>-0.038929752172018</v>
      </c>
      <c r="E1288">
        <v>0.20001536019661</v>
      </c>
      <c r="F1288">
        <v>0.08543376827870401</v>
      </c>
      <c r="G1288">
        <v>0.8022780794924781</v>
      </c>
      <c r="H1288">
        <v>0.784184984299172</v>
      </c>
      <c r="I1288">
        <v>0.267902787357487</v>
      </c>
    </row>
    <row r="1289" spans="1:9">
      <c r="A1289" s="8" t="s">
        <v>1301</v>
      </c>
      <c r="B1289">
        <f>HYPERLINK("https://www.suredividend.com/sure-analysis-research-database/","Home Bancorp Inc")</f>
        <v>0</v>
      </c>
      <c r="C1289">
        <v>-0.018423191547006</v>
      </c>
      <c r="D1289">
        <v>0.026694627068691</v>
      </c>
      <c r="E1289">
        <v>-0.037265760355438</v>
      </c>
      <c r="F1289">
        <v>-0.114724215701366</v>
      </c>
      <c r="G1289">
        <v>0.085110652533971</v>
      </c>
      <c r="H1289">
        <v>0.115150097417887</v>
      </c>
      <c r="I1289">
        <v>0.196147763702214</v>
      </c>
    </row>
    <row r="1290" spans="1:9">
      <c r="A1290" s="8" t="s">
        <v>1302</v>
      </c>
      <c r="B1290">
        <f>HYPERLINK("https://www.suredividend.com/sure-analysis-research-database/","Hanesbrands Inc")</f>
        <v>0</v>
      </c>
      <c r="C1290">
        <v>0.153674832962138</v>
      </c>
      <c r="D1290">
        <v>-0.070017953321364</v>
      </c>
      <c r="E1290">
        <v>0.328205128205128</v>
      </c>
      <c r="F1290">
        <v>0.161434977578475</v>
      </c>
      <c r="G1290">
        <v>0.118790496760259</v>
      </c>
      <c r="H1290">
        <v>-0.5459645186172071</v>
      </c>
      <c r="I1290">
        <v>-0.625446499587846</v>
      </c>
    </row>
    <row r="1291" spans="1:9">
      <c r="A1291" s="8" t="s">
        <v>1303</v>
      </c>
      <c r="B1291">
        <f>HYPERLINK("https://www.suredividend.com/sure-analysis-research-database/","Harvard Bioscience Inc.")</f>
        <v>0</v>
      </c>
      <c r="C1291">
        <v>-0.216</v>
      </c>
      <c r="D1291">
        <v>-0.348115299334811</v>
      </c>
      <c r="E1291">
        <v>-0.403651115618661</v>
      </c>
      <c r="F1291">
        <v>-0.450467289719626</v>
      </c>
      <c r="G1291">
        <v>-0.4931034482758621</v>
      </c>
      <c r="H1291">
        <v>-0.317865429234338</v>
      </c>
      <c r="I1291">
        <v>0.477386934673366</v>
      </c>
    </row>
    <row r="1292" spans="1:9">
      <c r="A1292" s="8" t="s">
        <v>1304</v>
      </c>
      <c r="B1292">
        <f>HYPERLINK("https://www.suredividend.com/sure-analysis-research-database/","Howard Bancorp Inc")</f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</row>
    <row r="1293" spans="1:9">
      <c r="A1293" s="8" t="s">
        <v>1305</v>
      </c>
      <c r="B1293">
        <f>HYPERLINK("https://www.suredividend.com/sure-analysis-HBNC/","Horizon Bancorp Inc (IN)")</f>
        <v>0</v>
      </c>
      <c r="C1293">
        <v>-0.045124899274778</v>
      </c>
      <c r="D1293">
        <v>-0.03787601997320601</v>
      </c>
      <c r="E1293">
        <v>0.01873264500821</v>
      </c>
      <c r="F1293">
        <v>-0.141447439919433</v>
      </c>
      <c r="G1293">
        <v>0.21497339362062</v>
      </c>
      <c r="H1293">
        <v>-0.218095319789116</v>
      </c>
      <c r="I1293">
        <v>-0.006705783738474001</v>
      </c>
    </row>
    <row r="1294" spans="1:9">
      <c r="A1294" s="8" t="s">
        <v>1306</v>
      </c>
      <c r="B1294">
        <f>HYPERLINK("https://www.suredividend.com/sure-analysis-research-database/","Huttig Building Products, Inc.")</f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</row>
    <row r="1295" spans="1:9">
      <c r="A1295" s="8" t="s">
        <v>1307</v>
      </c>
      <c r="B1295">
        <f>HYPERLINK("https://www.suredividend.com/sure-analysis-research-database/","HCA Healthcare Inc")</f>
        <v>0</v>
      </c>
      <c r="C1295">
        <v>0.073111782477341</v>
      </c>
      <c r="D1295">
        <v>0.041499804163221</v>
      </c>
      <c r="E1295">
        <v>0.334539840032398</v>
      </c>
      <c r="F1295">
        <v>0.249199444701527</v>
      </c>
      <c r="G1295">
        <v>0.244476308702704</v>
      </c>
      <c r="H1295">
        <v>0.657731338854846</v>
      </c>
      <c r="I1295">
        <v>1.738536476893598</v>
      </c>
    </row>
    <row r="1296" spans="1:9">
      <c r="A1296" s="8" t="s">
        <v>1308</v>
      </c>
      <c r="B1296">
        <f>HYPERLINK("https://www.suredividend.com/sure-analysis-research-database/","Warrior Met Coal Inc")</f>
        <v>0</v>
      </c>
      <c r="C1296">
        <v>0.022851089588377</v>
      </c>
      <c r="D1296">
        <v>0.103418327616802</v>
      </c>
      <c r="E1296">
        <v>0.170213318513055</v>
      </c>
      <c r="F1296">
        <v>0.121269278814331</v>
      </c>
      <c r="G1296">
        <v>0.885260991079946</v>
      </c>
      <c r="H1296">
        <v>0.7882276994063051</v>
      </c>
      <c r="I1296">
        <v>1.877468134562824</v>
      </c>
    </row>
    <row r="1297" spans="1:9">
      <c r="A1297" s="8" t="s">
        <v>1309</v>
      </c>
      <c r="B1297">
        <f>HYPERLINK("https://www.suredividend.com/sure-analysis-research-database/","Heritage-Crystal Clean Inc")</f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</row>
    <row r="1298" spans="1:9">
      <c r="A1298" s="8" t="s">
        <v>1310</v>
      </c>
      <c r="B1298">
        <f>HYPERLINK("https://www.suredividend.com/sure-analysis-research-database/","HC2 Holdings Inc")</f>
        <v>0</v>
      </c>
      <c r="C1298">
        <v>0.051428571428571</v>
      </c>
      <c r="D1298">
        <v>-0.065989847715736</v>
      </c>
      <c r="E1298">
        <v>-0.0935960591133</v>
      </c>
      <c r="F1298">
        <v>0.128834355828221</v>
      </c>
      <c r="G1298">
        <v>0.46935516071072</v>
      </c>
      <c r="H1298">
        <v>0.517713531570916</v>
      </c>
      <c r="I1298">
        <v>0.277999652717485</v>
      </c>
    </row>
    <row r="1299" spans="1:9">
      <c r="A1299" s="8" t="s">
        <v>1311</v>
      </c>
      <c r="B1299">
        <f>HYPERLINK("https://www.suredividend.com/sure-analysis-research-database/","HCI Group Inc")</f>
        <v>0</v>
      </c>
      <c r="C1299">
        <v>-0.137433807087871</v>
      </c>
      <c r="D1299">
        <v>-0.029972101325718</v>
      </c>
      <c r="E1299">
        <v>0.09759378953816501</v>
      </c>
      <c r="F1299">
        <v>0.105756253763331</v>
      </c>
      <c r="G1299">
        <v>0.685432769060897</v>
      </c>
      <c r="H1299">
        <v>0.514880947677661</v>
      </c>
      <c r="I1299">
        <v>1.64521647948343</v>
      </c>
    </row>
    <row r="1300" spans="1:9">
      <c r="A1300" s="8" t="s">
        <v>1312</v>
      </c>
      <c r="B1300">
        <f>HYPERLINK("https://www.suredividend.com/sure-analysis-research-database/","Hackett Group Inc (The)")</f>
        <v>0</v>
      </c>
      <c r="C1300">
        <v>-0.005405405405405001</v>
      </c>
      <c r="D1300">
        <v>-0.09617840652323401</v>
      </c>
      <c r="E1300">
        <v>0.008905602441843</v>
      </c>
      <c r="F1300">
        <v>-0.021554169030062</v>
      </c>
      <c r="G1300">
        <v>0.106556144694243</v>
      </c>
      <c r="H1300">
        <v>0.120220797142625</v>
      </c>
      <c r="I1300">
        <v>0.4720686965391711</v>
      </c>
    </row>
    <row r="1301" spans="1:9">
      <c r="A1301" s="8" t="s">
        <v>1313</v>
      </c>
      <c r="B1301">
        <f>HYPERLINK("https://www.suredividend.com/sure-analysis-research-database/","HashiCorp Inc")</f>
        <v>0</v>
      </c>
      <c r="C1301">
        <v>0.029878048780487</v>
      </c>
      <c r="D1301">
        <v>0.283434650455927</v>
      </c>
      <c r="E1301">
        <v>0.356626506024096</v>
      </c>
      <c r="F1301">
        <v>0.4289340101522841</v>
      </c>
      <c r="G1301">
        <v>-0.028472821397756</v>
      </c>
      <c r="H1301">
        <v>-0.118705974432559</v>
      </c>
      <c r="I1301">
        <v>-0.603474586219039</v>
      </c>
    </row>
    <row r="1302" spans="1:9">
      <c r="A1302" s="8" t="s">
        <v>1314</v>
      </c>
      <c r="B1302">
        <f>HYPERLINK("https://www.suredividend.com/sure-analysis-research-database/","Healthcare Services Group, Inc.")</f>
        <v>0</v>
      </c>
      <c r="C1302">
        <v>-0.036044362292051</v>
      </c>
      <c r="D1302">
        <v>-0.177444794952681</v>
      </c>
      <c r="E1302">
        <v>0.05141129032258</v>
      </c>
      <c r="F1302">
        <v>0.005785920925747001</v>
      </c>
      <c r="G1302">
        <v>-0.262376237623762</v>
      </c>
      <c r="H1302">
        <v>-0.390058479532163</v>
      </c>
      <c r="I1302">
        <v>-0.63814499873368</v>
      </c>
    </row>
    <row r="1303" spans="1:9">
      <c r="A1303" s="8" t="s">
        <v>1315</v>
      </c>
      <c r="B1303">
        <f>HYPERLINK("https://www.suredividend.com/sure-analysis-HD/","Home Depot, Inc.")</f>
        <v>0</v>
      </c>
      <c r="C1303">
        <v>-0.033422199102672</v>
      </c>
      <c r="D1303">
        <v>-0.125472255143997</v>
      </c>
      <c r="E1303">
        <v>0.015645089759882</v>
      </c>
      <c r="F1303">
        <v>-0.044083301521083</v>
      </c>
      <c r="G1303">
        <v>0.112452886669478</v>
      </c>
      <c r="H1303">
        <v>0.14254630294404</v>
      </c>
      <c r="I1303">
        <v>0.871928344348267</v>
      </c>
    </row>
    <row r="1304" spans="1:9">
      <c r="A1304" s="8" t="s">
        <v>1316</v>
      </c>
      <c r="B1304">
        <f>HYPERLINK("https://www.suredividend.com/sure-analysis-research-database/","HD Supply Holdings Inc")</f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</row>
    <row r="1305" spans="1:9">
      <c r="A1305" s="8" t="s">
        <v>1317</v>
      </c>
      <c r="B1305">
        <f>HYPERLINK("https://www.suredividend.com/sure-analysis-research-database/","Hudson Technologies, Inc.")</f>
        <v>0</v>
      </c>
      <c r="C1305">
        <v>-0.003184713375796</v>
      </c>
      <c r="D1305">
        <v>-0.189818809318377</v>
      </c>
      <c r="E1305">
        <v>-0.276021588280647</v>
      </c>
      <c r="F1305">
        <v>-0.303928836174944</v>
      </c>
      <c r="G1305">
        <v>-0.036923076923076</v>
      </c>
      <c r="H1305">
        <v>-0.03295571575695101</v>
      </c>
      <c r="I1305">
        <v>5.058064516129033</v>
      </c>
    </row>
    <row r="1306" spans="1:9">
      <c r="A1306" s="8" t="s">
        <v>1318</v>
      </c>
      <c r="B1306">
        <f>HYPERLINK("https://www.suredividend.com/sure-analysis-research-database/","Hawaiian Electric Industries, Inc.")</f>
        <v>0</v>
      </c>
      <c r="C1306">
        <v>0.04259634888438101</v>
      </c>
      <c r="D1306">
        <v>-0.125106382978723</v>
      </c>
      <c r="E1306">
        <v>-0.227648384673178</v>
      </c>
      <c r="F1306">
        <v>-0.275546159267089</v>
      </c>
      <c r="G1306">
        <v>-0.72371087471847</v>
      </c>
      <c r="H1306">
        <v>-0.7495370821557351</v>
      </c>
      <c r="I1306">
        <v>-0.718491134387622</v>
      </c>
    </row>
    <row r="1307" spans="1:9">
      <c r="A1307" s="8" t="s">
        <v>1319</v>
      </c>
      <c r="B1307">
        <f>HYPERLINK("https://www.suredividend.com/sure-analysis-research-database/","Turtle Beach Corp")</f>
        <v>0</v>
      </c>
      <c r="C1307">
        <v>0.04860639021074</v>
      </c>
      <c r="D1307">
        <v>0.5004863813229571</v>
      </c>
      <c r="E1307">
        <v>0.353070175438596</v>
      </c>
      <c r="F1307">
        <v>0.4086757990867581</v>
      </c>
      <c r="G1307">
        <v>0.312765957446808</v>
      </c>
      <c r="H1307">
        <v>-0.065717746820109</v>
      </c>
      <c r="I1307">
        <v>0.595139607032058</v>
      </c>
    </row>
    <row r="1308" spans="1:9">
      <c r="A1308" s="8" t="s">
        <v>1320</v>
      </c>
      <c r="B1308">
        <f>HYPERLINK("https://www.suredividend.com/sure-analysis-research-database/","H&amp;E Equipment Services Inc")</f>
        <v>0</v>
      </c>
      <c r="C1308">
        <v>-0.052177591988027</v>
      </c>
      <c r="D1308">
        <v>-0.219431188430316</v>
      </c>
      <c r="E1308">
        <v>-0.001454687375264</v>
      </c>
      <c r="F1308">
        <v>-0.120354905442547</v>
      </c>
      <c r="G1308">
        <v>0.09314954761621501</v>
      </c>
      <c r="H1308">
        <v>0.32276608807278</v>
      </c>
      <c r="I1308">
        <v>1.067996344381323</v>
      </c>
    </row>
    <row r="1309" spans="1:9">
      <c r="A1309" s="8" t="s">
        <v>1321</v>
      </c>
      <c r="B1309">
        <f>HYPERLINK("https://www.suredividend.com/sure-analysis-HEI/","Heico Corp.")</f>
        <v>0</v>
      </c>
      <c r="C1309">
        <v>0.067651856827559</v>
      </c>
      <c r="D1309">
        <v>0.181104033970276</v>
      </c>
      <c r="E1309">
        <v>0.252715615202603</v>
      </c>
      <c r="F1309">
        <v>0.244732040270874</v>
      </c>
      <c r="G1309">
        <v>0.362935051110064</v>
      </c>
      <c r="H1309">
        <v>0.475444184819077</v>
      </c>
      <c r="I1309">
        <v>0.7501567134303211</v>
      </c>
    </row>
    <row r="1310" spans="1:9">
      <c r="A1310" s="8" t="s">
        <v>1322</v>
      </c>
      <c r="B1310">
        <f>HYPERLINK("https://www.suredividend.com/sure-analysis-research-database/","Helen of Troy Ltd")</f>
        <v>0</v>
      </c>
      <c r="C1310">
        <v>0.030596634370219</v>
      </c>
      <c r="D1310">
        <v>-0.172264089121887</v>
      </c>
      <c r="E1310">
        <v>-0.08469202898550701</v>
      </c>
      <c r="F1310">
        <v>-0.163562618988494</v>
      </c>
      <c r="G1310">
        <v>-0.005804801259346</v>
      </c>
      <c r="H1310">
        <v>-0.432271475925613</v>
      </c>
      <c r="I1310">
        <v>-0.227800703041418</v>
      </c>
    </row>
    <row r="1311" spans="1:9">
      <c r="A1311" s="8" t="s">
        <v>1323</v>
      </c>
      <c r="B1311">
        <f>HYPERLINK("https://www.suredividend.com/sure-analysis-research-database/","Hepion Pharmaceuticals Inc")</f>
        <v>0</v>
      </c>
      <c r="C1311">
        <v>-0.197080291970802</v>
      </c>
      <c r="D1311">
        <v>-0.5132743362831851</v>
      </c>
      <c r="E1311">
        <v>-0.6405228758169931</v>
      </c>
      <c r="F1311">
        <v>-0.6604938271604931</v>
      </c>
      <c r="G1311">
        <v>-0.9088649544324771</v>
      </c>
      <c r="H1311">
        <v>-0.923611111111111</v>
      </c>
      <c r="I1311">
        <v>-0.8621553884711771</v>
      </c>
    </row>
    <row r="1312" spans="1:9">
      <c r="A1312" s="8" t="s">
        <v>1324</v>
      </c>
      <c r="B1312">
        <f>HYPERLINK("https://www.suredividend.com/sure-analysis-research-database/","Hess Corporation")</f>
        <v>0</v>
      </c>
      <c r="C1312">
        <v>-0.06908953246261601</v>
      </c>
      <c r="D1312">
        <v>0.025217686777026</v>
      </c>
      <c r="E1312">
        <v>0.122464583480735</v>
      </c>
      <c r="F1312">
        <v>0.026426624479794</v>
      </c>
      <c r="G1312">
        <v>0.08912053184869201</v>
      </c>
      <c r="H1312">
        <v>0.170678293574123</v>
      </c>
      <c r="I1312">
        <v>1.815299628862832</v>
      </c>
    </row>
    <row r="1313" spans="1:9">
      <c r="A1313" s="8" t="s">
        <v>1325</v>
      </c>
      <c r="B1313">
        <f>HYPERLINK("https://www.suredividend.com/sure-analysis-research-database/","Home Federal Bancorp Inc (Louisiana)")</f>
        <v>0</v>
      </c>
      <c r="C1313">
        <v>0.001737619461337</v>
      </c>
      <c r="D1313">
        <v>-0.061716740991504</v>
      </c>
      <c r="E1313">
        <v>-0.09358908847922601</v>
      </c>
      <c r="F1313">
        <v>-0.181445143335841</v>
      </c>
      <c r="G1313">
        <v>-0.129509112597581</v>
      </c>
      <c r="H1313">
        <v>-0.363187486882656</v>
      </c>
      <c r="I1313">
        <v>-0.248884401159571</v>
      </c>
    </row>
    <row r="1314" spans="1:9">
      <c r="A1314" s="8" t="s">
        <v>1326</v>
      </c>
      <c r="B1314">
        <f>HYPERLINK("https://www.suredividend.com/sure-analysis-research-database/","Heritage Financial Corp.")</f>
        <v>0</v>
      </c>
      <c r="C1314">
        <v>-0.07211538461538401</v>
      </c>
      <c r="D1314">
        <v>-0.082811023164698</v>
      </c>
      <c r="E1314">
        <v>-0.08963695539378301</v>
      </c>
      <c r="F1314">
        <v>-0.1573074590661</v>
      </c>
      <c r="G1314">
        <v>0.05568960173091701</v>
      </c>
      <c r="H1314">
        <v>-0.240396725440806</v>
      </c>
      <c r="I1314">
        <v>-0.242037466127321</v>
      </c>
    </row>
    <row r="1315" spans="1:9">
      <c r="A1315" s="8" t="s">
        <v>1327</v>
      </c>
      <c r="B1315">
        <f>HYPERLINK("https://www.suredividend.com/sure-analysis-research-database/","Hilton Grand Vacations Inc")</f>
        <v>0</v>
      </c>
      <c r="C1315">
        <v>-0.08149829738933001</v>
      </c>
      <c r="D1315">
        <v>-0.09948809258847001</v>
      </c>
      <c r="E1315">
        <v>0.04412903225806401</v>
      </c>
      <c r="F1315">
        <v>0.006968641114982001</v>
      </c>
      <c r="G1315">
        <v>-0.137497335322958</v>
      </c>
      <c r="H1315">
        <v>-0.1611030478955</v>
      </c>
      <c r="I1315">
        <v>0.465942028985507</v>
      </c>
    </row>
    <row r="1316" spans="1:9">
      <c r="A1316" s="8" t="s">
        <v>1328</v>
      </c>
      <c r="B1316">
        <f>HYPERLINK("https://www.suredividend.com/sure-analysis-research-database/","Howard Hughes Corporation")</f>
        <v>0</v>
      </c>
      <c r="C1316">
        <v>-0.05332851811725001</v>
      </c>
      <c r="D1316">
        <v>0.03870030379078</v>
      </c>
      <c r="E1316">
        <v>-0.09411358138463301</v>
      </c>
      <c r="F1316">
        <v>0.02904998691442</v>
      </c>
      <c r="G1316">
        <v>0.07153563155743201</v>
      </c>
      <c r="H1316">
        <v>-0.133348027330835</v>
      </c>
      <c r="I1316">
        <v>-0.383215686274509</v>
      </c>
    </row>
    <row r="1317" spans="1:9">
      <c r="A1317" s="8" t="s">
        <v>1329</v>
      </c>
      <c r="B1317">
        <f>HYPERLINK("https://www.suredividend.com/sure-analysis-research-database/","Harte-Hanks, Inc.")</f>
        <v>0</v>
      </c>
      <c r="C1317">
        <v>0.045649072753209</v>
      </c>
      <c r="D1317">
        <v>-0.05297157622739</v>
      </c>
      <c r="E1317">
        <v>0.039716312056737</v>
      </c>
      <c r="F1317">
        <v>0.079528718703976</v>
      </c>
      <c r="G1317">
        <v>0.154330708661417</v>
      </c>
      <c r="H1317">
        <v>-0.278188084687346</v>
      </c>
      <c r="I1317">
        <v>1.655797101449275</v>
      </c>
    </row>
    <row r="1318" spans="1:9">
      <c r="A1318" s="8" t="s">
        <v>1330</v>
      </c>
      <c r="B1318">
        <f>HYPERLINK("https://www.suredividend.com/sure-analysis-HI/","Hillenbrand Inc")</f>
        <v>0</v>
      </c>
      <c r="C1318">
        <v>-0.03843590313263701</v>
      </c>
      <c r="D1318">
        <v>-0.112634704020207</v>
      </c>
      <c r="E1318">
        <v>0.09256234648464001</v>
      </c>
      <c r="F1318">
        <v>-0.091308008373067</v>
      </c>
      <c r="G1318">
        <v>-0.178350055529715</v>
      </c>
      <c r="H1318">
        <v>0.026718888258919</v>
      </c>
      <c r="I1318">
        <v>0.253319356081118</v>
      </c>
    </row>
    <row r="1319" spans="1:9">
      <c r="A1319" s="8" t="s">
        <v>1331</v>
      </c>
      <c r="B1319">
        <f>HYPERLINK("https://www.suredividend.com/sure-analysis-research-database/","Hibbett Inc")</f>
        <v>0</v>
      </c>
      <c r="C1319">
        <v>-0.001740139211136</v>
      </c>
      <c r="D1319">
        <v>0.120506904041377</v>
      </c>
      <c r="E1319">
        <v>0.354346026359776</v>
      </c>
      <c r="F1319">
        <v>0.202964843509721</v>
      </c>
      <c r="G1319">
        <v>1.287328915505724</v>
      </c>
      <c r="H1319">
        <v>0.787309170214975</v>
      </c>
      <c r="I1319">
        <v>3.242699155404572</v>
      </c>
    </row>
    <row r="1320" spans="1:9">
      <c r="A1320" s="8" t="s">
        <v>1332</v>
      </c>
      <c r="B1320">
        <f>HYPERLINK("https://www.suredividend.com/sure-analysis-HIFS/","Hingham Institution For Savings")</f>
        <v>0</v>
      </c>
      <c r="C1320">
        <v>-0.042685314685314</v>
      </c>
      <c r="D1320">
        <v>-0.003720909110492</v>
      </c>
      <c r="E1320">
        <v>-0.0007311153830880001</v>
      </c>
      <c r="F1320">
        <v>-0.113444587955342</v>
      </c>
      <c r="G1320">
        <v>-0.231676894810855</v>
      </c>
      <c r="H1320">
        <v>-0.435970339001207</v>
      </c>
      <c r="I1320">
        <v>-0.019557288175214</v>
      </c>
    </row>
    <row r="1321" spans="1:9">
      <c r="A1321" s="8" t="s">
        <v>1333</v>
      </c>
      <c r="B1321">
        <f>HYPERLINK("https://www.suredividend.com/sure-analysis-HIG/","Hartford Financial Services Group Inc.")</f>
        <v>0</v>
      </c>
      <c r="C1321">
        <v>0.019833408670555</v>
      </c>
      <c r="D1321">
        <v>0.04379055879278401</v>
      </c>
      <c r="E1321">
        <v>0.300416107365242</v>
      </c>
      <c r="F1321">
        <v>0.266603367896471</v>
      </c>
      <c r="G1321">
        <v>0.435724118883936</v>
      </c>
      <c r="H1321">
        <v>0.4362946020388681</v>
      </c>
      <c r="I1321">
        <v>1.064432398794707</v>
      </c>
    </row>
    <row r="1322" spans="1:9">
      <c r="A1322" s="8" t="s">
        <v>1334</v>
      </c>
      <c r="B1322">
        <f>HYPERLINK("https://www.suredividend.com/sure-analysis-HII/","Huntington Ingalls Industries Inc")</f>
        <v>0</v>
      </c>
      <c r="C1322">
        <v>0.007789838149461</v>
      </c>
      <c r="D1322">
        <v>-0.141660909045194</v>
      </c>
      <c r="E1322">
        <v>0.026312830825378</v>
      </c>
      <c r="F1322">
        <v>-0.030805309355931</v>
      </c>
      <c r="G1322">
        <v>0.186076628326961</v>
      </c>
      <c r="H1322">
        <v>0.203582203732404</v>
      </c>
      <c r="I1322">
        <v>0.274576291991051</v>
      </c>
    </row>
    <row r="1323" spans="1:9">
      <c r="A1323" s="8" t="s">
        <v>1335</v>
      </c>
      <c r="B1323">
        <f>HYPERLINK("https://www.suredividend.com/sure-analysis-research-database/","Hill International Inc")</f>
        <v>0</v>
      </c>
      <c r="C1323">
        <v>0.005934718100890001</v>
      </c>
      <c r="D1323">
        <v>0.005934718100890001</v>
      </c>
      <c r="E1323">
        <v>1.092592592592592</v>
      </c>
      <c r="F1323">
        <v>0.7384615384615381</v>
      </c>
      <c r="G1323">
        <v>0.7384615384615381</v>
      </c>
      <c r="H1323">
        <v>0.82258064516129</v>
      </c>
      <c r="I1323">
        <v>-0.3836363636363631</v>
      </c>
    </row>
    <row r="1324" spans="1:9">
      <c r="A1324" s="8" t="s">
        <v>1336</v>
      </c>
      <c r="B1324">
        <f>HYPERLINK("https://www.suredividend.com/sure-analysis-HIW/","Highwoods Properties, Inc.")</f>
        <v>0</v>
      </c>
      <c r="C1324">
        <v>-0.034266122699151</v>
      </c>
      <c r="D1324">
        <v>0.05065744233053401</v>
      </c>
      <c r="E1324">
        <v>0.23542095462119</v>
      </c>
      <c r="F1324">
        <v>0.142870095428066</v>
      </c>
      <c r="G1324">
        <v>0.199373908741014</v>
      </c>
      <c r="H1324">
        <v>-0.240667224896235</v>
      </c>
      <c r="I1324">
        <v>-0.233083575941761</v>
      </c>
    </row>
    <row r="1325" spans="1:9">
      <c r="A1325" s="8" t="s">
        <v>1337</v>
      </c>
      <c r="B1325">
        <f>HYPERLINK("https://www.suredividend.com/sure-analysis-research-database/","Hecla Mining Co.")</f>
        <v>0</v>
      </c>
      <c r="C1325">
        <v>0.07125662012518001</v>
      </c>
      <c r="D1325">
        <v>0.296336756244993</v>
      </c>
      <c r="E1325">
        <v>0.117716008037508</v>
      </c>
      <c r="F1325">
        <v>0.113056528264132</v>
      </c>
      <c r="G1325">
        <v>-0.007527181488709</v>
      </c>
      <c r="H1325">
        <v>0.09189056557477601</v>
      </c>
      <c r="I1325">
        <v>2.72177306941734</v>
      </c>
    </row>
    <row r="1326" spans="1:9">
      <c r="A1326" s="8" t="s">
        <v>1338</v>
      </c>
      <c r="B1326">
        <f>HYPERLINK("https://www.suredividend.com/sure-analysis-research-database/","Herbalife Ltd")</f>
        <v>0</v>
      </c>
      <c r="C1326">
        <v>0.116302186878727</v>
      </c>
      <c r="D1326">
        <v>0.302784222737819</v>
      </c>
      <c r="E1326">
        <v>-0.208039492242595</v>
      </c>
      <c r="F1326">
        <v>-0.264089121887286</v>
      </c>
      <c r="G1326">
        <v>-0.124707716289945</v>
      </c>
      <c r="H1326">
        <v>-0.503975265017667</v>
      </c>
      <c r="I1326">
        <v>-0.740945790080738</v>
      </c>
    </row>
    <row r="1327" spans="1:9">
      <c r="A1327" s="8" t="s">
        <v>1339</v>
      </c>
      <c r="B1327">
        <f>HYPERLINK("https://www.suredividend.com/sure-analysis-HLI/","Houlihan Lokey Inc")</f>
        <v>0</v>
      </c>
      <c r="C1327">
        <v>-0.02322578618093</v>
      </c>
      <c r="D1327">
        <v>0.056754952147785</v>
      </c>
      <c r="E1327">
        <v>0.170209619612415</v>
      </c>
      <c r="F1327">
        <v>0.098187574172027</v>
      </c>
      <c r="G1327">
        <v>0.450713301631038</v>
      </c>
      <c r="H1327">
        <v>0.5904124572767731</v>
      </c>
      <c r="I1327">
        <v>2.144560178216629</v>
      </c>
    </row>
    <row r="1328" spans="1:9">
      <c r="A1328" s="8" t="s">
        <v>1340</v>
      </c>
      <c r="B1328">
        <f>HYPERLINK("https://www.suredividend.com/sure-analysis-research-database/","Helios Technologies Inc")</f>
        <v>0</v>
      </c>
      <c r="C1328">
        <v>-0.024793388429751</v>
      </c>
      <c r="D1328">
        <v>0.06696807007629201</v>
      </c>
      <c r="E1328">
        <v>0.178079730040034</v>
      </c>
      <c r="F1328">
        <v>0.04507552441978301</v>
      </c>
      <c r="G1328">
        <v>-0.216574105118493</v>
      </c>
      <c r="H1328">
        <v>-0.342890197230393</v>
      </c>
      <c r="I1328">
        <v>0.04865585425461001</v>
      </c>
    </row>
    <row r="1329" spans="1:9">
      <c r="A1329" s="8" t="s">
        <v>1341</v>
      </c>
      <c r="B1329">
        <f>HYPERLINK("https://www.suredividend.com/sure-analysis-research-database/","Harmonic, Inc.")</f>
        <v>0</v>
      </c>
      <c r="C1329">
        <v>0.05898617511520701</v>
      </c>
      <c r="D1329">
        <v>-0.111368909512761</v>
      </c>
      <c r="E1329">
        <v>0.112294288480155</v>
      </c>
      <c r="F1329">
        <v>-0.118865030674846</v>
      </c>
      <c r="G1329">
        <v>-0.363434903047091</v>
      </c>
      <c r="H1329">
        <v>0.162955465587044</v>
      </c>
      <c r="I1329">
        <v>1.108256880733944</v>
      </c>
    </row>
    <row r="1330" spans="1:9">
      <c r="A1330" s="8" t="s">
        <v>1342</v>
      </c>
      <c r="B1330">
        <f>HYPERLINK("https://www.suredividend.com/sure-analysis-research-database/","Hamilton Lane Inc")</f>
        <v>0</v>
      </c>
      <c r="C1330">
        <v>0.008934649421375</v>
      </c>
      <c r="D1330">
        <v>0.099163923469193</v>
      </c>
      <c r="E1330">
        <v>0.186757400844152</v>
      </c>
      <c r="F1330">
        <v>0.05391433579486601</v>
      </c>
      <c r="G1330">
        <v>0.6139394714848461</v>
      </c>
      <c r="H1330">
        <v>0.802548225804244</v>
      </c>
      <c r="I1330">
        <v>1.514324247526389</v>
      </c>
    </row>
    <row r="1331" spans="1:9">
      <c r="A1331" s="8" t="s">
        <v>1343</v>
      </c>
      <c r="B1331">
        <f>HYPERLINK("https://www.suredividend.com/sure-analysis-research-database/","Hilton Worldwide Holdings Inc")</f>
        <v>0</v>
      </c>
      <c r="C1331">
        <v>0.013110607345227</v>
      </c>
      <c r="D1331">
        <v>-0.012743316680477</v>
      </c>
      <c r="E1331">
        <v>0.188059234901135</v>
      </c>
      <c r="F1331">
        <v>0.111982549716916</v>
      </c>
      <c r="G1331">
        <v>0.422334406872904</v>
      </c>
      <c r="H1331">
        <v>0.416716242625795</v>
      </c>
      <c r="I1331">
        <v>1.215270663386894</v>
      </c>
    </row>
    <row r="1332" spans="1:9">
      <c r="A1332" s="8" t="s">
        <v>1344</v>
      </c>
      <c r="B1332">
        <f>HYPERLINK("https://www.suredividend.com/sure-analysis-research-database/","Helix Energy Solutions Group Inc")</f>
        <v>0</v>
      </c>
      <c r="C1332">
        <v>-0.09410729991204901</v>
      </c>
      <c r="D1332">
        <v>0.07515657620041701</v>
      </c>
      <c r="E1332">
        <v>0.136865342163355</v>
      </c>
      <c r="F1332">
        <v>0.001945525291829</v>
      </c>
      <c r="G1332">
        <v>0.414835164835164</v>
      </c>
      <c r="H1332">
        <v>1.168421052631579</v>
      </c>
      <c r="I1332">
        <v>0.332470892626131</v>
      </c>
    </row>
    <row r="1333" spans="1:9">
      <c r="A1333" s="8" t="s">
        <v>1345</v>
      </c>
      <c r="B1333">
        <f>HYPERLINK("https://www.suredividend.com/sure-analysis-research-database/","Houghton Mifflin Harcourt Co")</f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</row>
    <row r="1334" spans="1:9">
      <c r="A1334" s="8" t="s">
        <v>1346</v>
      </c>
      <c r="B1334">
        <f>HYPERLINK("https://www.suredividend.com/sure-analysis-HMN/","Horace Mann Educators Corp.")</f>
        <v>0</v>
      </c>
      <c r="C1334">
        <v>-0.117268041237113</v>
      </c>
      <c r="D1334">
        <v>-0.018053480964572</v>
      </c>
      <c r="E1334">
        <v>0.049856698392263</v>
      </c>
      <c r="F1334">
        <v>0.057617781565644</v>
      </c>
      <c r="G1334">
        <v>0.116005969410031</v>
      </c>
      <c r="H1334">
        <v>-0.018666819477672</v>
      </c>
      <c r="I1334">
        <v>-0.023941225587843</v>
      </c>
    </row>
    <row r="1335" spans="1:9">
      <c r="A1335" s="8" t="s">
        <v>1347</v>
      </c>
      <c r="B1335">
        <f>HYPERLINK("https://www.suredividend.com/sure-analysis-research-database/","HMN Financial Inc.")</f>
        <v>0</v>
      </c>
      <c r="C1335">
        <v>0.151551662552712</v>
      </c>
      <c r="D1335">
        <v>0.06905818943117201</v>
      </c>
      <c r="E1335">
        <v>0.113769490966092</v>
      </c>
      <c r="F1335">
        <v>-0.04554854446153001</v>
      </c>
      <c r="G1335">
        <v>0.190331860113963</v>
      </c>
      <c r="H1335">
        <v>-0.01308124260382</v>
      </c>
      <c r="I1335">
        <v>0.08111895812165601</v>
      </c>
    </row>
    <row r="1336" spans="1:9">
      <c r="A1336" s="8" t="s">
        <v>1348</v>
      </c>
      <c r="B1336">
        <f>HYPERLINK("https://www.suredividend.com/sure-analysis-research-database/","HomeStreet Inc")</f>
        <v>0</v>
      </c>
      <c r="C1336">
        <v>-0.176526717557251</v>
      </c>
      <c r="D1336">
        <v>-0.429232804232804</v>
      </c>
      <c r="E1336">
        <v>0.172554347826086</v>
      </c>
      <c r="F1336">
        <v>-0.162135922330097</v>
      </c>
      <c r="G1336">
        <v>0.349027699618583</v>
      </c>
      <c r="H1336">
        <v>-0.753641847200851</v>
      </c>
      <c r="I1336">
        <v>-0.64886011775189</v>
      </c>
    </row>
    <row r="1337" spans="1:9">
      <c r="A1337" s="8" t="s">
        <v>1349</v>
      </c>
      <c r="B1337">
        <f>HYPERLINK("https://www.suredividend.com/sure-analysis-research-database/","HMS Holdings Corp")</f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</row>
    <row r="1338" spans="1:9">
      <c r="A1338" s="8" t="s">
        <v>1350</v>
      </c>
      <c r="B1338">
        <f>HYPERLINK("https://www.suredividend.com/sure-analysis-research-database/","Hemisphere Media Group Inc")</f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</row>
    <row r="1339" spans="1:9">
      <c r="A1339" s="8" t="s">
        <v>1351</v>
      </c>
      <c r="B1339">
        <f>HYPERLINK("https://www.suredividend.com/sure-analysis-research-database/","Hanger Inc")</f>
        <v>0</v>
      </c>
      <c r="C1339">
        <v>0.003215434083601</v>
      </c>
      <c r="D1339">
        <v>0.277815699658702</v>
      </c>
      <c r="E1339">
        <v>0.026878771256171</v>
      </c>
      <c r="F1339">
        <v>0.03254274682846101</v>
      </c>
      <c r="G1339">
        <v>-0.162041181736795</v>
      </c>
      <c r="H1339">
        <v>0.167810355583281</v>
      </c>
      <c r="I1339">
        <v>0.4534161490683221</v>
      </c>
    </row>
    <row r="1340" spans="1:9">
      <c r="A1340" s="8" t="s">
        <v>1352</v>
      </c>
      <c r="B1340">
        <f>HYPERLINK("https://www.suredividend.com/sure-analysis-HNI/","HNI Corp.")</f>
        <v>0</v>
      </c>
      <c r="C1340">
        <v>-0.002291118810875</v>
      </c>
      <c r="D1340">
        <v>0.034806488845394</v>
      </c>
      <c r="E1340">
        <v>0.105610849994622</v>
      </c>
      <c r="F1340">
        <v>0.07257082122040101</v>
      </c>
      <c r="G1340">
        <v>0.676992946764959</v>
      </c>
      <c r="H1340">
        <v>0.211340559354317</v>
      </c>
      <c r="I1340">
        <v>0.4878748300052511</v>
      </c>
    </row>
    <row r="1341" spans="1:9">
      <c r="A1341" s="8" t="s">
        <v>1353</v>
      </c>
      <c r="B1341">
        <f>HYPERLINK("https://www.suredividend.com/sure-analysis-research-database/","Hallador Energy Co")</f>
        <v>0</v>
      </c>
      <c r="C1341">
        <v>0.506398537477148</v>
      </c>
      <c r="D1341">
        <v>-0.064699205448354</v>
      </c>
      <c r="E1341">
        <v>-0.294520547945205</v>
      </c>
      <c r="F1341">
        <v>-0.06787330316742</v>
      </c>
      <c r="G1341">
        <v>0.007334963325183</v>
      </c>
      <c r="H1341">
        <v>0.59073359073359</v>
      </c>
      <c r="I1341">
        <v>0.518586093142404</v>
      </c>
    </row>
    <row r="1342" spans="1:9">
      <c r="A1342" s="8" t="s">
        <v>1354</v>
      </c>
      <c r="B1342">
        <f>HYPERLINK("https://www.suredividend.com/sure-analysis-research-database/","Hooker Furnishings Corporation")</f>
        <v>0</v>
      </c>
      <c r="C1342">
        <v>-0.157029478458049</v>
      </c>
      <c r="D1342">
        <v>-0.3501300176998881</v>
      </c>
      <c r="E1342">
        <v>-0.302552461000159</v>
      </c>
      <c r="F1342">
        <v>-0.418156491252783</v>
      </c>
      <c r="G1342">
        <v>-0.049159782080466</v>
      </c>
      <c r="H1342">
        <v>-0.032845528455284</v>
      </c>
      <c r="I1342">
        <v>-0.296624079391132</v>
      </c>
    </row>
    <row r="1343" spans="1:9">
      <c r="A1343" s="8" t="s">
        <v>1355</v>
      </c>
      <c r="B1343">
        <f>HYPERLINK("https://www.suredividend.com/sure-analysis-HOG/","Harley-Davidson, Inc.")</f>
        <v>0</v>
      </c>
      <c r="C1343">
        <v>-0.03248508050895101</v>
      </c>
      <c r="D1343">
        <v>-0.11616388898175</v>
      </c>
      <c r="E1343">
        <v>0.07363640055353</v>
      </c>
      <c r="F1343">
        <v>-0.05794320798158101</v>
      </c>
      <c r="G1343">
        <v>-0.007782999803693001</v>
      </c>
      <c r="H1343">
        <v>0.015809026720772</v>
      </c>
      <c r="I1343">
        <v>0.09073022119259901</v>
      </c>
    </row>
    <row r="1344" spans="1:9">
      <c r="A1344" s="8" t="s">
        <v>1356</v>
      </c>
      <c r="B1344">
        <f>HYPERLINK("https://www.suredividend.com/sure-analysis-research-database/","Hologic, Inc.")</f>
        <v>0</v>
      </c>
      <c r="C1344">
        <v>-0.02089356110381</v>
      </c>
      <c r="D1344">
        <v>-0.023715932914045</v>
      </c>
      <c r="E1344">
        <v>0.076422999133198</v>
      </c>
      <c r="F1344">
        <v>0.042827151854443</v>
      </c>
      <c r="G1344">
        <v>-0.054681552905353</v>
      </c>
      <c r="H1344">
        <v>-0.027538501696684</v>
      </c>
      <c r="I1344">
        <v>0.5853191489361701</v>
      </c>
    </row>
    <row r="1345" spans="1:9">
      <c r="A1345" s="8" t="s">
        <v>1357</v>
      </c>
      <c r="B1345">
        <f>HYPERLINK("https://www.suredividend.com/sure-analysis-HOMB/","Home Bancshares Inc")</f>
        <v>0</v>
      </c>
      <c r="C1345">
        <v>-0.0615823817292</v>
      </c>
      <c r="D1345">
        <v>-0.029764841308995</v>
      </c>
      <c r="E1345">
        <v>-0.013348312486868</v>
      </c>
      <c r="F1345">
        <v>-0.07800679574304301</v>
      </c>
      <c r="G1345">
        <v>-0.008732288790188001</v>
      </c>
      <c r="H1345">
        <v>0.08482982645551501</v>
      </c>
      <c r="I1345">
        <v>0.4496771145062211</v>
      </c>
    </row>
    <row r="1346" spans="1:9">
      <c r="A1346" s="8" t="s">
        <v>1358</v>
      </c>
      <c r="B1346">
        <f>HYPERLINK("https://www.suredividend.com/sure-analysis-research-database/","At Home Group Inc")</f>
        <v>0</v>
      </c>
      <c r="C1346">
        <v>0.005709624796084001</v>
      </c>
      <c r="D1346">
        <v>0.181411689556052</v>
      </c>
      <c r="E1346">
        <v>0.4754686876745111</v>
      </c>
      <c r="F1346">
        <v>1.392626131953428</v>
      </c>
      <c r="G1346">
        <v>3.28125</v>
      </c>
      <c r="H1346">
        <v>5.124172185430464</v>
      </c>
      <c r="I1346">
        <v>1.466</v>
      </c>
    </row>
    <row r="1347" spans="1:9">
      <c r="A1347" s="8" t="s">
        <v>1359</v>
      </c>
      <c r="B1347">
        <f>HYPERLINK("https://www.suredividend.com/sure-analysis-HON/","Honeywell International Inc")</f>
        <v>0</v>
      </c>
      <c r="C1347">
        <v>0.07186550701066101</v>
      </c>
      <c r="D1347">
        <v>0.041393366167634</v>
      </c>
      <c r="E1347">
        <v>0.078533322794929</v>
      </c>
      <c r="F1347">
        <v>0.017229265877946</v>
      </c>
      <c r="G1347">
        <v>0.09990611970948701</v>
      </c>
      <c r="H1347">
        <v>0.132519663683211</v>
      </c>
      <c r="I1347">
        <v>0.380391928694075</v>
      </c>
    </row>
    <row r="1348" spans="1:9">
      <c r="A1348" s="8" t="s">
        <v>1360</v>
      </c>
      <c r="B1348">
        <f>HYPERLINK("https://www.suredividend.com/sure-analysis-research-database/","HarborOne Bancorp Inc.")</f>
        <v>0</v>
      </c>
      <c r="C1348">
        <v>-0.024551463644948</v>
      </c>
      <c r="D1348">
        <v>0.031442521792093</v>
      </c>
      <c r="E1348">
        <v>-0.062570897046145</v>
      </c>
      <c r="F1348">
        <v>-0.118126638039218</v>
      </c>
      <c r="G1348">
        <v>0.141827587350362</v>
      </c>
      <c r="H1348">
        <v>-0.222425460485212</v>
      </c>
      <c r="I1348">
        <v>0.136063698750659</v>
      </c>
    </row>
    <row r="1349" spans="1:9">
      <c r="A1349" s="8" t="s">
        <v>1361</v>
      </c>
      <c r="B1349">
        <f>HYPERLINK("https://www.suredividend.com/sure-analysis-research-database/","Hope Bancorp Inc")</f>
        <v>0</v>
      </c>
      <c r="C1349">
        <v>-0.025057645021479</v>
      </c>
      <c r="D1349">
        <v>-0.07095056618223501</v>
      </c>
      <c r="E1349">
        <v>-0.004435586298532</v>
      </c>
      <c r="F1349">
        <v>-0.110750407972702</v>
      </c>
      <c r="G1349">
        <v>0.176728717261767</v>
      </c>
      <c r="H1349">
        <v>-0.198041931625007</v>
      </c>
      <c r="I1349">
        <v>0.027704658457131</v>
      </c>
    </row>
    <row r="1350" spans="1:9">
      <c r="A1350" s="8" t="s">
        <v>1362</v>
      </c>
      <c r="B1350">
        <f>HYPERLINK("https://www.suredividend.com/sure-analysis-research-database/","Hornbeck Offshore Services Inc")</f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</row>
    <row r="1351" spans="1:9">
      <c r="A1351" s="8" t="s">
        <v>1363</v>
      </c>
      <c r="B1351">
        <f>HYPERLINK("https://www.suredividend.com/sure-analysis-research-database/","Hovnanian Enterprises, Inc.")</f>
        <v>0</v>
      </c>
      <c r="C1351">
        <v>-0.072550860719874</v>
      </c>
      <c r="D1351">
        <v>-0.00349744417541</v>
      </c>
      <c r="E1351">
        <v>0.139779983075621</v>
      </c>
      <c r="F1351">
        <v>-0.047937283125562</v>
      </c>
      <c r="G1351">
        <v>0.6418439716312051</v>
      </c>
      <c r="H1351">
        <v>1.488829161767176</v>
      </c>
      <c r="I1351">
        <v>16.53372781065089</v>
      </c>
    </row>
    <row r="1352" spans="1:9">
      <c r="A1352" s="8" t="s">
        <v>1364</v>
      </c>
      <c r="B1352">
        <f>HYPERLINK("https://www.suredividend.com/sure-analysis-HP/","Helmerich &amp; Payne, Inc.")</f>
        <v>0</v>
      </c>
      <c r="C1352">
        <v>-0.09707545107184801</v>
      </c>
      <c r="D1352">
        <v>-0.120993285189408</v>
      </c>
      <c r="E1352">
        <v>-0.015598884212975</v>
      </c>
      <c r="F1352">
        <v>-0.031633131601866</v>
      </c>
      <c r="G1352">
        <v>0.018798880466609</v>
      </c>
      <c r="H1352">
        <v>-0.31851846031141</v>
      </c>
      <c r="I1352">
        <v>-0.166011544573545</v>
      </c>
    </row>
    <row r="1353" spans="1:9">
      <c r="A1353" s="8" t="s">
        <v>1365</v>
      </c>
      <c r="B1353">
        <f>HYPERLINK("https://www.suredividend.com/sure-analysis-HPE/","Hewlett Packard Enterprise Co")</f>
        <v>0</v>
      </c>
      <c r="C1353">
        <v>0.188018979833926</v>
      </c>
      <c r="D1353">
        <v>0.109818262411347</v>
      </c>
      <c r="E1353">
        <v>0.261485946051479</v>
      </c>
      <c r="F1353">
        <v>0.18825155576121</v>
      </c>
      <c r="G1353">
        <v>0.308876574834021</v>
      </c>
      <c r="H1353">
        <v>0.390180591607556</v>
      </c>
      <c r="I1353">
        <v>0.682712502310264</v>
      </c>
    </row>
    <row r="1354" spans="1:9">
      <c r="A1354" s="8" t="s">
        <v>1366</v>
      </c>
      <c r="B1354">
        <f>HYPERLINK("https://www.suredividend.com/sure-analysis-research-database/","Hudson Pacific Properties Inc")</f>
        <v>0</v>
      </c>
      <c r="C1354">
        <v>-0.07662835249042101</v>
      </c>
      <c r="D1354">
        <v>-0.272694350555287</v>
      </c>
      <c r="E1354">
        <v>-0.368216851045981</v>
      </c>
      <c r="F1354">
        <v>-0.4781460108485</v>
      </c>
      <c r="G1354">
        <v>-0.08511122921570101</v>
      </c>
      <c r="H1354">
        <v>-0.7258949643151631</v>
      </c>
      <c r="I1354">
        <v>-0.8221106825856691</v>
      </c>
    </row>
    <row r="1355" spans="1:9">
      <c r="A1355" s="8" t="s">
        <v>1367</v>
      </c>
      <c r="B1355">
        <f>HYPERLINK("https://www.suredividend.com/sure-analysis-HPQ/","HP Inc")</f>
        <v>0</v>
      </c>
      <c r="C1355">
        <v>0.282998944033791</v>
      </c>
      <c r="D1355">
        <v>0.20348267084006</v>
      </c>
      <c r="E1355">
        <v>0.261996759316963</v>
      </c>
      <c r="F1355">
        <v>0.222280718815075</v>
      </c>
      <c r="G1355">
        <v>0.262062303289672</v>
      </c>
      <c r="H1355">
        <v>-0.013918759891246</v>
      </c>
      <c r="I1355">
        <v>1.178864121370801</v>
      </c>
    </row>
    <row r="1356" spans="1:9">
      <c r="A1356" s="8" t="s">
        <v>1368</v>
      </c>
      <c r="B1356">
        <f>HYPERLINK("https://www.suredividend.com/sure-analysis-research-database/","HighPoint Resources Corp")</f>
        <v>0</v>
      </c>
      <c r="C1356">
        <v>-0.375165125495376</v>
      </c>
      <c r="D1356">
        <v>-0.496272630457933</v>
      </c>
      <c r="E1356">
        <v>-0.557943925233644</v>
      </c>
      <c r="F1356">
        <v>-0.4836244541484711</v>
      </c>
      <c r="G1356">
        <v>-0.412057178371659</v>
      </c>
      <c r="H1356">
        <v>-0.9605833333333331</v>
      </c>
      <c r="I1356">
        <v>-0.184482758620689</v>
      </c>
    </row>
    <row r="1357" spans="1:9">
      <c r="A1357" s="8" t="s">
        <v>1369</v>
      </c>
      <c r="B1357">
        <f>HYPERLINK("https://www.suredividend.com/sure-analysis-research-database/","Healthequity Inc")</f>
        <v>0</v>
      </c>
      <c r="C1357">
        <v>0.06058721074894201</v>
      </c>
      <c r="D1357">
        <v>0.061379482071713</v>
      </c>
      <c r="E1357">
        <v>0.258860011813349</v>
      </c>
      <c r="F1357">
        <v>0.285822021116138</v>
      </c>
      <c r="G1357">
        <v>0.303915570510859</v>
      </c>
      <c r="H1357">
        <v>0.304314565483476</v>
      </c>
      <c r="I1357">
        <v>0.278494301139771</v>
      </c>
    </row>
    <row r="1358" spans="1:9">
      <c r="A1358" s="8" t="s">
        <v>1370</v>
      </c>
      <c r="B1358">
        <f>HYPERLINK("https://www.suredividend.com/sure-analysis-HR/","Healthcare Realty Trust Inc")</f>
        <v>0</v>
      </c>
      <c r="C1358">
        <v>0.099425119877076</v>
      </c>
      <c r="D1358">
        <v>0.249426091930664</v>
      </c>
      <c r="E1358">
        <v>0.103488619442671</v>
      </c>
      <c r="F1358">
        <v>0.006145976022208</v>
      </c>
      <c r="G1358">
        <v>-0.09655930598338901</v>
      </c>
      <c r="H1358">
        <v>-0.3378011807882551</v>
      </c>
      <c r="I1358">
        <v>-0.200854988879367</v>
      </c>
    </row>
    <row r="1359" spans="1:9">
      <c r="A1359" s="8" t="s">
        <v>1371</v>
      </c>
      <c r="B1359">
        <f>HYPERLINK("https://www.suredividend.com/sure-analysis-HRB/","H&amp;R Block Inc.")</f>
        <v>0</v>
      </c>
      <c r="C1359">
        <v>0.018119631607625</v>
      </c>
      <c r="D1359">
        <v>0.038334502300819</v>
      </c>
      <c r="E1359">
        <v>0.104687337391308</v>
      </c>
      <c r="F1359">
        <v>0.044849576426484</v>
      </c>
      <c r="G1359">
        <v>0.6119495575135461</v>
      </c>
      <c r="H1359">
        <v>0.458976698483997</v>
      </c>
      <c r="I1359">
        <v>1.278893852605037</v>
      </c>
    </row>
    <row r="1360" spans="1:9">
      <c r="A1360" s="8" t="s">
        <v>1372</v>
      </c>
      <c r="B1360">
        <f>HYPERLINK("https://www.suredividend.com/sure-analysis-research-database/","Hill-Rom Holdings Inc")</f>
        <v>0</v>
      </c>
      <c r="C1360">
        <v>0.005804204823939001</v>
      </c>
      <c r="D1360">
        <v>0.03538059331902</v>
      </c>
      <c r="E1360">
        <v>0.376051272820958</v>
      </c>
      <c r="F1360">
        <v>0.6013915143499911</v>
      </c>
      <c r="G1360">
        <v>0.6363788978889491</v>
      </c>
      <c r="H1360">
        <v>0.443340376049582</v>
      </c>
      <c r="I1360">
        <v>1.90788406499669</v>
      </c>
    </row>
    <row r="1361" spans="1:9">
      <c r="A1361" s="8" t="s">
        <v>1373</v>
      </c>
      <c r="B1361">
        <f>HYPERLINK("https://www.suredividend.com/sure-analysis-research-database/","Herc Holdings Inc")</f>
        <v>0</v>
      </c>
      <c r="C1361">
        <v>-0.099217215684489</v>
      </c>
      <c r="D1361">
        <v>-0.164990560489066</v>
      </c>
      <c r="E1361">
        <v>0.096717044521253</v>
      </c>
      <c r="F1361">
        <v>-0.101151014763899</v>
      </c>
      <c r="G1361">
        <v>0.109669860663625</v>
      </c>
      <c r="H1361">
        <v>0.08766444157535801</v>
      </c>
      <c r="I1361">
        <v>2.556380430788706</v>
      </c>
    </row>
    <row r="1362" spans="1:9">
      <c r="A1362" s="8" t="s">
        <v>1374</v>
      </c>
      <c r="B1362">
        <f>HYPERLINK("https://www.suredividend.com/sure-analysis-HRL/","Hormel Foods Corp.")</f>
        <v>0</v>
      </c>
      <c r="C1362">
        <v>-0.132257150948739</v>
      </c>
      <c r="D1362">
        <v>-0.09067706571223301</v>
      </c>
      <c r="E1362">
        <v>-0.021448919889114</v>
      </c>
      <c r="F1362">
        <v>-0.029372259813984</v>
      </c>
      <c r="G1362">
        <v>-0.215995332818169</v>
      </c>
      <c r="H1362">
        <v>-0.289619260035518</v>
      </c>
      <c r="I1362">
        <v>-0.180130472709369</v>
      </c>
    </row>
    <row r="1363" spans="1:9">
      <c r="A1363" s="8" t="s">
        <v>1375</v>
      </c>
      <c r="B1363">
        <f>HYPERLINK("https://www.suredividend.com/sure-analysis-research-database/","Harrow Inc")</f>
        <v>0</v>
      </c>
      <c r="C1363">
        <v>0.660877513711152</v>
      </c>
      <c r="D1363">
        <v>0.5952589991220371</v>
      </c>
      <c r="E1363">
        <v>0.8848547717842321</v>
      </c>
      <c r="F1363">
        <v>0.622321428571428</v>
      </c>
      <c r="G1363">
        <v>-0.133937082936129</v>
      </c>
      <c r="H1363">
        <v>1.347545219638243</v>
      </c>
      <c r="I1363">
        <v>2.154513888888889</v>
      </c>
    </row>
    <row r="1364" spans="1:9">
      <c r="A1364" s="8" t="s">
        <v>1376</v>
      </c>
      <c r="B1364">
        <f>HYPERLINK("https://www.suredividend.com/sure-analysis-research-database/","Heritage Insurance Holdings Inc.")</f>
        <v>0</v>
      </c>
      <c r="C1364">
        <v>0.013681592039801</v>
      </c>
      <c r="D1364">
        <v>0.207407407407407</v>
      </c>
      <c r="E1364">
        <v>-0.030915576694411</v>
      </c>
      <c r="F1364">
        <v>0.25</v>
      </c>
      <c r="G1364">
        <v>0.6235059760956171</v>
      </c>
      <c r="H1364">
        <v>1.071946103978644</v>
      </c>
      <c r="I1364">
        <v>-0.4218053860779241</v>
      </c>
    </row>
    <row r="1365" spans="1:9">
      <c r="A1365" s="8" t="s">
        <v>1377</v>
      </c>
      <c r="B1365">
        <f>HYPERLINK("https://www.suredividend.com/sure-analysis-research-database/","Heron Therapeutics Inc")</f>
        <v>0</v>
      </c>
      <c r="C1365">
        <v>0.254355400696864</v>
      </c>
      <c r="D1365">
        <v>0.38996138996139</v>
      </c>
      <c r="E1365">
        <v>1.553191489361702</v>
      </c>
      <c r="F1365">
        <v>1.117647058823529</v>
      </c>
      <c r="G1365">
        <v>2.157894736842105</v>
      </c>
      <c r="H1365">
        <v>0.281138790035587</v>
      </c>
      <c r="I1365">
        <v>-0.796725014116318</v>
      </c>
    </row>
    <row r="1366" spans="1:9">
      <c r="A1366" s="8" t="s">
        <v>1378</v>
      </c>
      <c r="B1366">
        <f>HYPERLINK("https://www.suredividend.com/sure-analysis-research-database/","Helius Medical Technologies Inc")</f>
        <v>0</v>
      </c>
      <c r="C1366">
        <v>-0.311111111111111</v>
      </c>
      <c r="D1366">
        <v>-0.7933333333333331</v>
      </c>
      <c r="E1366">
        <v>-0.8171091445427721</v>
      </c>
      <c r="F1366">
        <v>-0.8457557965966761</v>
      </c>
      <c r="G1366">
        <v>-0.854031783402001</v>
      </c>
      <c r="H1366">
        <v>-0.987722772277227</v>
      </c>
      <c r="I1366">
        <v>-0.9999930668157671</v>
      </c>
    </row>
    <row r="1367" spans="1:9">
      <c r="A1367" s="8" t="s">
        <v>1379</v>
      </c>
      <c r="B1367">
        <f>HYPERLINK("https://www.suredividend.com/sure-analysis-research-database/","Henry Schein Inc.")</f>
        <v>0</v>
      </c>
      <c r="C1367">
        <v>-0.03778089887640401</v>
      </c>
      <c r="D1367">
        <v>-0.08920499867056601</v>
      </c>
      <c r="E1367">
        <v>-0.042353927872518</v>
      </c>
      <c r="F1367">
        <v>-0.09509972262580801</v>
      </c>
      <c r="G1367">
        <v>-0.08968907786340601</v>
      </c>
      <c r="H1367">
        <v>-0.197211155378486</v>
      </c>
      <c r="I1367">
        <v>-0.017918577981651</v>
      </c>
    </row>
    <row r="1368" spans="1:9">
      <c r="A1368" s="8" t="s">
        <v>1380</v>
      </c>
      <c r="B1368">
        <f>HYPERLINK("https://www.suredividend.com/sure-analysis-research-database/","Heidrick &amp; Struggles International, Inc.")</f>
        <v>0</v>
      </c>
      <c r="C1368">
        <v>0.149945485589681</v>
      </c>
      <c r="D1368">
        <v>0.027686877229106</v>
      </c>
      <c r="E1368">
        <v>0.212147496015525</v>
      </c>
      <c r="F1368">
        <v>0.156320460045921</v>
      </c>
      <c r="G1368">
        <v>0.295595978012724</v>
      </c>
      <c r="H1368">
        <v>0.021856891288319</v>
      </c>
      <c r="I1368">
        <v>0.182993672359426</v>
      </c>
    </row>
    <row r="1369" spans="1:9">
      <c r="A1369" s="8" t="s">
        <v>1381</v>
      </c>
      <c r="B1369">
        <f>HYPERLINK("https://www.suredividend.com/sure-analysis-research-database/","Heska Corp.")</f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</row>
    <row r="1370" spans="1:9">
      <c r="A1370" s="8" t="s">
        <v>1382</v>
      </c>
      <c r="B1370">
        <f>HYPERLINK("https://www.suredividend.com/sure-analysis-research-database/","Hudson Global Inc")</f>
        <v>0</v>
      </c>
      <c r="C1370">
        <v>-0.039190897597977</v>
      </c>
      <c r="D1370">
        <v>0.08571428571428501</v>
      </c>
      <c r="E1370">
        <v>-0.067484662576687</v>
      </c>
      <c r="F1370">
        <v>-0.018721755971594</v>
      </c>
      <c r="G1370">
        <v>-0.30940481599273</v>
      </c>
      <c r="H1370">
        <v>-0.60385718008861</v>
      </c>
      <c r="I1370">
        <v>0.134328358208955</v>
      </c>
    </row>
    <row r="1371" spans="1:9">
      <c r="A1371" s="8" t="s">
        <v>1383</v>
      </c>
      <c r="B1371">
        <f>HYPERLINK("https://www.suredividend.com/sure-analysis-research-database/","Host Hotels &amp; Resorts Inc")</f>
        <v>0</v>
      </c>
      <c r="C1371">
        <v>-0.048611111111111</v>
      </c>
      <c r="D1371">
        <v>-0.135634102898853</v>
      </c>
      <c r="E1371">
        <v>0.03461697097147001</v>
      </c>
      <c r="F1371">
        <v>-0.07614418582936901</v>
      </c>
      <c r="G1371">
        <v>0.071548902579899</v>
      </c>
      <c r="H1371">
        <v>-0.078781985299822</v>
      </c>
      <c r="I1371">
        <v>0.112068534891852</v>
      </c>
    </row>
    <row r="1372" spans="1:9">
      <c r="A1372" s="8" t="s">
        <v>1384</v>
      </c>
      <c r="B1372">
        <f>HYPERLINK("https://www.suredividend.com/sure-analysis-research-database/","Healthstream Inc")</f>
        <v>0</v>
      </c>
      <c r="C1372">
        <v>0.030066815144766</v>
      </c>
      <c r="D1372">
        <v>0.04066662666506601</v>
      </c>
      <c r="E1372">
        <v>0.07773686908701101</v>
      </c>
      <c r="F1372">
        <v>0.029887139214762</v>
      </c>
      <c r="G1372">
        <v>0.155210310720351</v>
      </c>
      <c r="H1372">
        <v>0.366355646372387</v>
      </c>
      <c r="I1372">
        <v>0.117235215253984</v>
      </c>
    </row>
    <row r="1373" spans="1:9">
      <c r="A1373" s="8" t="s">
        <v>1385</v>
      </c>
      <c r="B1373">
        <f>HYPERLINK("https://www.suredividend.com/sure-analysis-HSY/","Hershey Company")</f>
        <v>0</v>
      </c>
      <c r="C1373">
        <v>-0.003954512940564</v>
      </c>
      <c r="D1373">
        <v>0.025225375975234</v>
      </c>
      <c r="E1373">
        <v>0.051468092078271</v>
      </c>
      <c r="F1373">
        <v>0.066244650014411</v>
      </c>
      <c r="G1373">
        <v>-0.210599849093554</v>
      </c>
      <c r="H1373">
        <v>-0.03958726647314</v>
      </c>
      <c r="I1373">
        <v>0.565624301274475</v>
      </c>
    </row>
    <row r="1374" spans="1:9">
      <c r="A1374" s="8" t="s">
        <v>1386</v>
      </c>
      <c r="B1374">
        <f>HYPERLINK("https://www.suredividend.com/sure-analysis-research-database/","Hersha Hospitality Trust")</f>
        <v>0</v>
      </c>
      <c r="C1374">
        <v>0.010111223458038</v>
      </c>
      <c r="D1374">
        <v>0.5988348830882</v>
      </c>
      <c r="E1374">
        <v>0.733833177132146</v>
      </c>
      <c r="F1374">
        <v>0.197396651124881</v>
      </c>
      <c r="G1374">
        <v>0.08700383008356501</v>
      </c>
      <c r="H1374">
        <v>0.05776968362204001</v>
      </c>
      <c r="I1374">
        <v>-0.331821738868712</v>
      </c>
    </row>
    <row r="1375" spans="1:9">
      <c r="A1375" s="8" t="s">
        <v>1387</v>
      </c>
      <c r="B1375">
        <f>HYPERLINK("https://www.suredividend.com/sure-analysis-research-database/","HomeTrust Bancshares Inc")</f>
        <v>0</v>
      </c>
      <c r="C1375">
        <v>0.01704172232842</v>
      </c>
      <c r="D1375">
        <v>0.08159869391855801</v>
      </c>
      <c r="E1375">
        <v>0.124076694986112</v>
      </c>
      <c r="F1375">
        <v>0.040565439333071</v>
      </c>
      <c r="G1375">
        <v>0.237439272981977</v>
      </c>
      <c r="H1375">
        <v>0.096125776057844</v>
      </c>
      <c r="I1375">
        <v>0.231511685061888</v>
      </c>
    </row>
    <row r="1376" spans="1:9">
      <c r="A1376" s="8" t="s">
        <v>1388</v>
      </c>
      <c r="B1376">
        <f>HYPERLINK("https://www.suredividend.com/sure-analysis-research-database/","Heritage Commerce Corp.")</f>
        <v>0</v>
      </c>
      <c r="C1376">
        <v>-0.007721863692319001</v>
      </c>
      <c r="D1376">
        <v>-0.029928764192458</v>
      </c>
      <c r="E1376">
        <v>-0.060833951205733</v>
      </c>
      <c r="F1376">
        <v>-0.143206854345165</v>
      </c>
      <c r="G1376">
        <v>0.03349133576812501</v>
      </c>
      <c r="H1376">
        <v>-0.183046683046683</v>
      </c>
      <c r="I1376">
        <v>-0.08947764770315601</v>
      </c>
    </row>
    <row r="1377" spans="1:9">
      <c r="A1377" s="8" t="s">
        <v>1389</v>
      </c>
      <c r="B1377">
        <f>HYPERLINK("https://www.suredividend.com/sure-analysis-research-database/","Heat Biologics Inc")</f>
        <v>0</v>
      </c>
      <c r="C1377">
        <v>-0.229773462783171</v>
      </c>
      <c r="D1377">
        <v>-0.14388489208633</v>
      </c>
      <c r="E1377">
        <v>-0.5633027522935781</v>
      </c>
      <c r="F1377">
        <v>-0.217105263157894</v>
      </c>
      <c r="G1377">
        <v>-0.653566229985444</v>
      </c>
      <c r="H1377">
        <v>-0.382155188079229</v>
      </c>
      <c r="I1377">
        <v>-0.9557752341311131</v>
      </c>
    </row>
    <row r="1378" spans="1:9">
      <c r="A1378" s="8" t="s">
        <v>1390</v>
      </c>
      <c r="B1378">
        <f>HYPERLINK("https://www.suredividend.com/sure-analysis-research-database/","HTG Molecular Diagnostics Inc")</f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</row>
    <row r="1379" spans="1:9">
      <c r="A1379" s="8" t="s">
        <v>1391</v>
      </c>
      <c r="B1379">
        <f>HYPERLINK("https://www.suredividend.com/sure-analysis-research-database/","Hilltop Holdings Inc")</f>
        <v>0</v>
      </c>
      <c r="C1379">
        <v>-0.025103268866086</v>
      </c>
      <c r="D1379">
        <v>-0.044680434878628</v>
      </c>
      <c r="E1379">
        <v>-0.043258734055628</v>
      </c>
      <c r="F1379">
        <v>-0.130482226287118</v>
      </c>
      <c r="G1379">
        <v>-0.06224256576380101</v>
      </c>
      <c r="H1379">
        <v>0.060695757567265</v>
      </c>
      <c r="I1379">
        <v>0.636199564472639</v>
      </c>
    </row>
    <row r="1380" spans="1:9">
      <c r="A1380" s="8" t="s">
        <v>1392</v>
      </c>
      <c r="B1380">
        <f>HYPERLINK("https://www.suredividend.com/sure-analysis-research-database/","Heartland Express, Inc.")</f>
        <v>0</v>
      </c>
      <c r="C1380">
        <v>0.04936014625228501</v>
      </c>
      <c r="D1380">
        <v>-0.06346111487285701</v>
      </c>
      <c r="E1380">
        <v>-0.16526089232738</v>
      </c>
      <c r="F1380">
        <v>-0.192186444494483</v>
      </c>
      <c r="G1380">
        <v>-0.295351035490246</v>
      </c>
      <c r="H1380">
        <v>-0.205739706787881</v>
      </c>
      <c r="I1380">
        <v>-0.359153278478044</v>
      </c>
    </row>
    <row r="1381" spans="1:9">
      <c r="A1381" s="8" t="s">
        <v>1393</v>
      </c>
      <c r="B1381">
        <f>HYPERLINK("https://www.suredividend.com/sure-analysis-research-database/","Heartland Financial USA, Inc.")</f>
        <v>0</v>
      </c>
      <c r="C1381">
        <v>0.001865558806972</v>
      </c>
      <c r="D1381">
        <v>0.247751179815806</v>
      </c>
      <c r="E1381">
        <v>0.291012967081717</v>
      </c>
      <c r="F1381">
        <v>0.182540031190282</v>
      </c>
      <c r="G1381">
        <v>0.417788355503764</v>
      </c>
      <c r="H1381">
        <v>0.07113457698018101</v>
      </c>
      <c r="I1381">
        <v>0.189430719181676</v>
      </c>
    </row>
    <row r="1382" spans="1:9">
      <c r="A1382" s="8" t="s">
        <v>1394</v>
      </c>
      <c r="B1382">
        <f>HYPERLINK("https://www.suredividend.com/sure-analysis-research-database/","Hertz Global Holdings Inc.")</f>
        <v>0</v>
      </c>
      <c r="C1382">
        <v>-0.249496981891348</v>
      </c>
      <c r="D1382">
        <v>-0.502666666666666</v>
      </c>
      <c r="E1382">
        <v>-0.5967567567567561</v>
      </c>
      <c r="F1382">
        <v>-0.641000962463907</v>
      </c>
      <c r="G1382">
        <v>-0.7800707547169811</v>
      </c>
      <c r="H1382">
        <v>-0.794263651406508</v>
      </c>
      <c r="I1382">
        <v>-0.8574703859380971</v>
      </c>
    </row>
    <row r="1383" spans="1:9">
      <c r="A1383" s="8" t="s">
        <v>1395</v>
      </c>
      <c r="B1383">
        <f>HYPERLINK("https://www.suredividend.com/sure-analysis-HUBB/","Hubbell Inc.")</f>
        <v>0</v>
      </c>
      <c r="C1383">
        <v>-0.064192208611534</v>
      </c>
      <c r="D1383">
        <v>-0.06395403602812</v>
      </c>
      <c r="E1383">
        <v>0.205073877654174</v>
      </c>
      <c r="F1383">
        <v>0.121982728417942</v>
      </c>
      <c r="G1383">
        <v>0.221211946615439</v>
      </c>
      <c r="H1383">
        <v>0.8588824906227011</v>
      </c>
      <c r="I1383">
        <v>2.278967055627442</v>
      </c>
    </row>
    <row r="1384" spans="1:9">
      <c r="A1384" s="8" t="s">
        <v>1396</v>
      </c>
      <c r="B1384">
        <f>HYPERLINK("https://www.suredividend.com/sure-analysis-research-database/","Hub Group, Inc.")</f>
        <v>0</v>
      </c>
      <c r="C1384">
        <v>0.009994319808845001</v>
      </c>
      <c r="D1384">
        <v>0.012356251529239</v>
      </c>
      <c r="E1384">
        <v>0.075830687301547</v>
      </c>
      <c r="F1384">
        <v>-0.05300154275137901</v>
      </c>
      <c r="G1384">
        <v>0.124605682355739</v>
      </c>
      <c r="H1384">
        <v>0.121563046543693</v>
      </c>
      <c r="I1384">
        <v>1.182679577768421</v>
      </c>
    </row>
    <row r="1385" spans="1:9">
      <c r="A1385" s="8" t="s">
        <v>1397</v>
      </c>
      <c r="B1385">
        <f>HYPERLINK("https://www.suredividend.com/sure-analysis-research-database/","HubSpot Inc")</f>
        <v>0</v>
      </c>
      <c r="C1385">
        <v>-0.030562506093003</v>
      </c>
      <c r="D1385">
        <v>-0.026640347156514</v>
      </c>
      <c r="E1385">
        <v>0.212604666287293</v>
      </c>
      <c r="F1385">
        <v>0.027750025838013</v>
      </c>
      <c r="G1385">
        <v>0.185475859328432</v>
      </c>
      <c r="H1385">
        <v>0.611304653109724</v>
      </c>
      <c r="I1385">
        <v>2.422728315741166</v>
      </c>
    </row>
    <row r="1386" spans="1:9">
      <c r="A1386" s="8" t="s">
        <v>1398</v>
      </c>
      <c r="B1386">
        <f>HYPERLINK("https://www.suredividend.com/sure-analysis-HUM/","Humana Inc.")</f>
        <v>0</v>
      </c>
      <c r="C1386">
        <v>0.083695283861627</v>
      </c>
      <c r="D1386">
        <v>0.035148865176126</v>
      </c>
      <c r="E1386">
        <v>-0.264233310404238</v>
      </c>
      <c r="F1386">
        <v>-0.22960185876618</v>
      </c>
      <c r="G1386">
        <v>-0.297134213600472</v>
      </c>
      <c r="H1386">
        <v>-0.206061555279826</v>
      </c>
      <c r="I1386">
        <v>0.46507637720511</v>
      </c>
    </row>
    <row r="1387" spans="1:9">
      <c r="A1387" s="8" t="s">
        <v>1399</v>
      </c>
      <c r="B1387">
        <f>HYPERLINK("https://www.suredividend.com/sure-analysis-HUN/","Huntsman Corp")</f>
        <v>0</v>
      </c>
      <c r="C1387">
        <v>-0.061562746645619</v>
      </c>
      <c r="D1387">
        <v>-0.09726255689561501</v>
      </c>
      <c r="E1387">
        <v>-0.036158251628357</v>
      </c>
      <c r="F1387">
        <v>-0.044458017230294</v>
      </c>
      <c r="G1387">
        <v>-0.06830594669989</v>
      </c>
      <c r="H1387">
        <v>-0.295659926367139</v>
      </c>
      <c r="I1387">
        <v>0.4770186335403721</v>
      </c>
    </row>
    <row r="1388" spans="1:9">
      <c r="A1388" s="8" t="s">
        <v>1400</v>
      </c>
      <c r="B1388">
        <f>HYPERLINK("https://www.suredividend.com/sure-analysis-research-database/","Hurco Companies, Inc.")</f>
        <v>0</v>
      </c>
      <c r="C1388">
        <v>-0.035437430786267</v>
      </c>
      <c r="D1388">
        <v>-0.351961043260878</v>
      </c>
      <c r="E1388">
        <v>-0.13476248187074</v>
      </c>
      <c r="F1388">
        <v>-0.177685150655444</v>
      </c>
      <c r="G1388">
        <v>-0.1806671307358</v>
      </c>
      <c r="H1388">
        <v>-0.276499954314004</v>
      </c>
      <c r="I1388">
        <v>-0.4556947391115511</v>
      </c>
    </row>
    <row r="1389" spans="1:9">
      <c r="A1389" s="8" t="s">
        <v>1401</v>
      </c>
      <c r="B1389">
        <f>HYPERLINK("https://www.suredividend.com/sure-analysis-research-database/","Huron Consulting Group Inc")</f>
        <v>0</v>
      </c>
      <c r="C1389">
        <v>0.110654802646589</v>
      </c>
      <c r="D1389">
        <v>-0.020227432826808</v>
      </c>
      <c r="E1389">
        <v>-0.060413047674194</v>
      </c>
      <c r="F1389">
        <v>-0.052918287937743</v>
      </c>
      <c r="G1389">
        <v>0.14366263361917</v>
      </c>
      <c r="H1389">
        <v>0.5908496732026141</v>
      </c>
      <c r="I1389">
        <v>0.9672661143665381</v>
      </c>
    </row>
    <row r="1390" spans="1:9">
      <c r="A1390" s="8" t="s">
        <v>1402</v>
      </c>
      <c r="B1390">
        <f>HYPERLINK("https://www.suredividend.com/sure-analysis-research-database/","Houston American Energy Corp")</f>
        <v>0</v>
      </c>
      <c r="C1390">
        <v>-0.16</v>
      </c>
      <c r="D1390">
        <v>-0.015625</v>
      </c>
      <c r="E1390">
        <v>-0.292134831460674</v>
      </c>
      <c r="F1390">
        <v>-0.29608938547486</v>
      </c>
      <c r="G1390">
        <v>-0.481481481481481</v>
      </c>
      <c r="H1390">
        <v>-0.8215297450424921</v>
      </c>
      <c r="I1390">
        <v>-0.545945945945945</v>
      </c>
    </row>
    <row r="1391" spans="1:9">
      <c r="A1391" s="8" t="s">
        <v>1403</v>
      </c>
      <c r="B1391">
        <f>HYPERLINK("https://www.suredividend.com/sure-analysis-research-database/","Haverty Furniture Cos., Inc.")</f>
        <v>0</v>
      </c>
      <c r="C1391">
        <v>-0.05720891545542901</v>
      </c>
      <c r="D1391">
        <v>-0.17831362309937</v>
      </c>
      <c r="E1391">
        <v>-0.166014547200458</v>
      </c>
      <c r="F1391">
        <v>-0.230855489966617</v>
      </c>
      <c r="G1391">
        <v>-0.04954111489715501</v>
      </c>
      <c r="H1391">
        <v>0.040099227410405</v>
      </c>
      <c r="I1391">
        <v>0.92954109381537</v>
      </c>
    </row>
    <row r="1392" spans="1:9">
      <c r="A1392" s="8" t="s">
        <v>1404</v>
      </c>
      <c r="B1392">
        <f>HYPERLINK("https://www.suredividend.com/sure-analysis-research-database/","Hawthorn Bancshares Inc")</f>
        <v>0</v>
      </c>
      <c r="C1392">
        <v>-0.020100502512562</v>
      </c>
      <c r="D1392">
        <v>-0.011822655105836</v>
      </c>
      <c r="E1392">
        <v>-0.05577695030481401</v>
      </c>
      <c r="F1392">
        <v>-0.21786947645386</v>
      </c>
      <c r="G1392">
        <v>0.122657531880595</v>
      </c>
      <c r="H1392">
        <v>-0.195614241340478</v>
      </c>
      <c r="I1392">
        <v>-0.106811592211397</v>
      </c>
    </row>
    <row r="1393" spans="1:9">
      <c r="A1393" s="8" t="s">
        <v>1405</v>
      </c>
      <c r="B1393">
        <f>HYPERLINK("https://www.suredividend.com/sure-analysis-research-database/","Hancock Whitney Corp.")</f>
        <v>0</v>
      </c>
      <c r="C1393">
        <v>-0.028513514925451</v>
      </c>
      <c r="D1393">
        <v>0.05211702057840401</v>
      </c>
      <c r="E1393">
        <v>0.068632453878016</v>
      </c>
      <c r="F1393">
        <v>-0.021098290238355</v>
      </c>
      <c r="G1393">
        <v>0.127604356157073</v>
      </c>
      <c r="H1393">
        <v>0.009519756099679</v>
      </c>
      <c r="I1393">
        <v>0.4106045664871421</v>
      </c>
    </row>
    <row r="1394" spans="1:9">
      <c r="A1394" s="8" t="s">
        <v>1406</v>
      </c>
      <c r="B1394">
        <f>HYPERLINK("https://www.suredividend.com/sure-analysis-research-database/","Houston Wire &amp; Cable Company")</f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</row>
    <row r="1395" spans="1:9">
      <c r="A1395" s="8" t="s">
        <v>1407</v>
      </c>
      <c r="B1395">
        <f>HYPERLINK("https://www.suredividend.com/sure-analysis-HWKN/","Hawkins Inc")</f>
        <v>0</v>
      </c>
      <c r="C1395">
        <v>0.109000313421475</v>
      </c>
      <c r="D1395">
        <v>0.237549910991767</v>
      </c>
      <c r="E1395">
        <v>0.390466108491322</v>
      </c>
      <c r="F1395">
        <v>0.241587524831034</v>
      </c>
      <c r="G1395">
        <v>0.704151177808487</v>
      </c>
      <c r="H1395">
        <v>1.434455877066858</v>
      </c>
      <c r="I1395">
        <v>3.914621978321012</v>
      </c>
    </row>
    <row r="1396" spans="1:9">
      <c r="A1396" s="8" t="s">
        <v>1408</v>
      </c>
      <c r="B1396">
        <f>HYPERLINK("https://www.suredividend.com/sure-analysis-research-database/","Hexcel Corp.")</f>
        <v>0</v>
      </c>
      <c r="C1396">
        <v>-0.06448440573194701</v>
      </c>
      <c r="D1396">
        <v>-0.133796505267594</v>
      </c>
      <c r="E1396">
        <v>-0.048328178861137</v>
      </c>
      <c r="F1396">
        <v>-0.093105477049126</v>
      </c>
      <c r="G1396">
        <v>-0.08875815759188001</v>
      </c>
      <c r="H1396">
        <v>0.130186101375605</v>
      </c>
      <c r="I1396">
        <v>-0.111724726707618</v>
      </c>
    </row>
    <row r="1397" spans="1:9">
      <c r="A1397" s="8" t="s">
        <v>1409</v>
      </c>
      <c r="B1397">
        <f>HYPERLINK("https://www.suredividend.com/sure-analysis-research-database/","Hyster Yale Inc")</f>
        <v>0</v>
      </c>
      <c r="C1397">
        <v>0.266770968285611</v>
      </c>
      <c r="D1397">
        <v>0.282415857078104</v>
      </c>
      <c r="E1397">
        <v>0.484376246788273</v>
      </c>
      <c r="F1397">
        <v>0.2089358245329</v>
      </c>
      <c r="G1397">
        <v>0.3876741119799481</v>
      </c>
      <c r="H1397">
        <v>1.043298935101025</v>
      </c>
      <c r="I1397">
        <v>0.756547808741427</v>
      </c>
    </row>
    <row r="1398" spans="1:9">
      <c r="A1398" s="8" t="s">
        <v>1410</v>
      </c>
      <c r="B1398">
        <f>HYPERLINK("https://www.suredividend.com/sure-analysis-research-database/","Horizon Global Corp")</f>
        <v>0</v>
      </c>
      <c r="C1398">
        <v>0.017341040462427</v>
      </c>
      <c r="D1398">
        <v>1.932844525912348</v>
      </c>
      <c r="E1398">
        <v>0.313432835820895</v>
      </c>
      <c r="F1398">
        <v>3.526748971193416</v>
      </c>
      <c r="G1398">
        <v>-0.7555555555555551</v>
      </c>
      <c r="H1398">
        <v>-0.8232931726907631</v>
      </c>
      <c r="I1398">
        <v>-0.8072289156626501</v>
      </c>
    </row>
    <row r="1399" spans="1:9">
      <c r="A1399" s="8" t="s">
        <v>1411</v>
      </c>
      <c r="B1399">
        <f>HYPERLINK("https://www.suredividend.com/sure-analysis-research-database/","Horizon Therapeutics Plc")</f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</row>
    <row r="1400" spans="1:9">
      <c r="A1400" s="8" t="s">
        <v>1412</v>
      </c>
      <c r="B1400">
        <f>HYPERLINK("https://www.suredividend.com/sure-analysis-research-database/","Marinemax, Inc.")</f>
        <v>0</v>
      </c>
      <c r="C1400">
        <v>0.319182389937106</v>
      </c>
      <c r="D1400">
        <v>0.095657851779301</v>
      </c>
      <c r="E1400">
        <v>0.026613643315998</v>
      </c>
      <c r="F1400">
        <v>-0.137275064267352</v>
      </c>
      <c r="G1400">
        <v>-0.01265077964107</v>
      </c>
      <c r="H1400">
        <v>-0.188391777509068</v>
      </c>
      <c r="I1400">
        <v>1.031476997578692</v>
      </c>
    </row>
    <row r="1401" spans="1:9">
      <c r="A1401" s="8" t="s">
        <v>1413</v>
      </c>
      <c r="B1401">
        <f>HYPERLINK("https://www.suredividend.com/sure-analysis-research-database/","IAA Inc")</f>
        <v>0</v>
      </c>
      <c r="C1401">
        <v>-0.03218984962406</v>
      </c>
      <c r="D1401">
        <v>0.08997089177030901</v>
      </c>
      <c r="E1401">
        <v>0.103106588109266</v>
      </c>
      <c r="F1401">
        <v>0.029749999999999</v>
      </c>
      <c r="G1401">
        <v>0.168510638297872</v>
      </c>
      <c r="H1401">
        <v>-0.251090909090909</v>
      </c>
      <c r="I1401">
        <v>0.126333059885151</v>
      </c>
    </row>
    <row r="1402" spans="1:9">
      <c r="A1402" s="8" t="s">
        <v>1414</v>
      </c>
      <c r="B1402">
        <f>HYPERLINK("https://www.suredividend.com/sure-analysis-research-database/","IAC Inc")</f>
        <v>0</v>
      </c>
      <c r="C1402">
        <v>-0.113930789707187</v>
      </c>
      <c r="D1402">
        <v>-0.03795761078998</v>
      </c>
      <c r="E1402">
        <v>0.040425088560116</v>
      </c>
      <c r="F1402">
        <v>-0.046773577701412</v>
      </c>
      <c r="G1402">
        <v>-0.164491298527443</v>
      </c>
      <c r="H1402">
        <v>-0.43479737378311</v>
      </c>
      <c r="I1402">
        <v>-0.68546050144891</v>
      </c>
    </row>
    <row r="1403" spans="1:9">
      <c r="A1403" s="8" t="s">
        <v>1415</v>
      </c>
      <c r="B1403">
        <f>HYPERLINK("https://www.suredividend.com/sure-analysis-research-database/","Integra Lifesciences Holdings Corp")</f>
        <v>0</v>
      </c>
      <c r="C1403">
        <v>0.228070175438596</v>
      </c>
      <c r="D1403">
        <v>-0.146814404432133</v>
      </c>
      <c r="E1403">
        <v>-0.254417816509319</v>
      </c>
      <c r="F1403">
        <v>-0.292766934557979</v>
      </c>
      <c r="G1403">
        <v>-0.253333333333333</v>
      </c>
      <c r="H1403">
        <v>-0.4988610478359901</v>
      </c>
      <c r="I1403">
        <v>-0.374365224456632</v>
      </c>
    </row>
    <row r="1404" spans="1:9">
      <c r="A1404" s="8" t="s">
        <v>1416</v>
      </c>
      <c r="B1404">
        <f>HYPERLINK("https://www.suredividend.com/sure-analysis-research-database/","Independent Bank Corporation (Ionia, MI)")</f>
        <v>0</v>
      </c>
      <c r="C1404">
        <v>-0.041897233201581</v>
      </c>
      <c r="D1404">
        <v>0.000342526525171</v>
      </c>
      <c r="E1404">
        <v>0.09266463219484</v>
      </c>
      <c r="F1404">
        <v>-0.032478236747466</v>
      </c>
      <c r="G1404">
        <v>0.379412383981971</v>
      </c>
      <c r="H1404">
        <v>0.432878169888277</v>
      </c>
      <c r="I1404">
        <v>0.474596067743819</v>
      </c>
    </row>
    <row r="1405" spans="1:9">
      <c r="A1405" s="8" t="s">
        <v>1417</v>
      </c>
      <c r="B1405">
        <f>HYPERLINK("https://www.suredividend.com/sure-analysis-research-database/","iBio Inc")</f>
        <v>0</v>
      </c>
      <c r="C1405">
        <v>0.21</v>
      </c>
      <c r="D1405">
        <v>1.050847457627118</v>
      </c>
      <c r="E1405">
        <v>0.6575342465753421</v>
      </c>
      <c r="F1405">
        <v>0.7664233576642331</v>
      </c>
      <c r="G1405">
        <v>-0.844492995758899</v>
      </c>
      <c r="H1405">
        <v>-0.9816527672479151</v>
      </c>
      <c r="I1405">
        <v>-0.993794871794871</v>
      </c>
    </row>
    <row r="1406" spans="1:9">
      <c r="A1406" s="8" t="s">
        <v>1418</v>
      </c>
      <c r="B1406">
        <f>HYPERLINK("https://www.suredividend.com/sure-analysis-research-database/","Interactive Brokers Group Inc")</f>
        <v>0</v>
      </c>
      <c r="C1406">
        <v>0.030582669820435</v>
      </c>
      <c r="D1406">
        <v>0.137501229519875</v>
      </c>
      <c r="E1406">
        <v>0.540102532444337</v>
      </c>
      <c r="F1406">
        <v>0.5012745182490871</v>
      </c>
      <c r="G1406">
        <v>0.551390597123646</v>
      </c>
      <c r="H1406">
        <v>1.077994485102724</v>
      </c>
      <c r="I1406">
        <v>1.350594582272709</v>
      </c>
    </row>
    <row r="1407" spans="1:9">
      <c r="A1407" s="8" t="s">
        <v>1419</v>
      </c>
      <c r="B1407">
        <f>HYPERLINK("https://www.suredividend.com/sure-analysis-IBM/","International Business Machines Corp.")</f>
        <v>0</v>
      </c>
      <c r="C1407">
        <v>0.019703715521796</v>
      </c>
      <c r="D1407">
        <v>-0.126398130396422</v>
      </c>
      <c r="E1407">
        <v>0.08140668740725</v>
      </c>
      <c r="F1407">
        <v>0.059388967922965</v>
      </c>
      <c r="G1407">
        <v>0.318979542278953</v>
      </c>
      <c r="H1407">
        <v>0.305191978608394</v>
      </c>
      <c r="I1407">
        <v>0.620391330081939</v>
      </c>
    </row>
    <row r="1408" spans="1:9">
      <c r="A1408" s="8" t="s">
        <v>1420</v>
      </c>
      <c r="B1408">
        <f>HYPERLINK("https://www.suredividend.com/sure-analysis-IBOC/","International Bancshares Corp.")</f>
        <v>0</v>
      </c>
      <c r="C1408">
        <v>-0.086368192449047</v>
      </c>
      <c r="D1408">
        <v>0.010158847432582</v>
      </c>
      <c r="E1408">
        <v>0.13787916301695</v>
      </c>
      <c r="F1408">
        <v>0.032931417433479</v>
      </c>
      <c r="G1408">
        <v>0.18685410960985</v>
      </c>
      <c r="H1408">
        <v>0.3841399679590201</v>
      </c>
      <c r="I1408">
        <v>0.794526840792755</v>
      </c>
    </row>
    <row r="1409" spans="1:9">
      <c r="A1409" s="8" t="s">
        <v>1421</v>
      </c>
      <c r="B1409">
        <f>HYPERLINK("https://www.suredividend.com/sure-analysis-research-database/","Installed Building Products Inc")</f>
        <v>0</v>
      </c>
      <c r="C1409">
        <v>-0.1129447516144</v>
      </c>
      <c r="D1409">
        <v>-0.127820722069991</v>
      </c>
      <c r="E1409">
        <v>0.306955838237708</v>
      </c>
      <c r="F1409">
        <v>0.151265065949734</v>
      </c>
      <c r="G1409">
        <v>0.7648842038791001</v>
      </c>
      <c r="H1409">
        <v>1.174864620705141</v>
      </c>
      <c r="I1409">
        <v>3.045247022411788</v>
      </c>
    </row>
    <row r="1410" spans="1:9">
      <c r="A1410" s="8" t="s">
        <v>1422</v>
      </c>
      <c r="B1410">
        <f>HYPERLINK("https://www.suredividend.com/sure-analysis-research-database/","Independent Bank Group Inc")</f>
        <v>0</v>
      </c>
      <c r="C1410">
        <v>0.074637859071937</v>
      </c>
      <c r="D1410">
        <v>-0.006735229242876</v>
      </c>
      <c r="E1410">
        <v>0.06987032985835201</v>
      </c>
      <c r="F1410">
        <v>-0.108860697641748</v>
      </c>
      <c r="G1410">
        <v>0.164981874510931</v>
      </c>
      <c r="H1410">
        <v>-0.324091646810475</v>
      </c>
      <c r="I1410">
        <v>-0.004467047563593</v>
      </c>
    </row>
    <row r="1411" spans="1:9">
      <c r="A1411" s="8" t="s">
        <v>1423</v>
      </c>
      <c r="B1411">
        <f>HYPERLINK("https://www.suredividend.com/sure-analysis-research-database/","Icad Inc")</f>
        <v>0</v>
      </c>
      <c r="C1411">
        <v>0.07092198581560201</v>
      </c>
      <c r="D1411">
        <v>-0.205263157894736</v>
      </c>
      <c r="E1411">
        <v>-0.07926829268292601</v>
      </c>
      <c r="F1411">
        <v>-0.146892655367231</v>
      </c>
      <c r="G1411">
        <v>0.15267175572519</v>
      </c>
      <c r="H1411">
        <v>-0.662946428571428</v>
      </c>
      <c r="I1411">
        <v>-0.7756315007429421</v>
      </c>
    </row>
    <row r="1412" spans="1:9">
      <c r="A1412" s="8" t="s">
        <v>1424</v>
      </c>
      <c r="B1412">
        <f>HYPERLINK("https://www.suredividend.com/sure-analysis-research-database/","County Bancorp Inc")</f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</row>
    <row r="1413" spans="1:9">
      <c r="A1413" s="8" t="s">
        <v>1425</v>
      </c>
      <c r="B1413">
        <f>HYPERLINK("https://www.suredividend.com/sure-analysis-research-database/","Immucell Corp.")</f>
        <v>0</v>
      </c>
      <c r="C1413">
        <v>-0.12133072407045</v>
      </c>
      <c r="D1413">
        <v>-0.136538461538461</v>
      </c>
      <c r="E1413">
        <v>0.006726457399103001</v>
      </c>
      <c r="F1413">
        <v>-0.117878192534381</v>
      </c>
      <c r="G1413">
        <v>-0.12133072407045</v>
      </c>
      <c r="H1413">
        <v>-0.461630695443645</v>
      </c>
      <c r="I1413">
        <v>-0.3411398720432</v>
      </c>
    </row>
    <row r="1414" spans="1:9">
      <c r="A1414" s="8" t="s">
        <v>1426</v>
      </c>
      <c r="B1414">
        <f>HYPERLINK("https://www.suredividend.com/sure-analysis-research-database/","Independence Contract Drilling Inc")</f>
        <v>0</v>
      </c>
      <c r="C1414">
        <v>-0.142011834319526</v>
      </c>
      <c r="D1414">
        <v>-0.121212121212121</v>
      </c>
      <c r="E1414">
        <v>-0.393305439330544</v>
      </c>
      <c r="F1414">
        <v>-0.408163265306122</v>
      </c>
      <c r="G1414">
        <v>-0.506802721088435</v>
      </c>
      <c r="H1414">
        <v>-0.660421545667447</v>
      </c>
      <c r="I1414">
        <v>-0.9612299465240641</v>
      </c>
    </row>
    <row r="1415" spans="1:9">
      <c r="A1415" s="8" t="s">
        <v>1427</v>
      </c>
      <c r="B1415">
        <f>HYPERLINK("https://www.suredividend.com/sure-analysis-ICE/","Intercontinental Exchange Inc")</f>
        <v>0</v>
      </c>
      <c r="C1415">
        <v>0.0005234819024820001</v>
      </c>
      <c r="D1415">
        <v>-0.033277816113963</v>
      </c>
      <c r="E1415">
        <v>0.197095261188487</v>
      </c>
      <c r="F1415">
        <v>0.045155988300877</v>
      </c>
      <c r="G1415">
        <v>0.252939430178992</v>
      </c>
      <c r="H1415">
        <v>0.354733923736347</v>
      </c>
      <c r="I1415">
        <v>0.673527642163539</v>
      </c>
    </row>
    <row r="1416" spans="1:9">
      <c r="A1416" s="8" t="s">
        <v>1428</v>
      </c>
      <c r="B1416">
        <f>HYPERLINK("https://www.suredividend.com/sure-analysis-research-database/","ICF International, Inc")</f>
        <v>0</v>
      </c>
      <c r="C1416">
        <v>-0.041281449428095</v>
      </c>
      <c r="D1416">
        <v>-0.064187271648056</v>
      </c>
      <c r="E1416">
        <v>0.040636832188825</v>
      </c>
      <c r="F1416">
        <v>0.07874219109682</v>
      </c>
      <c r="G1416">
        <v>0.180273944776939</v>
      </c>
      <c r="H1416">
        <v>0.4303098640758961</v>
      </c>
      <c r="I1416">
        <v>1.033248767492853</v>
      </c>
    </row>
    <row r="1417" spans="1:9">
      <c r="A1417" s="8" t="s">
        <v>1429</v>
      </c>
      <c r="B1417">
        <f>HYPERLINK("https://www.suredividend.com/sure-analysis-research-database/","Ichor Holdings Ltd")</f>
        <v>0</v>
      </c>
      <c r="C1417">
        <v>-0.047227926078028</v>
      </c>
      <c r="D1417">
        <v>-0.156938451056098</v>
      </c>
      <c r="E1417">
        <v>0.387144992526158</v>
      </c>
      <c r="F1417">
        <v>0.103776390127861</v>
      </c>
      <c r="G1417">
        <v>0.09272887842213701</v>
      </c>
      <c r="H1417">
        <v>0.236921026324558</v>
      </c>
      <c r="I1417">
        <v>0.7281191806331471</v>
      </c>
    </row>
    <row r="1418" spans="1:9">
      <c r="A1418" s="8" t="s">
        <v>1430</v>
      </c>
      <c r="B1418">
        <f>HYPERLINK("https://www.suredividend.com/sure-analysis-research-database/","Icon Energy Corp.")</f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</row>
    <row r="1419" spans="1:9">
      <c r="A1419" s="8" t="s">
        <v>1431</v>
      </c>
      <c r="B1419">
        <f>HYPERLINK("https://www.suredividend.com/sure-analysis-research-database/","Intercept Pharmaceuticals Inc")</f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</row>
    <row r="1420" spans="1:9">
      <c r="A1420" s="8" t="s">
        <v>1432</v>
      </c>
      <c r="B1420">
        <f>HYPERLINK("https://www.suredividend.com/sure-analysis-research-database/","ICU Medical, Inc.")</f>
        <v>0</v>
      </c>
      <c r="C1420">
        <v>0.102191215485899</v>
      </c>
      <c r="D1420">
        <v>0.06433247936236801</v>
      </c>
      <c r="E1420">
        <v>0.282089381643616</v>
      </c>
      <c r="F1420">
        <v>0.124624022458391</v>
      </c>
      <c r="G1420">
        <v>-0.415446349471051</v>
      </c>
      <c r="H1420">
        <v>-0.371842974743797</v>
      </c>
      <c r="I1420">
        <v>-0.5127068943047041</v>
      </c>
    </row>
    <row r="1421" spans="1:9">
      <c r="A1421" s="8" t="s">
        <v>1433</v>
      </c>
      <c r="B1421">
        <f>HYPERLINK("https://www.suredividend.com/sure-analysis-IDA/","Idacorp, Inc.")</f>
        <v>0</v>
      </c>
      <c r="C1421">
        <v>-0.051788298532147</v>
      </c>
      <c r="D1421">
        <v>0.040309291562187</v>
      </c>
      <c r="E1421">
        <v>-0.07025348338203501</v>
      </c>
      <c r="F1421">
        <v>-0.05048976427344801</v>
      </c>
      <c r="G1421">
        <v>-0.105259102254848</v>
      </c>
      <c r="H1421">
        <v>-0.107088102652258</v>
      </c>
      <c r="I1421">
        <v>0.017133707675794</v>
      </c>
    </row>
    <row r="1422" spans="1:9">
      <c r="A1422" s="8" t="s">
        <v>1434</v>
      </c>
      <c r="B1422">
        <f>HYPERLINK("https://www.suredividend.com/sure-analysis-research-database/","Interdigital Inc")</f>
        <v>0</v>
      </c>
      <c r="C1422">
        <v>0.112586550317746</v>
      </c>
      <c r="D1422">
        <v>0.120519355467332</v>
      </c>
      <c r="E1422">
        <v>0.127566945081818</v>
      </c>
      <c r="F1422">
        <v>0.098063738247067</v>
      </c>
      <c r="G1422">
        <v>0.398311297711561</v>
      </c>
      <c r="H1422">
        <v>0.8580559317604011</v>
      </c>
      <c r="I1422">
        <v>1.061333909733608</v>
      </c>
    </row>
    <row r="1423" spans="1:9">
      <c r="A1423" s="8" t="s">
        <v>1435</v>
      </c>
      <c r="B1423">
        <f>HYPERLINK("https://www.suredividend.com/sure-analysis-research-database/","Intellicheck Inc")</f>
        <v>0</v>
      </c>
      <c r="C1423">
        <v>0.182432432432432</v>
      </c>
      <c r="D1423">
        <v>0.939058171745152</v>
      </c>
      <c r="E1423">
        <v>0.977401129943502</v>
      </c>
      <c r="F1423">
        <v>0.842105263157894</v>
      </c>
      <c r="G1423">
        <v>0.296296296296296</v>
      </c>
      <c r="H1423">
        <v>1.058823529411765</v>
      </c>
      <c r="I1423">
        <v>-0.427206074888714</v>
      </c>
    </row>
    <row r="1424" spans="1:9">
      <c r="A1424" s="8" t="s">
        <v>1436</v>
      </c>
      <c r="B1424">
        <f>HYPERLINK("https://www.suredividend.com/sure-analysis-research-database/","IDT Corp.")</f>
        <v>0</v>
      </c>
      <c r="C1424">
        <v>-0.029033915724563</v>
      </c>
      <c r="D1424">
        <v>0.03812977308939</v>
      </c>
      <c r="E1424">
        <v>0.224590317991658</v>
      </c>
      <c r="F1424">
        <v>0.109998208259044</v>
      </c>
      <c r="G1424">
        <v>0.293225878206115</v>
      </c>
      <c r="H1424">
        <v>0.511775365942449</v>
      </c>
      <c r="I1424">
        <v>3.920636987460775</v>
      </c>
    </row>
    <row r="1425" spans="1:9">
      <c r="A1425" s="8" t="s">
        <v>1437</v>
      </c>
      <c r="B1425">
        <f>HYPERLINK("https://www.suredividend.com/sure-analysis-research-database/","Interpace Biosciences Inc")</f>
        <v>0</v>
      </c>
      <c r="C1425">
        <v>0.088888888888888</v>
      </c>
      <c r="D1425">
        <v>-0.114457831325301</v>
      </c>
      <c r="E1425">
        <v>0.386792452830188</v>
      </c>
      <c r="F1425">
        <v>0.3611111111111101</v>
      </c>
      <c r="G1425">
        <v>0.13953488372093</v>
      </c>
      <c r="H1425">
        <v>-0.554545454545454</v>
      </c>
      <c r="I1425">
        <v>-0.547692307692307</v>
      </c>
    </row>
    <row r="1426" spans="1:9">
      <c r="A1426" s="8" t="s">
        <v>1438</v>
      </c>
      <c r="B1426">
        <f>HYPERLINK("https://www.suredividend.com/sure-analysis-research-database/","Idexx Laboratories, Inc.")</f>
        <v>0</v>
      </c>
      <c r="C1426">
        <v>0.028593284816407</v>
      </c>
      <c r="D1426">
        <v>-0.116668442171797</v>
      </c>
      <c r="E1426">
        <v>-0.0488835359792</v>
      </c>
      <c r="F1426">
        <v>-0.103666336366093</v>
      </c>
      <c r="G1426">
        <v>0.103860661193698</v>
      </c>
      <c r="H1426">
        <v>0.320390668542158</v>
      </c>
      <c r="I1426">
        <v>0.8779631586894151</v>
      </c>
    </row>
    <row r="1427" spans="1:9">
      <c r="A1427" s="8" t="s">
        <v>1439</v>
      </c>
      <c r="B1427">
        <f>HYPERLINK("https://www.suredividend.com/sure-analysis-research-database/","IEC Electronics Corp.")</f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</row>
    <row r="1428" spans="1:9">
      <c r="A1428" s="8" t="s">
        <v>1440</v>
      </c>
      <c r="B1428">
        <f>HYPERLINK("https://www.suredividend.com/sure-analysis-research-database/","IES Holdings Inc")</f>
        <v>0</v>
      </c>
      <c r="C1428">
        <v>-0.250409452503509</v>
      </c>
      <c r="D1428">
        <v>0.112992878235191</v>
      </c>
      <c r="E1428">
        <v>0.7155287817938421</v>
      </c>
      <c r="F1428">
        <v>0.617647058823529</v>
      </c>
      <c r="G1428">
        <v>1.40386419058338</v>
      </c>
      <c r="H1428">
        <v>3.178350179328333</v>
      </c>
      <c r="I1428">
        <v>5.949566160520607</v>
      </c>
    </row>
    <row r="1429" spans="1:9">
      <c r="A1429" s="8" t="s">
        <v>1441</v>
      </c>
      <c r="B1429">
        <f>HYPERLINK("https://www.suredividend.com/sure-analysis-IEX/","Idex Corporation")</f>
        <v>0</v>
      </c>
      <c r="C1429">
        <v>-0.08720187273117901</v>
      </c>
      <c r="D1429">
        <v>-0.152126113414844</v>
      </c>
      <c r="E1429">
        <v>-0.012485967111901</v>
      </c>
      <c r="F1429">
        <v>-0.06483888757582901</v>
      </c>
      <c r="G1429">
        <v>-0.015838086124775</v>
      </c>
      <c r="H1429">
        <v>0.050282830511968</v>
      </c>
      <c r="I1429">
        <v>0.323186217198207</v>
      </c>
    </row>
    <row r="1430" spans="1:9">
      <c r="A1430" s="8" t="s">
        <v>1442</v>
      </c>
      <c r="B1430">
        <f>HYPERLINK("https://www.suredividend.com/sure-analysis-research-database/","International Flavors &amp; Fragrances Inc.")</f>
        <v>0</v>
      </c>
      <c r="C1430">
        <v>0.04399448743771801</v>
      </c>
      <c r="D1430">
        <v>0.254934742883648</v>
      </c>
      <c r="E1430">
        <v>0.297895137769565</v>
      </c>
      <c r="F1430">
        <v>0.222077308054566</v>
      </c>
      <c r="G1430">
        <v>0.258210372058735</v>
      </c>
      <c r="H1430">
        <v>-0.215276920073468</v>
      </c>
      <c r="I1430">
        <v>-0.249869366974447</v>
      </c>
    </row>
    <row r="1431" spans="1:9">
      <c r="A1431" s="8" t="s">
        <v>1443</v>
      </c>
      <c r="B1431">
        <f>HYPERLINK("https://www.suredividend.com/sure-analysis-research-database/","Independence Holding Co.")</f>
        <v>0</v>
      </c>
      <c r="C1431">
        <v>0.004932117284973001</v>
      </c>
      <c r="D1431">
        <v>0.012771113017866</v>
      </c>
      <c r="E1431">
        <v>0.330837089759721</v>
      </c>
      <c r="F1431">
        <v>0.006882690483801</v>
      </c>
      <c r="G1431">
        <v>0.410450844513937</v>
      </c>
      <c r="H1431">
        <v>0.36454481264735</v>
      </c>
      <c r="I1431">
        <v>2.24887733935125</v>
      </c>
    </row>
    <row r="1432" spans="1:9">
      <c r="A1432" s="8" t="s">
        <v>1444</v>
      </c>
      <c r="B1432">
        <f>HYPERLINK("https://www.suredividend.com/sure-analysis-research-database/","Information Services Group Inc.")</f>
        <v>0</v>
      </c>
      <c r="C1432">
        <v>-0.065281899109792</v>
      </c>
      <c r="D1432">
        <v>-0.272735668275113</v>
      </c>
      <c r="E1432">
        <v>-0.298378474697077</v>
      </c>
      <c r="F1432">
        <v>-0.323700538892586</v>
      </c>
      <c r="G1432">
        <v>-0.374354492730595</v>
      </c>
      <c r="H1432">
        <v>-0.431715677430994</v>
      </c>
      <c r="I1432">
        <v>0.1892177589852</v>
      </c>
    </row>
    <row r="1433" spans="1:9">
      <c r="A1433" s="8" t="s">
        <v>1445</v>
      </c>
      <c r="B1433">
        <f>HYPERLINK("https://www.suredividend.com/sure-analysis-research-database/","Insteel Industries, Inc.")</f>
        <v>0</v>
      </c>
      <c r="C1433">
        <v>-0.08559498956158601</v>
      </c>
      <c r="D1433">
        <v>-0.132670813778822</v>
      </c>
      <c r="E1433">
        <v>-0.106140691006305</v>
      </c>
      <c r="F1433">
        <v>-0.198586417268293</v>
      </c>
      <c r="G1433">
        <v>-0.062198908039824</v>
      </c>
      <c r="H1433">
        <v>-0.242680604373482</v>
      </c>
      <c r="I1433">
        <v>0.7831490668419181</v>
      </c>
    </row>
    <row r="1434" spans="1:9">
      <c r="A1434" s="8" t="s">
        <v>1446</v>
      </c>
      <c r="B1434">
        <f>HYPERLINK("https://www.suredividend.com/sure-analysis-research-database/","i3 Verticals Inc")</f>
        <v>0</v>
      </c>
      <c r="C1434">
        <v>-0.143177737881508</v>
      </c>
      <c r="D1434">
        <v>-0.128310502283104</v>
      </c>
      <c r="E1434">
        <v>-0.02252944188428</v>
      </c>
      <c r="F1434">
        <v>-0.09825224374114301</v>
      </c>
      <c r="G1434">
        <v>-0.216659827656955</v>
      </c>
      <c r="H1434">
        <v>-0.222403258655804</v>
      </c>
      <c r="I1434">
        <v>-0.177509694097371</v>
      </c>
    </row>
    <row r="1435" spans="1:9">
      <c r="A1435" s="8" t="s">
        <v>1447</v>
      </c>
      <c r="B1435">
        <f>HYPERLINK("https://www.suredividend.com/sure-analysis-research-database/","IntriCon Corporation")</f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</row>
    <row r="1436" spans="1:9">
      <c r="A1436" s="8" t="s">
        <v>1448</v>
      </c>
      <c r="B1436">
        <f>HYPERLINK("https://www.suredividend.com/sure-analysis-IIPR/","Innovative Industrial Properties Inc")</f>
        <v>0</v>
      </c>
      <c r="C1436">
        <v>-0.023391812865497</v>
      </c>
      <c r="D1436">
        <v>0.126439931283791</v>
      </c>
      <c r="E1436">
        <v>0.289408823909075</v>
      </c>
      <c r="F1436">
        <v>0.07906732560311301</v>
      </c>
      <c r="G1436">
        <v>0.6308842603189131</v>
      </c>
      <c r="H1436">
        <v>-0.08216779463504401</v>
      </c>
      <c r="I1436">
        <v>0.459417461940855</v>
      </c>
    </row>
    <row r="1437" spans="1:9">
      <c r="A1437" s="8" t="s">
        <v>1449</v>
      </c>
      <c r="B1437">
        <f>HYPERLINK("https://www.suredividend.com/sure-analysis-research-database/","Coherent Corp")</f>
        <v>0</v>
      </c>
      <c r="C1437">
        <v>0.266667261660389</v>
      </c>
      <c r="D1437">
        <v>0.317409319330783</v>
      </c>
      <c r="E1437">
        <v>0.420137585991244</v>
      </c>
      <c r="F1437">
        <v>0.420137585991244</v>
      </c>
      <c r="G1437">
        <v>0.113935575397662</v>
      </c>
      <c r="H1437">
        <v>-0.198757417703974</v>
      </c>
      <c r="I1437">
        <v>0.09561863516642401</v>
      </c>
    </row>
    <row r="1438" spans="1:9">
      <c r="A1438" s="8" t="s">
        <v>1450</v>
      </c>
      <c r="B1438">
        <f>HYPERLINK("https://www.suredividend.com/sure-analysis-research-database/","Illumina Inc")</f>
        <v>0</v>
      </c>
      <c r="C1438">
        <v>0.007800035454706001</v>
      </c>
      <c r="D1438">
        <v>-0.163970588235294</v>
      </c>
      <c r="E1438">
        <v>-0.029283701869717</v>
      </c>
      <c r="F1438">
        <v>-0.183424303361103</v>
      </c>
      <c r="G1438">
        <v>-0.438046755300746</v>
      </c>
      <c r="H1438">
        <v>-0.512163727635474</v>
      </c>
      <c r="I1438">
        <v>-0.661092730036662</v>
      </c>
    </row>
    <row r="1439" spans="1:9">
      <c r="A1439" s="8" t="s">
        <v>1451</v>
      </c>
      <c r="B1439">
        <f>HYPERLINK("https://www.suredividend.com/sure-analysis-research-database/","Industrial Logistics Properties Trust")</f>
        <v>0</v>
      </c>
      <c r="C1439">
        <v>-0.062650602409638</v>
      </c>
      <c r="D1439">
        <v>0.005557709706604</v>
      </c>
      <c r="E1439">
        <v>-0.029247354761429</v>
      </c>
      <c r="F1439">
        <v>-0.165576267187198</v>
      </c>
      <c r="G1439">
        <v>0.9893627902219491</v>
      </c>
      <c r="H1439">
        <v>-0.7320733664396061</v>
      </c>
      <c r="I1439">
        <v>-0.7466111686501341</v>
      </c>
    </row>
    <row r="1440" spans="1:9">
      <c r="A1440" s="8" t="s">
        <v>1452</v>
      </c>
      <c r="B1440">
        <f>HYPERLINK("https://www.suredividend.com/sure-analysis-research-database/","iMedia Brands Inc")</f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</row>
    <row r="1441" spans="1:9">
      <c r="A1441" s="8" t="s">
        <v>1453</v>
      </c>
      <c r="B1441">
        <f>HYPERLINK("https://www.suredividend.com/sure-analysis-research-database/","Immunogen, Inc.")</f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</row>
    <row r="1442" spans="1:9">
      <c r="A1442" s="8" t="s">
        <v>1454</v>
      </c>
      <c r="B1442">
        <f>HYPERLINK("https://www.suredividend.com/sure-analysis-research-database/","Impac Mortgage Holdings, Inc.")</f>
        <v>0</v>
      </c>
      <c r="C1442">
        <v>-0.374930516953863</v>
      </c>
      <c r="D1442">
        <v>-0.337164750957854</v>
      </c>
      <c r="E1442">
        <v>-0.100759696121551</v>
      </c>
      <c r="F1442">
        <v>0.318288393903868</v>
      </c>
      <c r="G1442">
        <v>-0.664478591675369</v>
      </c>
      <c r="H1442">
        <v>-0.8934123222748811</v>
      </c>
      <c r="I1442">
        <v>-0.9746734234234231</v>
      </c>
    </row>
    <row r="1443" spans="1:9">
      <c r="A1443" s="8" t="s">
        <v>1455</v>
      </c>
      <c r="B1443">
        <f>HYPERLINK("https://www.suredividend.com/sure-analysis-research-database/","Ingles Markets, Inc.")</f>
        <v>0</v>
      </c>
      <c r="C1443">
        <v>-0.028405154496328</v>
      </c>
      <c r="D1443">
        <v>-0.078231972152404</v>
      </c>
      <c r="E1443">
        <v>-0.16488416519382</v>
      </c>
      <c r="F1443">
        <v>-0.181418718567739</v>
      </c>
      <c r="G1443">
        <v>-0.170605462743483</v>
      </c>
      <c r="H1443">
        <v>-0.202531156102365</v>
      </c>
      <c r="I1443">
        <v>1.497720278126069</v>
      </c>
    </row>
    <row r="1444" spans="1:9">
      <c r="A1444" s="8" t="s">
        <v>1456</v>
      </c>
      <c r="B1444">
        <f>HYPERLINK("https://www.suredividend.com/sure-analysis-research-database/","Immersion Corp")</f>
        <v>0</v>
      </c>
      <c r="C1444">
        <v>0.320217096336499</v>
      </c>
      <c r="D1444">
        <v>0.481267221824714</v>
      </c>
      <c r="E1444">
        <v>0.4955655635653791</v>
      </c>
      <c r="F1444">
        <v>0.404465999797918</v>
      </c>
      <c r="G1444">
        <v>0.283048724203863</v>
      </c>
      <c r="H1444">
        <v>0.772668476379602</v>
      </c>
      <c r="I1444">
        <v>0.340663580246913</v>
      </c>
    </row>
    <row r="1445" spans="1:9">
      <c r="A1445" s="8" t="s">
        <v>1457</v>
      </c>
      <c r="B1445">
        <f>HYPERLINK("https://www.suredividend.com/sure-analysis-research-database/","Immunic Inc")</f>
        <v>0</v>
      </c>
      <c r="C1445">
        <v>-0.108695652173912</v>
      </c>
      <c r="D1445">
        <v>-0.157534246575342</v>
      </c>
      <c r="E1445">
        <v>0</v>
      </c>
      <c r="F1445">
        <v>-0.18</v>
      </c>
      <c r="G1445">
        <v>-0.267857142857142</v>
      </c>
      <c r="H1445">
        <v>-0.6763157894736841</v>
      </c>
      <c r="I1445">
        <v>-0.874745417515274</v>
      </c>
    </row>
    <row r="1446" spans="1:9">
      <c r="A1446" s="8" t="s">
        <v>1458</v>
      </c>
      <c r="B1446">
        <f>HYPERLINK("https://www.suredividend.com/sure-analysis-research-database/","International Money Express Inc.")</f>
        <v>0</v>
      </c>
      <c r="C1446">
        <v>0.09239407861153601</v>
      </c>
      <c r="D1446">
        <v>0.018562589243217</v>
      </c>
      <c r="E1446">
        <v>0.02835175396444</v>
      </c>
      <c r="F1446">
        <v>-0.031235853327297</v>
      </c>
      <c r="G1446">
        <v>-0.144</v>
      </c>
      <c r="H1446">
        <v>0.032818532818532</v>
      </c>
      <c r="I1446">
        <v>0.5473608098336941</v>
      </c>
    </row>
    <row r="1447" spans="1:9">
      <c r="A1447" s="8" t="s">
        <v>1459</v>
      </c>
      <c r="B1447">
        <f>HYPERLINK("https://www.suredividend.com/sure-analysis-research-database/","First Internet Bancorp")</f>
        <v>0</v>
      </c>
      <c r="C1447">
        <v>-0.134187252211039</v>
      </c>
      <c r="D1447">
        <v>-0.09550268258802801</v>
      </c>
      <c r="E1447">
        <v>0.278160960939328</v>
      </c>
      <c r="F1447">
        <v>0.177827470471338</v>
      </c>
      <c r="G1447">
        <v>1.087070309054018</v>
      </c>
      <c r="H1447">
        <v>-0.249289350168572</v>
      </c>
      <c r="I1447">
        <v>0.411798638427378</v>
      </c>
    </row>
    <row r="1448" spans="1:9">
      <c r="A1448" s="8" t="s">
        <v>1460</v>
      </c>
      <c r="B1448">
        <f>HYPERLINK("https://www.suredividend.com/sure-analysis-research-database/","Incyte Corp.")</f>
        <v>0</v>
      </c>
      <c r="C1448">
        <v>0.08810005517748701</v>
      </c>
      <c r="D1448">
        <v>0.002202270032186</v>
      </c>
      <c r="E1448">
        <v>0.07212758245741201</v>
      </c>
      <c r="F1448">
        <v>-0.057811753463927</v>
      </c>
      <c r="G1448">
        <v>-0.036325134386708</v>
      </c>
      <c r="H1448">
        <v>-0.210252302763316</v>
      </c>
      <c r="I1448">
        <v>-0.268093529630087</v>
      </c>
    </row>
    <row r="1449" spans="1:9">
      <c r="A1449" s="8" t="s">
        <v>1461</v>
      </c>
      <c r="B1449">
        <f>HYPERLINK("https://www.suredividend.com/sure-analysis-INDB/","Independent Bank Corp.")</f>
        <v>0</v>
      </c>
      <c r="C1449">
        <v>-0.021087899093417</v>
      </c>
      <c r="D1449">
        <v>-0.03100699579004</v>
      </c>
      <c r="E1449">
        <v>-0.163644201075627</v>
      </c>
      <c r="F1449">
        <v>-0.236997700393713</v>
      </c>
      <c r="G1449">
        <v>0.002755710781592</v>
      </c>
      <c r="H1449">
        <v>-0.345158364359317</v>
      </c>
      <c r="I1449">
        <v>-0.147941215320246</v>
      </c>
    </row>
    <row r="1450" spans="1:9">
      <c r="A1450" s="8" t="s">
        <v>1462</v>
      </c>
      <c r="B1450">
        <f>HYPERLINK("https://www.suredividend.com/sure-analysis-research-database/","Infinity Pharmaceuticals Inc.")</f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</row>
    <row r="1451" spans="1:9">
      <c r="A1451" s="8" t="s">
        <v>1463</v>
      </c>
      <c r="B1451">
        <f>HYPERLINK("https://www.suredividend.com/sure-analysis-research-database/","Infinera Corp.")</f>
        <v>0</v>
      </c>
      <c r="C1451">
        <v>0.028517110266159</v>
      </c>
      <c r="D1451">
        <v>0.113168724279835</v>
      </c>
      <c r="E1451">
        <v>0.223981900452488</v>
      </c>
      <c r="F1451">
        <v>0.138947368421052</v>
      </c>
      <c r="G1451">
        <v>0.146186440677966</v>
      </c>
      <c r="H1451">
        <v>-0.05253940455341401</v>
      </c>
      <c r="I1451">
        <v>0.803333333333333</v>
      </c>
    </row>
    <row r="1452" spans="1:9">
      <c r="A1452" s="8" t="s">
        <v>1464</v>
      </c>
      <c r="B1452">
        <f>HYPERLINK("https://www.suredividend.com/sure-analysis-research-database/","IHS Markit Ltd")</f>
        <v>0</v>
      </c>
      <c r="C1452">
        <v>-0.024694683908045</v>
      </c>
      <c r="D1452">
        <v>-0.145428937864398</v>
      </c>
      <c r="E1452">
        <v>-0.08678064321383201</v>
      </c>
      <c r="F1452">
        <v>-0.181432436710053</v>
      </c>
      <c r="G1452">
        <v>0.213073629917047</v>
      </c>
      <c r="H1452">
        <v>0.5547831663693851</v>
      </c>
      <c r="I1452">
        <v>1.789399204349624</v>
      </c>
    </row>
    <row r="1453" spans="1:9">
      <c r="A1453" s="8" t="s">
        <v>1465</v>
      </c>
      <c r="B1453">
        <f>HYPERLINK("https://www.suredividend.com/sure-analysis-research-database/","InfuSystem Holdings Inc")</f>
        <v>0</v>
      </c>
      <c r="C1453">
        <v>-0.15043156596794</v>
      </c>
      <c r="D1453">
        <v>-0.251900108577633</v>
      </c>
      <c r="E1453">
        <v>-0.338771593090211</v>
      </c>
      <c r="F1453">
        <v>-0.3462998102466791</v>
      </c>
      <c r="G1453">
        <v>-0.233592880978865</v>
      </c>
      <c r="H1453">
        <v>-0.313745019920318</v>
      </c>
      <c r="I1453">
        <v>0.46595744680851</v>
      </c>
    </row>
    <row r="1454" spans="1:9">
      <c r="A1454" s="8" t="s">
        <v>1466</v>
      </c>
      <c r="B1454">
        <f>HYPERLINK("https://www.suredividend.com/sure-analysis-research-database/","Inogen Inc")</f>
        <v>0</v>
      </c>
      <c r="C1454">
        <v>0.183561643835616</v>
      </c>
      <c r="D1454">
        <v>0.145888594164456</v>
      </c>
      <c r="E1454">
        <v>0.487091222030981</v>
      </c>
      <c r="F1454">
        <v>0.573770491803278</v>
      </c>
      <c r="G1454">
        <v>-0.225806451612903</v>
      </c>
      <c r="H1454">
        <v>-0.672851192730026</v>
      </c>
      <c r="I1454">
        <v>-0.8695652173913041</v>
      </c>
    </row>
    <row r="1455" spans="1:9">
      <c r="A1455" s="8" t="s">
        <v>1467</v>
      </c>
      <c r="B1455">
        <f>HYPERLINK("https://www.suredividend.com/sure-analysis-INGR/","Ingredion Inc")</f>
        <v>0</v>
      </c>
      <c r="C1455">
        <v>-0.005404477996053</v>
      </c>
      <c r="D1455">
        <v>0.003618358407922</v>
      </c>
      <c r="E1455">
        <v>0.107843193462635</v>
      </c>
      <c r="F1455">
        <v>0.07537852507856101</v>
      </c>
      <c r="G1455">
        <v>0.115488784017164</v>
      </c>
      <c r="H1455">
        <v>0.315095467491824</v>
      </c>
      <c r="I1455">
        <v>0.667959044800683</v>
      </c>
    </row>
    <row r="1456" spans="1:9">
      <c r="A1456" s="8" t="s">
        <v>1468</v>
      </c>
      <c r="B1456">
        <f>HYPERLINK("https://www.suredividend.com/sure-analysis-research-database/","Summit Hotel Properties Inc")</f>
        <v>0</v>
      </c>
      <c r="C1456">
        <v>-0.031856604871426</v>
      </c>
      <c r="D1456">
        <v>-0.037998265506054</v>
      </c>
      <c r="E1456">
        <v>-0.037890104241956</v>
      </c>
      <c r="F1456">
        <v>-0.08800243605359301</v>
      </c>
      <c r="G1456">
        <v>-0.121778142685394</v>
      </c>
      <c r="H1456">
        <v>-0.319944142323543</v>
      </c>
      <c r="I1456">
        <v>-0.422132610436343</v>
      </c>
    </row>
    <row r="1457" spans="1:9">
      <c r="A1457" s="8" t="s">
        <v>1469</v>
      </c>
      <c r="B1457">
        <f>HYPERLINK("https://www.suredividend.com/sure-analysis-research-database/","Inovio Pharmaceuticals Inc")</f>
        <v>0</v>
      </c>
      <c r="C1457">
        <v>-0.139910313901345</v>
      </c>
      <c r="D1457">
        <v>0.06201550387596901</v>
      </c>
      <c r="E1457">
        <v>1.114197530864197</v>
      </c>
      <c r="F1457">
        <v>0.566993464052287</v>
      </c>
      <c r="G1457">
        <v>0.375028676301904</v>
      </c>
      <c r="H1457">
        <v>-0.558471454880294</v>
      </c>
      <c r="I1457">
        <v>-0.6738095238095231</v>
      </c>
    </row>
    <row r="1458" spans="1:9">
      <c r="A1458" s="8" t="s">
        <v>1470</v>
      </c>
      <c r="B1458">
        <f>HYPERLINK("https://www.suredividend.com/sure-analysis-research-database/","Innodata Inc")</f>
        <v>0</v>
      </c>
      <c r="C1458">
        <v>1.160237388724035</v>
      </c>
      <c r="D1458">
        <v>0.9782608695652171</v>
      </c>
      <c r="E1458">
        <v>0.808695652173913</v>
      </c>
      <c r="F1458">
        <v>0.7886977886977881</v>
      </c>
      <c r="G1458">
        <v>0.318840579710145</v>
      </c>
      <c r="H1458">
        <v>1.519031141868512</v>
      </c>
      <c r="I1458">
        <v>13.65968586387435</v>
      </c>
    </row>
    <row r="1459" spans="1:9">
      <c r="A1459" s="8" t="s">
        <v>1471</v>
      </c>
      <c r="B1459">
        <f>HYPERLINK("https://www.suredividend.com/sure-analysis-research-database/","Innovator ETFs Trust")</f>
        <v>0</v>
      </c>
      <c r="C1459">
        <v>0.013991828033398</v>
      </c>
      <c r="D1459">
        <v>0.023629842180774</v>
      </c>
      <c r="E1459">
        <v>0.08128956970140101</v>
      </c>
      <c r="F1459">
        <v>0.055624190863695</v>
      </c>
      <c r="G1459">
        <v>0.137221460677739</v>
      </c>
      <c r="H1459">
        <v>0.137221460677739</v>
      </c>
      <c r="I1459">
        <v>0.137221460677739</v>
      </c>
    </row>
    <row r="1460" spans="1:9">
      <c r="A1460" s="8" t="s">
        <v>1472</v>
      </c>
      <c r="B1460">
        <f>HYPERLINK("https://www.suredividend.com/sure-analysis-research-database/","CoreCard Corporation")</f>
        <v>0</v>
      </c>
      <c r="C1460">
        <v>-0.029020556227327</v>
      </c>
      <c r="D1460">
        <v>0.024496044909415</v>
      </c>
      <c r="E1460">
        <v>0.303994803507632</v>
      </c>
      <c r="F1460">
        <v>0.00099725754176</v>
      </c>
      <c r="G1460">
        <v>0.021888521252227</v>
      </c>
      <c r="H1460">
        <v>-0.017135862913096</v>
      </c>
      <c r="I1460">
        <v>8.272517321016165</v>
      </c>
    </row>
    <row r="1461" spans="1:9">
      <c r="A1461" s="8" t="s">
        <v>1473</v>
      </c>
      <c r="B1461">
        <f>HYPERLINK("https://www.suredividend.com/sure-analysis-research-database/","Inspired Entertainment Inc")</f>
        <v>0</v>
      </c>
      <c r="C1461">
        <v>0.05780346820809201</v>
      </c>
      <c r="D1461">
        <v>-0.003267973856209</v>
      </c>
      <c r="E1461">
        <v>0.126847290640394</v>
      </c>
      <c r="F1461">
        <v>-0.073886639676113</v>
      </c>
      <c r="G1461">
        <v>-0.415708812260536</v>
      </c>
      <c r="H1461">
        <v>-0.193832599118942</v>
      </c>
      <c r="I1461">
        <v>0.22</v>
      </c>
    </row>
    <row r="1462" spans="1:9">
      <c r="A1462" s="8" t="s">
        <v>1474</v>
      </c>
      <c r="B1462">
        <f>HYPERLINK("https://www.suredividend.com/sure-analysis-research-database/","Inseego Corp")</f>
        <v>0</v>
      </c>
      <c r="C1462">
        <v>1.062992125984252</v>
      </c>
      <c r="D1462">
        <v>1.594059405940594</v>
      </c>
      <c r="E1462">
        <v>2.246592317224288</v>
      </c>
      <c r="F1462">
        <v>2.575978161965423</v>
      </c>
      <c r="G1462">
        <v>-0.172631578947368</v>
      </c>
      <c r="H1462">
        <v>-0.620289855072463</v>
      </c>
      <c r="I1462">
        <v>-0.832765957446808</v>
      </c>
    </row>
    <row r="1463" spans="1:9">
      <c r="A1463" s="8" t="s">
        <v>1475</v>
      </c>
      <c r="B1463">
        <f>HYPERLINK("https://www.suredividend.com/sure-analysis-research-database/","Insmed Inc")</f>
        <v>0</v>
      </c>
      <c r="C1463">
        <v>1.179831288343558</v>
      </c>
      <c r="D1463">
        <v>1.047173208498379</v>
      </c>
      <c r="E1463">
        <v>1.0620239390642</v>
      </c>
      <c r="F1463">
        <v>0.8344627299128751</v>
      </c>
      <c r="G1463">
        <v>1.874115267947421</v>
      </c>
      <c r="H1463">
        <v>1.829766052762568</v>
      </c>
      <c r="I1463">
        <v>1.347233691164327</v>
      </c>
    </row>
    <row r="1464" spans="1:9">
      <c r="A1464" s="8" t="s">
        <v>1476</v>
      </c>
      <c r="B1464">
        <f>HYPERLINK("https://www.suredividend.com/sure-analysis-research-database/","Inspire Medical Systems Inc")</f>
        <v>0</v>
      </c>
      <c r="C1464">
        <v>-0.3576110409966211</v>
      </c>
      <c r="D1464">
        <v>-0.233508209462741</v>
      </c>
      <c r="E1464">
        <v>-0.019328775637041</v>
      </c>
      <c r="F1464">
        <v>-0.224352357076144</v>
      </c>
      <c r="G1464">
        <v>-0.4786559175312231</v>
      </c>
      <c r="H1464">
        <v>-0.177062689058099</v>
      </c>
      <c r="I1464">
        <v>1.788301820109559</v>
      </c>
    </row>
    <row r="1465" spans="1:9">
      <c r="A1465" s="8" t="s">
        <v>1477</v>
      </c>
      <c r="B1465">
        <f>HYPERLINK("https://www.suredividend.com/sure-analysis-research-database/","Instructure Holdings Inc")</f>
        <v>0</v>
      </c>
      <c r="C1465">
        <v>0.109994977398292</v>
      </c>
      <c r="D1465">
        <v>0.048884670147128</v>
      </c>
      <c r="E1465">
        <v>-0.154228855721393</v>
      </c>
      <c r="F1465">
        <v>-0.181784524250277</v>
      </c>
      <c r="G1465">
        <v>-0.134351743047395</v>
      </c>
      <c r="H1465">
        <v>0.132172131147541</v>
      </c>
      <c r="I1465">
        <v>0.05338417540514701</v>
      </c>
    </row>
    <row r="1466" spans="1:9">
      <c r="A1466" s="8" t="s">
        <v>1478</v>
      </c>
      <c r="B1466">
        <f>HYPERLINK("https://www.suredividend.com/sure-analysis-research-database/","International Seaways Inc")</f>
        <v>0</v>
      </c>
      <c r="C1466">
        <v>0.088437775816416</v>
      </c>
      <c r="D1466">
        <v>0.165430232008694</v>
      </c>
      <c r="E1466">
        <v>0.400431076578551</v>
      </c>
      <c r="F1466">
        <v>0.358901066448631</v>
      </c>
      <c r="G1466">
        <v>0.7036161089253341</v>
      </c>
      <c r="H1466">
        <v>1.540700237752844</v>
      </c>
      <c r="I1466">
        <v>2.790659215679041</v>
      </c>
    </row>
    <row r="1467" spans="1:9">
      <c r="A1467" s="8" t="s">
        <v>1479</v>
      </c>
      <c r="B1467">
        <f>HYPERLINK("https://www.suredividend.com/sure-analysis-research-database/","Intel Corp.")</f>
        <v>0</v>
      </c>
      <c r="C1467">
        <v>0.001955671447196</v>
      </c>
      <c r="D1467">
        <v>-0.32848813713347</v>
      </c>
      <c r="E1467">
        <v>-0.262606926793227</v>
      </c>
      <c r="F1467">
        <v>-0.381470265702184</v>
      </c>
      <c r="G1467">
        <v>0.007399833520131001</v>
      </c>
      <c r="H1467">
        <v>-0.243730764215721</v>
      </c>
      <c r="I1467">
        <v>-0.226938939744492</v>
      </c>
    </row>
    <row r="1468" spans="1:9">
      <c r="A1468" s="8" t="s">
        <v>1480</v>
      </c>
      <c r="B1468">
        <f>HYPERLINK("https://www.suredividend.com/sure-analysis-research-database/","Intergroup Corp.")</f>
        <v>0</v>
      </c>
      <c r="C1468">
        <v>0.023668639053254</v>
      </c>
      <c r="D1468">
        <v>0.026198714780029</v>
      </c>
      <c r="E1468">
        <v>-0.000481463649494</v>
      </c>
      <c r="F1468">
        <v>0.05648854961832001</v>
      </c>
      <c r="G1468">
        <v>-0.391202346041055</v>
      </c>
      <c r="H1468">
        <v>-0.567499999999999</v>
      </c>
      <c r="I1468">
        <v>-0.32669542373431</v>
      </c>
    </row>
    <row r="1469" spans="1:9">
      <c r="A1469" s="8" t="s">
        <v>1481</v>
      </c>
      <c r="B1469">
        <f>HYPERLINK("https://www.suredividend.com/sure-analysis-research-database/","Northern Lights Fund Trust IV")</f>
        <v>0</v>
      </c>
      <c r="C1469">
        <v>-0.013395815170008</v>
      </c>
      <c r="D1469">
        <v>-0.012965547317924</v>
      </c>
      <c r="E1469">
        <v>0.084398597109893</v>
      </c>
      <c r="F1469">
        <v>0.016898358239803</v>
      </c>
      <c r="G1469">
        <v>0.144047919931254</v>
      </c>
      <c r="H1469">
        <v>0.205996760236161</v>
      </c>
      <c r="I1469">
        <v>0.205996760236161</v>
      </c>
    </row>
    <row r="1470" spans="1:9">
      <c r="A1470" s="8" t="s">
        <v>1482</v>
      </c>
      <c r="B1470">
        <f>HYPERLINK("https://www.suredividend.com/sure-analysis-research-database/","Intest Corp.")</f>
        <v>0</v>
      </c>
      <c r="C1470">
        <v>-0.127896200185356</v>
      </c>
      <c r="D1470">
        <v>-0.174561403508771</v>
      </c>
      <c r="E1470">
        <v>-0.302446256486286</v>
      </c>
      <c r="F1470">
        <v>-0.308088235294117</v>
      </c>
      <c r="G1470">
        <v>-0.6090569173244701</v>
      </c>
      <c r="H1470">
        <v>0.200255102040816</v>
      </c>
      <c r="I1470">
        <v>0.8933601609657941</v>
      </c>
    </row>
    <row r="1471" spans="1:9">
      <c r="A1471" s="8" t="s">
        <v>1483</v>
      </c>
      <c r="B1471">
        <f>HYPERLINK("https://www.suredividend.com/sure-analysis-INTU/","Intuit Inc")</f>
        <v>0</v>
      </c>
      <c r="C1471">
        <v>-0.104889651407626</v>
      </c>
      <c r="D1471">
        <v>-0.113708332979424</v>
      </c>
      <c r="E1471">
        <v>0.010060654679111</v>
      </c>
      <c r="F1471">
        <v>-0.07646110322586801</v>
      </c>
      <c r="G1471">
        <v>0.376214109084212</v>
      </c>
      <c r="H1471">
        <v>0.40535489435228</v>
      </c>
      <c r="I1471">
        <v>1.322743581493331</v>
      </c>
    </row>
    <row r="1472" spans="1:9">
      <c r="A1472" s="8" t="s">
        <v>1484</v>
      </c>
      <c r="B1472">
        <f>HYPERLINK("https://www.suredividend.com/sure-analysis-research-database/","Inuvo Inc")</f>
        <v>0</v>
      </c>
      <c r="C1472">
        <v>-0.302857142857142</v>
      </c>
      <c r="D1472">
        <v>-0.5210991167811581</v>
      </c>
      <c r="E1472">
        <v>-0.17595406957109</v>
      </c>
      <c r="F1472">
        <v>-0.425882352941176</v>
      </c>
      <c r="G1472">
        <v>-0.016921837228041</v>
      </c>
      <c r="H1472">
        <v>-0.511609287429943</v>
      </c>
      <c r="I1472">
        <v>-0.61875</v>
      </c>
    </row>
    <row r="1473" spans="1:9">
      <c r="A1473" s="8" t="s">
        <v>1485</v>
      </c>
      <c r="B1473">
        <f>HYPERLINK("https://www.suredividend.com/sure-analysis-research-database/","Innoviva Inc")</f>
        <v>0</v>
      </c>
      <c r="C1473">
        <v>0.039278815196394</v>
      </c>
      <c r="D1473">
        <v>0.07029177718832801</v>
      </c>
      <c r="E1473">
        <v>0.09349593495934901</v>
      </c>
      <c r="F1473">
        <v>0.006234413965087</v>
      </c>
      <c r="G1473">
        <v>0.204477611940298</v>
      </c>
      <c r="H1473">
        <v>0.034615384615384</v>
      </c>
      <c r="I1473">
        <v>0.152857142857142</v>
      </c>
    </row>
    <row r="1474" spans="1:9">
      <c r="A1474" s="8" t="s">
        <v>1486</v>
      </c>
      <c r="B1474">
        <f>HYPERLINK("https://www.suredividend.com/sure-analysis-research-database/","Identiv Inc")</f>
        <v>0</v>
      </c>
      <c r="C1474">
        <v>-0.181274900398406</v>
      </c>
      <c r="D1474">
        <v>-0.5226480836236931</v>
      </c>
      <c r="E1474">
        <v>-0.420310296191819</v>
      </c>
      <c r="F1474">
        <v>-0.501213592233009</v>
      </c>
      <c r="G1474">
        <v>-0.4577836411609491</v>
      </c>
      <c r="H1474">
        <v>-0.6930545182972361</v>
      </c>
      <c r="I1474">
        <v>-0.152577319587628</v>
      </c>
    </row>
    <row r="1475" spans="1:9">
      <c r="A1475" s="8" t="s">
        <v>1487</v>
      </c>
      <c r="B1475">
        <f>HYPERLINK("https://www.suredividend.com/sure-analysis-INVH/","Invitation Homes Inc")</f>
        <v>0</v>
      </c>
      <c r="C1475">
        <v>0.0008576329331040001</v>
      </c>
      <c r="D1475">
        <v>0.019890931972313</v>
      </c>
      <c r="E1475">
        <v>0.086703479872239</v>
      </c>
      <c r="F1475">
        <v>0.034840517508933</v>
      </c>
      <c r="G1475">
        <v>0.049092494538785</v>
      </c>
      <c r="H1475">
        <v>-0.026239521157943</v>
      </c>
      <c r="I1475">
        <v>0.481992583687499</v>
      </c>
    </row>
    <row r="1476" spans="1:9">
      <c r="A1476" s="8" t="s">
        <v>1488</v>
      </c>
      <c r="B1476">
        <f>HYPERLINK("https://www.suredividend.com/sure-analysis-research-database/","ION Geophysical Corp")</f>
        <v>0</v>
      </c>
      <c r="C1476">
        <v>-0.120346761856195</v>
      </c>
      <c r="D1476">
        <v>-0.304154901169826</v>
      </c>
      <c r="E1476">
        <v>-0.7994186046511621</v>
      </c>
      <c r="F1476">
        <v>-0.6079545454545451</v>
      </c>
      <c r="G1476">
        <v>-0.8275</v>
      </c>
      <c r="H1476">
        <v>-0.842465753424657</v>
      </c>
      <c r="I1476">
        <v>-0.9197674418604651</v>
      </c>
    </row>
    <row r="1477" spans="1:9">
      <c r="A1477" s="8" t="s">
        <v>1489</v>
      </c>
      <c r="B1477">
        <f>HYPERLINK("https://www.suredividend.com/sure-analysis-research-database/","Ionis Pharmaceuticals Inc")</f>
        <v>0</v>
      </c>
      <c r="C1477">
        <v>-0.048375274859516</v>
      </c>
      <c r="D1477">
        <v>-0.128050145511528</v>
      </c>
      <c r="E1477">
        <v>-0.212654133818475</v>
      </c>
      <c r="F1477">
        <v>-0.230084997034987</v>
      </c>
      <c r="G1477">
        <v>-0.03945745992601701</v>
      </c>
      <c r="H1477">
        <v>0.111904082215244</v>
      </c>
      <c r="I1477">
        <v>-0.388347989949748</v>
      </c>
    </row>
    <row r="1478" spans="1:9">
      <c r="A1478" s="8" t="s">
        <v>1490</v>
      </c>
      <c r="B1478">
        <f>HYPERLINK("https://www.suredividend.com/sure-analysis-research-database/","Income Opportunity Realty Investors, Inc.")</f>
        <v>0</v>
      </c>
      <c r="C1478">
        <v>-0.024024024024023</v>
      </c>
      <c r="D1478">
        <v>0.009316770186335002</v>
      </c>
      <c r="E1478">
        <v>0.25</v>
      </c>
      <c r="F1478">
        <v>0.212686567164179</v>
      </c>
      <c r="G1478">
        <v>0.477272727272727</v>
      </c>
      <c r="H1478">
        <v>0.102442333785617</v>
      </c>
      <c r="I1478">
        <v>0.397849462365591</v>
      </c>
    </row>
    <row r="1479" spans="1:9">
      <c r="A1479" s="8" t="s">
        <v>1491</v>
      </c>
      <c r="B1479">
        <f>HYPERLINK("https://www.suredividend.com/sure-analysis-research-database/","Innospec Inc")</f>
        <v>0</v>
      </c>
      <c r="C1479">
        <v>0.022162921029919</v>
      </c>
      <c r="D1479">
        <v>0.013967451845581</v>
      </c>
      <c r="E1479">
        <v>0.154564393142664</v>
      </c>
      <c r="F1479">
        <v>0.03642893791688</v>
      </c>
      <c r="G1479">
        <v>0.260723640390689</v>
      </c>
      <c r="H1479">
        <v>0.266199835920559</v>
      </c>
      <c r="I1479">
        <v>0.619114918043929</v>
      </c>
    </row>
    <row r="1480" spans="1:9">
      <c r="A1480" s="8" t="s">
        <v>1492</v>
      </c>
      <c r="B1480">
        <f>HYPERLINK("https://www.suredividend.com/sure-analysis-research-database/","Iovance Biotherapeutics Inc")</f>
        <v>0</v>
      </c>
      <c r="C1480">
        <v>-0.44349070100143</v>
      </c>
      <c r="D1480">
        <v>-0.531889290012033</v>
      </c>
      <c r="E1480">
        <v>0.156017830609212</v>
      </c>
      <c r="F1480">
        <v>-0.043050430504305</v>
      </c>
      <c r="G1480">
        <v>-0.055825242718446</v>
      </c>
      <c r="H1480">
        <v>-0.06490384615384601</v>
      </c>
      <c r="I1480">
        <v>-0.592456783656364</v>
      </c>
    </row>
    <row r="1481" spans="1:9">
      <c r="A1481" s="8" t="s">
        <v>1493</v>
      </c>
      <c r="B1481">
        <f>HYPERLINK("https://www.suredividend.com/sure-analysis-IP/","International Paper Co.")</f>
        <v>0</v>
      </c>
      <c r="C1481">
        <v>0.176936113273267</v>
      </c>
      <c r="D1481">
        <v>0.274030739056186</v>
      </c>
      <c r="E1481">
        <v>0.257779397567903</v>
      </c>
      <c r="F1481">
        <v>0.281092201234337</v>
      </c>
      <c r="G1481">
        <v>0.4815761532109</v>
      </c>
      <c r="H1481">
        <v>0.04407709681442101</v>
      </c>
      <c r="I1481">
        <v>0.339559524620813</v>
      </c>
    </row>
    <row r="1482" spans="1:9">
      <c r="A1482" s="8" t="s">
        <v>1494</v>
      </c>
      <c r="B1482">
        <f>HYPERLINK("https://www.suredividend.com/sure-analysis-IPAR/","Inter Parfums, Inc.")</f>
        <v>0</v>
      </c>
      <c r="C1482">
        <v>-0.05492009410237601</v>
      </c>
      <c r="D1482">
        <v>-0.157201155466364</v>
      </c>
      <c r="E1482">
        <v>-0.104100451487231</v>
      </c>
      <c r="F1482">
        <v>-0.182073867505795</v>
      </c>
      <c r="G1482">
        <v>-0.09983279297545</v>
      </c>
      <c r="H1482">
        <v>0.6774030057909991</v>
      </c>
      <c r="I1482">
        <v>0.9419320640487531</v>
      </c>
    </row>
    <row r="1483" spans="1:9">
      <c r="A1483" s="8" t="s">
        <v>1495</v>
      </c>
      <c r="B1483">
        <f>HYPERLINK("https://www.suredividend.com/sure-analysis-IPG/","Interpublic Group Of Cos., Inc.")</f>
        <v>0</v>
      </c>
      <c r="C1483">
        <v>0.002925198495612</v>
      </c>
      <c r="D1483">
        <v>-0.045773072908901</v>
      </c>
      <c r="E1483">
        <v>0.017734150082657</v>
      </c>
      <c r="F1483">
        <v>-0.038702248034847</v>
      </c>
      <c r="G1483">
        <v>-0.19215294396087</v>
      </c>
      <c r="H1483">
        <v>0.040481222565436</v>
      </c>
      <c r="I1483">
        <v>0.6971531802286071</v>
      </c>
    </row>
    <row r="1484" spans="1:9">
      <c r="A1484" s="8" t="s">
        <v>1496</v>
      </c>
      <c r="B1484">
        <f>HYPERLINK("https://www.suredividend.com/sure-analysis-research-database/","IPG Photonics Corp")</f>
        <v>0</v>
      </c>
      <c r="C1484">
        <v>-0.04067493574701</v>
      </c>
      <c r="D1484">
        <v>-0.04013864042933801</v>
      </c>
      <c r="E1484">
        <v>-0.1415</v>
      </c>
      <c r="F1484">
        <v>-0.209047355813525</v>
      </c>
      <c r="G1484">
        <v>-0.240937223695844</v>
      </c>
      <c r="H1484">
        <v>-0.174757281553398</v>
      </c>
      <c r="I1484">
        <v>-0.348634294385432</v>
      </c>
    </row>
    <row r="1485" spans="1:9">
      <c r="A1485" s="8" t="s">
        <v>1497</v>
      </c>
      <c r="B1485">
        <f>HYPERLINK("https://www.suredividend.com/sure-analysis-research-database/","Inphi Corp")</f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</row>
    <row r="1486" spans="1:9">
      <c r="A1486" s="8" t="s">
        <v>1498</v>
      </c>
      <c r="B1486">
        <f>HYPERLINK("https://www.suredividend.com/sure-analysis-research-database/","Intrepid Potash Inc")</f>
        <v>0</v>
      </c>
      <c r="C1486">
        <v>0.179090482887951</v>
      </c>
      <c r="D1486">
        <v>0.110375275938189</v>
      </c>
      <c r="E1486">
        <v>0.289743589743589</v>
      </c>
      <c r="F1486">
        <v>0.052741732942653</v>
      </c>
      <c r="G1486">
        <v>0.132882882882882</v>
      </c>
      <c r="H1486">
        <v>-0.6029992107340171</v>
      </c>
      <c r="I1486">
        <v>-0.223765432098765</v>
      </c>
    </row>
    <row r="1487" spans="1:9">
      <c r="A1487" s="8" t="s">
        <v>1499</v>
      </c>
      <c r="B1487">
        <f>HYPERLINK("https://www.suredividend.com/sure-analysis-research-database/","Ideal Power Inc")</f>
        <v>0</v>
      </c>
      <c r="C1487">
        <v>-0.126903553299492</v>
      </c>
      <c r="D1487">
        <v>-0.485799701046337</v>
      </c>
      <c r="E1487">
        <v>-0.252985884907709</v>
      </c>
      <c r="F1487">
        <v>-0.114543114543114</v>
      </c>
      <c r="G1487">
        <v>-0.382405745062836</v>
      </c>
      <c r="H1487">
        <v>-0.4517928286852591</v>
      </c>
      <c r="I1487">
        <v>0.9325842696629211</v>
      </c>
    </row>
    <row r="1488" spans="1:9">
      <c r="A1488" s="8" t="s">
        <v>1500</v>
      </c>
      <c r="B1488">
        <f>HYPERLINK("https://www.suredividend.com/sure-analysis-research-database/","IQVIA Holdings Inc")</f>
        <v>0</v>
      </c>
      <c r="C1488">
        <v>-0.043248668936021</v>
      </c>
      <c r="D1488">
        <v>-0.152210062260721</v>
      </c>
      <c r="E1488">
        <v>0.019721847527791</v>
      </c>
      <c r="F1488">
        <v>-0.052511020831532</v>
      </c>
      <c r="G1488">
        <v>0.051109939109172</v>
      </c>
      <c r="H1488">
        <v>-0.026639435243972</v>
      </c>
      <c r="I1488">
        <v>0.580149920715006</v>
      </c>
    </row>
    <row r="1489" spans="1:9">
      <c r="A1489" s="8" t="s">
        <v>1501</v>
      </c>
      <c r="B1489">
        <f>HYPERLINK("https://www.suredividend.com/sure-analysis-research-database/","Ingersoll-Rand Inc")</f>
        <v>0</v>
      </c>
      <c r="C1489">
        <v>-0.007796915075520001</v>
      </c>
      <c r="D1489">
        <v>-0.022055055897459</v>
      </c>
      <c r="E1489">
        <v>0.229074160897983</v>
      </c>
      <c r="F1489">
        <v>0.152952103267667</v>
      </c>
      <c r="G1489">
        <v>0.423217624713176</v>
      </c>
      <c r="H1489">
        <v>0.772771753399154</v>
      </c>
      <c r="I1489">
        <v>1.650312221231043</v>
      </c>
    </row>
    <row r="1490" spans="1:9">
      <c r="A1490" s="8" t="s">
        <v>1502</v>
      </c>
      <c r="B1490">
        <f>HYPERLINK("https://www.suredividend.com/sure-analysis-research-database/","Irobot Corp")</f>
        <v>0</v>
      </c>
      <c r="C1490">
        <v>0.05654101995565301</v>
      </c>
      <c r="D1490">
        <v>-0.08277189605389801</v>
      </c>
      <c r="E1490">
        <v>-0.7536831222538121</v>
      </c>
      <c r="F1490">
        <v>-0.753746770025839</v>
      </c>
      <c r="G1490">
        <v>-0.7588562753036431</v>
      </c>
      <c r="H1490">
        <v>-0.789578273349525</v>
      </c>
      <c r="I1490">
        <v>-0.8959834097358651</v>
      </c>
    </row>
    <row r="1491" spans="1:9">
      <c r="A1491" s="8" t="s">
        <v>1503</v>
      </c>
      <c r="B1491">
        <f>HYPERLINK("https://www.suredividend.com/sure-analysis-research-database/","Iridium Communications Inc")</f>
        <v>0</v>
      </c>
      <c r="C1491">
        <v>-0.07745550428477201</v>
      </c>
      <c r="D1491">
        <v>-0.006178099701746</v>
      </c>
      <c r="E1491">
        <v>-0.285013640682953</v>
      </c>
      <c r="F1491">
        <v>-0.31378894413227</v>
      </c>
      <c r="G1491">
        <v>-0.553221545607636</v>
      </c>
      <c r="H1491">
        <v>-0.243390820132994</v>
      </c>
      <c r="I1491">
        <v>0.322235186856065</v>
      </c>
    </row>
    <row r="1492" spans="1:9">
      <c r="A1492" s="8" t="s">
        <v>1504</v>
      </c>
      <c r="B1492">
        <f>HYPERLINK("https://www.suredividend.com/sure-analysis-research-database/","Tidal Trust II")</f>
        <v>0</v>
      </c>
      <c r="C1492">
        <v>-0.004877701789506</v>
      </c>
      <c r="D1492">
        <v>-0.022557816882429</v>
      </c>
      <c r="E1492">
        <v>-0.024859719089655</v>
      </c>
      <c r="F1492">
        <v>-0.024859719089655</v>
      </c>
      <c r="G1492">
        <v>-0.024859719089655</v>
      </c>
      <c r="H1492">
        <v>-0.024859719089655</v>
      </c>
      <c r="I1492">
        <v>-0.024859719089655</v>
      </c>
    </row>
    <row r="1493" spans="1:9">
      <c r="A1493" s="8" t="s">
        <v>1505</v>
      </c>
      <c r="B1493">
        <f>HYPERLINK("https://www.suredividend.com/sure-analysis-research-database/","IRIDEX Corp.")</f>
        <v>0</v>
      </c>
      <c r="C1493">
        <v>-0.178571428571428</v>
      </c>
      <c r="D1493">
        <v>-0.128787878787878</v>
      </c>
      <c r="E1493">
        <v>-0.160583941605839</v>
      </c>
      <c r="F1493">
        <v>-0.181494661921708</v>
      </c>
      <c r="G1493">
        <v>0.100478468899521</v>
      </c>
      <c r="H1493">
        <v>-0.204152249134948</v>
      </c>
      <c r="I1493">
        <v>-0.54228855721393</v>
      </c>
    </row>
    <row r="1494" spans="1:9">
      <c r="A1494" s="8" t="s">
        <v>1506</v>
      </c>
      <c r="B1494">
        <f>HYPERLINK("https://www.suredividend.com/sure-analysis-IRM/","Iron Mountain Inc.")</f>
        <v>0</v>
      </c>
      <c r="C1494">
        <v>0.101417525773195</v>
      </c>
      <c r="D1494">
        <v>0.06355576294913601</v>
      </c>
      <c r="E1494">
        <v>0.326465366326061</v>
      </c>
      <c r="F1494">
        <v>0.231341509621521</v>
      </c>
      <c r="G1494">
        <v>0.5770769367028811</v>
      </c>
      <c r="H1494">
        <v>0.7100942982851031</v>
      </c>
      <c r="I1494">
        <v>2.694673911633878</v>
      </c>
    </row>
    <row r="1495" spans="1:9">
      <c r="A1495" s="8" t="s">
        <v>1507</v>
      </c>
      <c r="B1495">
        <f>HYPERLINK("https://www.suredividend.com/sure-analysis-research-database/","Iradimed Corp")</f>
        <v>0</v>
      </c>
      <c r="C1495">
        <v>-0.020398755330183</v>
      </c>
      <c r="D1495">
        <v>-0.032796174879554</v>
      </c>
      <c r="E1495">
        <v>0.038698230058215</v>
      </c>
      <c r="F1495">
        <v>-0.098403431582609</v>
      </c>
      <c r="G1495">
        <v>-0.09721602664593401</v>
      </c>
      <c r="H1495">
        <v>0.31473931039603</v>
      </c>
      <c r="I1495">
        <v>1.269535359360899</v>
      </c>
    </row>
    <row r="1496" spans="1:9">
      <c r="A1496" s="8" t="s">
        <v>1508</v>
      </c>
      <c r="B1496">
        <f>HYPERLINK("https://www.suredividend.com/sure-analysis-research-database/","IF Bancorp Inc")</f>
        <v>0</v>
      </c>
      <c r="C1496">
        <v>0.028923076923076</v>
      </c>
      <c r="D1496">
        <v>0.006901369434039</v>
      </c>
      <c r="E1496">
        <v>0.213053383054979</v>
      </c>
      <c r="F1496">
        <v>0.07097104791186201</v>
      </c>
      <c r="G1496">
        <v>0.2788056322516</v>
      </c>
      <c r="H1496">
        <v>-0.144546998751611</v>
      </c>
      <c r="I1496">
        <v>-0.05097059825178701</v>
      </c>
    </row>
    <row r="1497" spans="1:9">
      <c r="A1497" s="8" t="s">
        <v>1509</v>
      </c>
      <c r="B1497">
        <f>HYPERLINK("https://www.suredividend.com/sure-analysis-IRT/","Independence Realty Trust Inc")</f>
        <v>0</v>
      </c>
      <c r="C1497">
        <v>0.04271961492178</v>
      </c>
      <c r="D1497">
        <v>0.09147478208293401</v>
      </c>
      <c r="E1497">
        <v>0.238724249832025</v>
      </c>
      <c r="F1497">
        <v>0.144264481581501</v>
      </c>
      <c r="G1497">
        <v>-0.029447014415484</v>
      </c>
      <c r="H1497">
        <v>-0.208549311533806</v>
      </c>
      <c r="I1497">
        <v>0.8504479301250361</v>
      </c>
    </row>
    <row r="1498" spans="1:9">
      <c r="A1498" s="8" t="s">
        <v>1510</v>
      </c>
      <c r="B1498">
        <f>HYPERLINK("https://www.suredividend.com/sure-analysis-research-database/","iRhythm Technologies Inc")</f>
        <v>0</v>
      </c>
      <c r="C1498">
        <v>-0.099416305780455</v>
      </c>
      <c r="D1498">
        <v>-0.145892857142857</v>
      </c>
      <c r="E1498">
        <v>0.101185679751352</v>
      </c>
      <c r="F1498">
        <v>-0.106315396113602</v>
      </c>
      <c r="G1498">
        <v>-0.06160486560721901</v>
      </c>
      <c r="H1498">
        <v>-0.3702435813034891</v>
      </c>
      <c r="I1498">
        <v>0.309155604215136</v>
      </c>
    </row>
    <row r="1499" spans="1:9">
      <c r="A1499" s="8" t="s">
        <v>1511</v>
      </c>
      <c r="B1499">
        <f>HYPERLINK("https://www.suredividend.com/sure-analysis-research-database/","Ironwood Pharmaceuticals Inc")</f>
        <v>0</v>
      </c>
      <c r="C1499">
        <v>-0.217980295566502</v>
      </c>
      <c r="D1499">
        <v>-0.288913773796192</v>
      </c>
      <c r="E1499">
        <v>-0.389423076923077</v>
      </c>
      <c r="F1499">
        <v>-0.4449300699300691</v>
      </c>
      <c r="G1499">
        <v>-0.4483058210251951</v>
      </c>
      <c r="H1499">
        <v>-0.474772539288668</v>
      </c>
      <c r="I1499">
        <v>-0.425339366515837</v>
      </c>
    </row>
    <row r="1500" spans="1:9">
      <c r="A1500" s="8" t="s">
        <v>1512</v>
      </c>
      <c r="B1500">
        <f>HYPERLINK("https://www.suredividend.com/sure-analysis-research-database/","Investors Bancorp Inc")</f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</row>
    <row r="1501" spans="1:9">
      <c r="A1501" s="8" t="s">
        <v>1513</v>
      </c>
      <c r="B1501">
        <f>HYPERLINK("https://www.suredividend.com/sure-analysis-research-database/","Issuer Direct Corp")</f>
        <v>0</v>
      </c>
      <c r="C1501">
        <v>-0.157333333333333</v>
      </c>
      <c r="D1501">
        <v>-0.354663036078965</v>
      </c>
      <c r="E1501">
        <v>-0.366310160427807</v>
      </c>
      <c r="F1501">
        <v>-0.477109762824048</v>
      </c>
      <c r="G1501">
        <v>-0.493048128342246</v>
      </c>
      <c r="H1501">
        <v>-0.6353846153846151</v>
      </c>
      <c r="I1501">
        <v>-0.122222222222222</v>
      </c>
    </row>
    <row r="1502" spans="1:9">
      <c r="A1502" s="8" t="s">
        <v>1514</v>
      </c>
      <c r="B1502">
        <f>HYPERLINK("https://www.suredividend.com/sure-analysis-research-database/","IVERIC bio Inc")</f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</row>
    <row r="1503" spans="1:9">
      <c r="A1503" s="8" t="s">
        <v>1515</v>
      </c>
      <c r="B1503">
        <f>HYPERLINK("https://www.suredividend.com/sure-analysis-research-database/","Image Sensing Systems, Inc.")</f>
        <v>0</v>
      </c>
      <c r="C1503">
        <v>-0.055718475073313</v>
      </c>
      <c r="D1503">
        <v>0.513157894736842</v>
      </c>
      <c r="E1503">
        <v>0.433532187694773</v>
      </c>
      <c r="F1503">
        <v>0.455860743754945</v>
      </c>
      <c r="G1503">
        <v>0.8784272546960681</v>
      </c>
      <c r="H1503">
        <v>0.294758640101328</v>
      </c>
      <c r="I1503">
        <v>1.63577947857406</v>
      </c>
    </row>
    <row r="1504" spans="1:9">
      <c r="A1504" s="8" t="s">
        <v>1516</v>
      </c>
      <c r="B1504">
        <f>HYPERLINK("https://www.suredividend.com/sure-analysis-research-database/","Intuitive Surgical Inc")</f>
        <v>0</v>
      </c>
      <c r="C1504">
        <v>0.07451434452592301</v>
      </c>
      <c r="D1504">
        <v>0.06348680859733101</v>
      </c>
      <c r="E1504">
        <v>0.340383874695082</v>
      </c>
      <c r="F1504">
        <v>0.237876452454351</v>
      </c>
      <c r="G1504">
        <v>0.359230568936336</v>
      </c>
      <c r="H1504">
        <v>0.8815498986258161</v>
      </c>
      <c r="I1504">
        <v>1.510479618772119</v>
      </c>
    </row>
    <row r="1505" spans="1:9">
      <c r="A1505" s="8" t="s">
        <v>1517</v>
      </c>
      <c r="B1505">
        <f>HYPERLINK("https://www.suredividend.com/sure-analysis-research-database/","Israel Acquisitions Corp")</f>
        <v>0</v>
      </c>
      <c r="C1505">
        <v>0.005489478499542001</v>
      </c>
      <c r="D1505">
        <v>0.022325581395348</v>
      </c>
      <c r="E1505">
        <v>0.031924882629107</v>
      </c>
      <c r="F1505">
        <v>0.023277467411545</v>
      </c>
      <c r="G1505">
        <v>0.062862669245647</v>
      </c>
      <c r="H1505">
        <v>0.081692913385826</v>
      </c>
      <c r="I1505">
        <v>0.081692913385826</v>
      </c>
    </row>
    <row r="1506" spans="1:9">
      <c r="A1506" s="8" t="s">
        <v>1518</v>
      </c>
      <c r="B1506">
        <f>HYPERLINK("https://www.suredividend.com/sure-analysis-research-database/","Innovative Solutions And Support Inc")</f>
        <v>0</v>
      </c>
      <c r="C1506">
        <v>-0.046177138531415</v>
      </c>
      <c r="D1506">
        <v>-0.236363636363636</v>
      </c>
      <c r="E1506">
        <v>-0.1796875</v>
      </c>
      <c r="F1506">
        <v>-0.261430246189917</v>
      </c>
      <c r="G1506">
        <v>-0.05829596412556001</v>
      </c>
      <c r="H1506">
        <v>-0.250891795481569</v>
      </c>
      <c r="I1506">
        <v>0.6026864076928941</v>
      </c>
    </row>
    <row r="1507" spans="1:9">
      <c r="A1507" s="8" t="s">
        <v>1519</v>
      </c>
      <c r="B1507">
        <f>HYPERLINK("https://www.suredividend.com/sure-analysis-research-database/","Investar Holding Corp")</f>
        <v>0</v>
      </c>
      <c r="C1507">
        <v>-0.062347188264058</v>
      </c>
      <c r="D1507">
        <v>-0.039569246180816</v>
      </c>
      <c r="E1507">
        <v>0.320239949737931</v>
      </c>
      <c r="F1507">
        <v>0.035150582693955</v>
      </c>
      <c r="G1507">
        <v>0.291147977005109</v>
      </c>
      <c r="H1507">
        <v>-0.266109471206518</v>
      </c>
      <c r="I1507">
        <v>-0.259952528897551</v>
      </c>
    </row>
    <row r="1508" spans="1:9">
      <c r="A1508" s="8" t="s">
        <v>1520</v>
      </c>
      <c r="B1508">
        <f>HYPERLINK("https://www.suredividend.com/sure-analysis-research-database/","Gartner, Inc.")</f>
        <v>0</v>
      </c>
      <c r="C1508">
        <v>-0.006153775764646</v>
      </c>
      <c r="D1508">
        <v>-0.07565957446808501</v>
      </c>
      <c r="E1508">
        <v>-0.02591928251121</v>
      </c>
      <c r="F1508">
        <v>-0.036953292988406</v>
      </c>
      <c r="G1508">
        <v>0.27987273155786</v>
      </c>
      <c r="H1508">
        <v>0.6251683375729461</v>
      </c>
      <c r="I1508">
        <v>1.758699517399035</v>
      </c>
    </row>
    <row r="1509" spans="1:9">
      <c r="A1509" s="8" t="s">
        <v>1521</v>
      </c>
      <c r="B1509">
        <f>HYPERLINK("https://www.suredividend.com/sure-analysis-research-database/","Intra-Cellular Therapies Inc")</f>
        <v>0</v>
      </c>
      <c r="C1509">
        <v>-0.03932032017974901</v>
      </c>
      <c r="D1509">
        <v>0.025329736211031</v>
      </c>
      <c r="E1509">
        <v>0.122579586478503</v>
      </c>
      <c r="F1509">
        <v>-0.044819882714325</v>
      </c>
      <c r="G1509">
        <v>0.050360816827882</v>
      </c>
      <c r="H1509">
        <v>0.163633270964449</v>
      </c>
      <c r="I1509">
        <v>5.032627865961199</v>
      </c>
    </row>
    <row r="1510" spans="1:9">
      <c r="A1510" s="8" t="s">
        <v>1522</v>
      </c>
      <c r="B1510">
        <f>HYPERLINK("https://www.suredividend.com/sure-analysis-research-database/","Integer Holdings Corp")</f>
        <v>0</v>
      </c>
      <c r="C1510">
        <v>0.070443698073183</v>
      </c>
      <c r="D1510">
        <v>0.042344435837851</v>
      </c>
      <c r="E1510">
        <v>0.362317210348706</v>
      </c>
      <c r="F1510">
        <v>0.222345579329834</v>
      </c>
      <c r="G1510">
        <v>0.435462842242503</v>
      </c>
      <c r="H1510">
        <v>0.5755171068036941</v>
      </c>
      <c r="I1510">
        <v>0.6038935240365511</v>
      </c>
    </row>
    <row r="1511" spans="1:9">
      <c r="A1511" s="8" t="s">
        <v>1523</v>
      </c>
      <c r="B1511">
        <f>HYPERLINK("https://www.suredividend.com/sure-analysis-research-database/","Iteris Inc.")</f>
        <v>0</v>
      </c>
      <c r="C1511">
        <v>-0.041394335511982</v>
      </c>
      <c r="D1511">
        <v>-0.142300194931773</v>
      </c>
      <c r="E1511">
        <v>-0.037199124726477</v>
      </c>
      <c r="F1511">
        <v>-0.153846153846153</v>
      </c>
      <c r="G1511">
        <v>-0.105691056910569</v>
      </c>
      <c r="H1511">
        <v>0.3924050632911391</v>
      </c>
      <c r="I1511">
        <v>-0.188191881918819</v>
      </c>
    </row>
    <row r="1512" spans="1:9">
      <c r="A1512" s="8" t="s">
        <v>1524</v>
      </c>
      <c r="B1512">
        <f>HYPERLINK("https://www.suredividend.com/sure-analysis-research-database/","Investors Title Co.")</f>
        <v>0</v>
      </c>
      <c r="C1512">
        <v>0.09286339207599001</v>
      </c>
      <c r="D1512">
        <v>0.113705880517343</v>
      </c>
      <c r="E1512">
        <v>0.224960389118249</v>
      </c>
      <c r="F1512">
        <v>0.08526881627009501</v>
      </c>
      <c r="G1512">
        <v>0.333286572749049</v>
      </c>
      <c r="H1512">
        <v>0.149869679682917</v>
      </c>
      <c r="I1512">
        <v>0.306890619652083</v>
      </c>
    </row>
    <row r="1513" spans="1:9">
      <c r="A1513" s="8" t="s">
        <v>1525</v>
      </c>
      <c r="B1513">
        <f>HYPERLINK("https://www.suredividend.com/sure-analysis-research-database/","Itron Inc.")</f>
        <v>0</v>
      </c>
      <c r="C1513">
        <v>-0.010161662817551</v>
      </c>
      <c r="D1513">
        <v>0.117892540427751</v>
      </c>
      <c r="E1513">
        <v>0.5348803896289931</v>
      </c>
      <c r="F1513">
        <v>0.419017348695537</v>
      </c>
      <c r="G1513">
        <v>0.462598962598962</v>
      </c>
      <c r="H1513">
        <v>1.033206831119544</v>
      </c>
      <c r="I1513">
        <v>0.821659299557973</v>
      </c>
    </row>
    <row r="1514" spans="1:9">
      <c r="A1514" s="8" t="s">
        <v>1526</v>
      </c>
      <c r="B1514">
        <f>HYPERLINK("https://www.suredividend.com/sure-analysis-ITT/","ITT Inc")</f>
        <v>0</v>
      </c>
      <c r="C1514">
        <v>-0.04509674863819201</v>
      </c>
      <c r="D1514">
        <v>0.005071201359843</v>
      </c>
      <c r="E1514">
        <v>0.149907603915334</v>
      </c>
      <c r="F1514">
        <v>0.080134618883026</v>
      </c>
      <c r="G1514">
        <v>0.5006880347480941</v>
      </c>
      <c r="H1514">
        <v>0.7438492770334021</v>
      </c>
      <c r="I1514">
        <v>1.24049558189994</v>
      </c>
    </row>
    <row r="1515" spans="1:9">
      <c r="A1515" s="8" t="s">
        <v>1527</v>
      </c>
      <c r="B1515">
        <f>HYPERLINK("https://www.suredividend.com/sure-analysis-ITW/","Illinois Tool Works, Inc.")</f>
        <v>0</v>
      </c>
      <c r="C1515">
        <v>-0.027191065792668</v>
      </c>
      <c r="D1515">
        <v>-0.075667115594666</v>
      </c>
      <c r="E1515">
        <v>-0.023732612698947</v>
      </c>
      <c r="F1515">
        <v>-0.077290453168518</v>
      </c>
      <c r="G1515">
        <v>0.033878640313268</v>
      </c>
      <c r="H1515">
        <v>0.192854187195051</v>
      </c>
      <c r="I1515">
        <v>0.7811765159114581</v>
      </c>
    </row>
    <row r="1516" spans="1:9">
      <c r="A1516" s="8" t="s">
        <v>1528</v>
      </c>
      <c r="B1516">
        <f>HYPERLINK("https://www.suredividend.com/sure-analysis-research-database/","Intevac, Inc.")</f>
        <v>0</v>
      </c>
      <c r="C1516">
        <v>-0.05023923444976</v>
      </c>
      <c r="D1516">
        <v>0.036553524804177</v>
      </c>
      <c r="E1516">
        <v>-0.05023923444976</v>
      </c>
      <c r="F1516">
        <v>-0.081018518518518</v>
      </c>
      <c r="G1516">
        <v>-0.07674418604651101</v>
      </c>
      <c r="H1516">
        <v>-0.230620155038759</v>
      </c>
      <c r="I1516">
        <v>-0.176348547717842</v>
      </c>
    </row>
    <row r="1517" spans="1:9">
      <c r="A1517" s="8" t="s">
        <v>1529</v>
      </c>
      <c r="B1517">
        <f>HYPERLINK("https://www.suredividend.com/sure-analysis-research-database/","Invacare Corp.")</f>
        <v>0</v>
      </c>
      <c r="C1517">
        <v>0.570952380952381</v>
      </c>
      <c r="D1517">
        <v>-0.125165738530893</v>
      </c>
      <c r="E1517">
        <v>-0.371619047619047</v>
      </c>
      <c r="F1517">
        <v>0.570952380952381</v>
      </c>
      <c r="G1517">
        <v>-0.710614035087719</v>
      </c>
      <c r="H1517">
        <v>-0.93441351888668</v>
      </c>
      <c r="I1517">
        <v>-0.9629134159228361</v>
      </c>
    </row>
    <row r="1518" spans="1:9">
      <c r="A1518" s="8" t="s">
        <v>1530</v>
      </c>
      <c r="B1518">
        <f>HYPERLINK("https://www.suredividend.com/sure-analysis-research-database/","Invesco Mortgage Capital Inc")</f>
        <v>0</v>
      </c>
      <c r="C1518">
        <v>0.004385964912280001</v>
      </c>
      <c r="D1518">
        <v>0.051278519946747</v>
      </c>
      <c r="E1518">
        <v>0.220470867253807</v>
      </c>
      <c r="F1518">
        <v>0.079755758304453</v>
      </c>
      <c r="G1518">
        <v>0.023440816964984</v>
      </c>
      <c r="H1518">
        <v>-0.227532235349676</v>
      </c>
      <c r="I1518">
        <v>-0.8420534431832091</v>
      </c>
    </row>
    <row r="1519" spans="1:9">
      <c r="A1519" s="8" t="s">
        <v>1531</v>
      </c>
      <c r="B1519">
        <f>HYPERLINK("https://www.suredividend.com/sure-analysis-IVZ/","Invesco Ltd")</f>
        <v>0</v>
      </c>
      <c r="C1519">
        <v>0.023542150460015</v>
      </c>
      <c r="D1519">
        <v>-0.027442555697193</v>
      </c>
      <c r="E1519">
        <v>0.019819648660935</v>
      </c>
      <c r="F1519">
        <v>-0.135098430747452</v>
      </c>
      <c r="G1519">
        <v>-0.00529450694904</v>
      </c>
      <c r="H1519">
        <v>-0.122407511210762</v>
      </c>
      <c r="I1519">
        <v>-0.061704040353593</v>
      </c>
    </row>
    <row r="1520" spans="1:9">
      <c r="A1520" s="8" t="s">
        <v>1532</v>
      </c>
      <c r="B1520">
        <f>HYPERLINK("https://www.suredividend.com/sure-analysis-research-database/","IZEA Worldwide Inc")</f>
        <v>0</v>
      </c>
      <c r="C1520">
        <v>-0.233333333333333</v>
      </c>
      <c r="D1520">
        <v>0.179487179487179</v>
      </c>
      <c r="E1520">
        <v>-0.076305220883534</v>
      </c>
      <c r="F1520">
        <v>0.144278606965174</v>
      </c>
      <c r="G1520">
        <v>-0.284558915018041</v>
      </c>
      <c r="H1520">
        <v>-0.358330543466131</v>
      </c>
      <c r="I1520">
        <v>-0.065040650406504</v>
      </c>
    </row>
    <row r="1521" spans="1:9">
      <c r="A1521" s="8" t="s">
        <v>1533</v>
      </c>
      <c r="B1521">
        <f>HYPERLINK("https://www.suredividend.com/sure-analysis-JACK/","Jack In The Box, Inc.")</f>
        <v>0</v>
      </c>
      <c r="C1521">
        <v>0.046611180248264</v>
      </c>
      <c r="D1521">
        <v>-0.202058294857787</v>
      </c>
      <c r="E1521">
        <v>-0.252312744633098</v>
      </c>
      <c r="F1521">
        <v>-0.287297270071522</v>
      </c>
      <c r="G1521">
        <v>-0.322657003559042</v>
      </c>
      <c r="H1521">
        <v>-0.134044151508614</v>
      </c>
      <c r="I1521">
        <v>-0.255095554394475</v>
      </c>
    </row>
    <row r="1522" spans="1:9">
      <c r="A1522" s="8" t="s">
        <v>1534</v>
      </c>
      <c r="B1522">
        <f>HYPERLINK("https://www.suredividend.com/sure-analysis-research-database/","Jaguar Health Inc")</f>
        <v>0</v>
      </c>
      <c r="C1522">
        <v>-0.7980984340044741</v>
      </c>
      <c r="D1522">
        <v>-0.263565891472868</v>
      </c>
      <c r="E1522">
        <v>-0.7907246376811591</v>
      </c>
      <c r="F1522">
        <v>-0.60259797446059</v>
      </c>
      <c r="G1522">
        <v>-0.909482974775588</v>
      </c>
      <c r="H1522">
        <v>-0.9976515742909181</v>
      </c>
      <c r="I1522">
        <v>-0.9999617442907851</v>
      </c>
    </row>
    <row r="1523" spans="1:9">
      <c r="A1523" s="8" t="s">
        <v>1535</v>
      </c>
      <c r="B1523">
        <f>HYPERLINK("https://www.suredividend.com/sure-analysis-research-database/","Jakks Pacific Inc.")</f>
        <v>0</v>
      </c>
      <c r="C1523">
        <v>-0.031433137986148</v>
      </c>
      <c r="D1523">
        <v>-0.225063938618925</v>
      </c>
      <c r="E1523">
        <v>-0.399008264462809</v>
      </c>
      <c r="F1523">
        <v>-0.488607594936708</v>
      </c>
      <c r="G1523">
        <v>-0.215025906735751</v>
      </c>
      <c r="H1523">
        <v>0.343680709534368</v>
      </c>
      <c r="I1523">
        <v>1.463414634146341</v>
      </c>
    </row>
    <row r="1524" spans="1:9">
      <c r="A1524" s="8" t="s">
        <v>1536</v>
      </c>
      <c r="B1524">
        <f>HYPERLINK("https://www.suredividend.com/sure-analysis-research-database/","J. Alexanders Holdings Inc")</f>
        <v>0</v>
      </c>
      <c r="C1524">
        <v>0.008645533141210001</v>
      </c>
      <c r="D1524">
        <v>0.218450826805918</v>
      </c>
      <c r="E1524">
        <v>0.473684210526315</v>
      </c>
      <c r="F1524">
        <v>0.920438957475994</v>
      </c>
      <c r="G1524">
        <v>1.676864244741873</v>
      </c>
      <c r="H1524">
        <v>0.199657240788346</v>
      </c>
      <c r="I1524">
        <v>0.450777202072538</v>
      </c>
    </row>
    <row r="1525" spans="1:9">
      <c r="A1525" s="8" t="s">
        <v>1537</v>
      </c>
      <c r="B1525">
        <f>HYPERLINK("https://www.suredividend.com/sure-analysis-research-database/","Jazz Pharmaceuticals plc")</f>
        <v>0</v>
      </c>
      <c r="C1525">
        <v>0.007553277582951001</v>
      </c>
      <c r="D1525">
        <v>-0.03712296983758701</v>
      </c>
      <c r="E1525">
        <v>-0.062735257214554</v>
      </c>
      <c r="F1525">
        <v>-0.089024390243902</v>
      </c>
      <c r="G1525">
        <v>-0.128151260504201</v>
      </c>
      <c r="H1525">
        <v>-0.275085721679498</v>
      </c>
      <c r="I1525">
        <v>-0.144460563487821</v>
      </c>
    </row>
    <row r="1526" spans="1:9">
      <c r="A1526" s="8" t="s">
        <v>1538</v>
      </c>
      <c r="B1526">
        <f>HYPERLINK("https://www.suredividend.com/sure-analysis-research-database/","JBG SMITH Properties")</f>
        <v>0</v>
      </c>
      <c r="C1526">
        <v>0.001159964648696</v>
      </c>
      <c r="D1526">
        <v>-0.150143303422284</v>
      </c>
      <c r="E1526">
        <v>-0.045901984523872</v>
      </c>
      <c r="F1526">
        <v>-0.127793317092243</v>
      </c>
      <c r="G1526">
        <v>-0.012113532000708</v>
      </c>
      <c r="H1526">
        <v>-0.402357596241035</v>
      </c>
      <c r="I1526">
        <v>-0.5654480230881961</v>
      </c>
    </row>
    <row r="1527" spans="1:9">
      <c r="A1527" s="8" t="s">
        <v>1539</v>
      </c>
      <c r="B1527">
        <f>HYPERLINK("https://www.suredividend.com/sure-analysis-JBHT/","J.B. Hunt Transport Services, Inc.")</f>
        <v>0</v>
      </c>
      <c r="C1527">
        <v>-0.043586300252675</v>
      </c>
      <c r="D1527">
        <v>-0.205187053830738</v>
      </c>
      <c r="E1527">
        <v>-0.145373578494359</v>
      </c>
      <c r="F1527">
        <v>-0.191797522947321</v>
      </c>
      <c r="G1527">
        <v>-0.071143249848877</v>
      </c>
      <c r="H1527">
        <v>-0.069092365055929</v>
      </c>
      <c r="I1527">
        <v>0.9294791998378831</v>
      </c>
    </row>
    <row r="1528" spans="1:9">
      <c r="A1528" s="8" t="s">
        <v>1540</v>
      </c>
      <c r="B1528">
        <f>HYPERLINK("https://www.suredividend.com/sure-analysis-research-database/","Jabil Inc")</f>
        <v>0</v>
      </c>
      <c r="C1528">
        <v>-0.029572144255276</v>
      </c>
      <c r="D1528">
        <v>-0.262555115716292</v>
      </c>
      <c r="E1528">
        <v>-0.020587613030622</v>
      </c>
      <c r="F1528">
        <v>-0.104998428167243</v>
      </c>
      <c r="G1528">
        <v>0.21804868344211</v>
      </c>
      <c r="H1528">
        <v>0.827172695737559</v>
      </c>
      <c r="I1528">
        <v>3.435529416346959</v>
      </c>
    </row>
    <row r="1529" spans="1:9">
      <c r="A1529" s="8" t="s">
        <v>1541</v>
      </c>
      <c r="B1529">
        <f>HYPERLINK("https://www.suredividend.com/sure-analysis-research-database/","Jetblue Airways Corp")</f>
        <v>0</v>
      </c>
      <c r="C1529">
        <v>-0.017667844522968</v>
      </c>
      <c r="D1529">
        <v>-0.250673854447439</v>
      </c>
      <c r="E1529">
        <v>0.020183486238531</v>
      </c>
      <c r="F1529">
        <v>0.001801801801801</v>
      </c>
      <c r="G1529">
        <v>-0.250673854447439</v>
      </c>
      <c r="H1529">
        <v>-0.47940074906367</v>
      </c>
      <c r="I1529">
        <v>-0.6961748633879781</v>
      </c>
    </row>
    <row r="1530" spans="1:9">
      <c r="A1530" s="8" t="s">
        <v>1542</v>
      </c>
      <c r="B1530">
        <f>HYPERLINK("https://www.suredividend.com/sure-analysis-research-database/","Sanfilippo (John B.) &amp; Son, Inc")</f>
        <v>0</v>
      </c>
      <c r="C1530">
        <v>-0.012970598093176</v>
      </c>
      <c r="D1530">
        <v>-0.012090947855134</v>
      </c>
      <c r="E1530">
        <v>0.00019437141308</v>
      </c>
      <c r="F1530">
        <v>-0.032032909099009</v>
      </c>
      <c r="G1530">
        <v>-0.169258926621695</v>
      </c>
      <c r="H1530">
        <v>0.4926466883762251</v>
      </c>
      <c r="I1530">
        <v>0.4658434634506161</v>
      </c>
    </row>
    <row r="1531" spans="1:9">
      <c r="A1531" s="8" t="s">
        <v>1543</v>
      </c>
      <c r="B1531">
        <f>HYPERLINK("https://www.suredividend.com/sure-analysis-research-database/","John Bean Technologies Corp")</f>
        <v>0</v>
      </c>
      <c r="C1531">
        <v>-0.005721113222068</v>
      </c>
      <c r="D1531">
        <v>-0.087187119228956</v>
      </c>
      <c r="E1531">
        <v>-0.117332561226274</v>
      </c>
      <c r="F1531">
        <v>-0.06928895368813201</v>
      </c>
      <c r="G1531">
        <v>-0.22245511250284</v>
      </c>
      <c r="H1531">
        <v>-0.253591439695004</v>
      </c>
      <c r="I1531">
        <v>-0.148015772361473</v>
      </c>
    </row>
    <row r="1532" spans="1:9">
      <c r="A1532" s="8" t="s">
        <v>1544</v>
      </c>
      <c r="B1532">
        <f>HYPERLINK("https://www.suredividend.com/sure-analysis-JCI/","Johnson Controls International plc")</f>
        <v>0</v>
      </c>
      <c r="C1532">
        <v>0.085169097114489</v>
      </c>
      <c r="D1532">
        <v>0.147289313725811</v>
      </c>
      <c r="E1532">
        <v>0.276329426190024</v>
      </c>
      <c r="F1532">
        <v>0.220537839290325</v>
      </c>
      <c r="G1532">
        <v>0.12358287206736</v>
      </c>
      <c r="H1532">
        <v>0.327135606887065</v>
      </c>
      <c r="I1532">
        <v>1.015211316297427</v>
      </c>
    </row>
    <row r="1533" spans="1:9">
      <c r="A1533" s="8" t="s">
        <v>1545</v>
      </c>
      <c r="B1533">
        <f>HYPERLINK("https://www.suredividend.com/sure-analysis-research-database/","Pineapple Holdings Inc")</f>
        <v>0</v>
      </c>
      <c r="C1533">
        <v>-0.002439024390243</v>
      </c>
      <c r="D1533">
        <v>-0.126068376068376</v>
      </c>
      <c r="E1533">
        <v>-0.623097054812193</v>
      </c>
      <c r="F1533">
        <v>-0.147916666666666</v>
      </c>
      <c r="G1533">
        <v>-0.420581401938006</v>
      </c>
      <c r="H1533">
        <v>-0.24255752581138</v>
      </c>
      <c r="I1533">
        <v>-0.104229177161129</v>
      </c>
    </row>
    <row r="1534" spans="1:9">
      <c r="A1534" s="8" t="s">
        <v>1546</v>
      </c>
      <c r="B1534">
        <f>HYPERLINK("https://www.suredividend.com/sure-analysis-research-database/","Jewett-Cameron Trading Co. Ltd.")</f>
        <v>0</v>
      </c>
      <c r="C1534">
        <v>0.020599250936329</v>
      </c>
      <c r="D1534">
        <v>0.018691588785046</v>
      </c>
      <c r="E1534">
        <v>0.049085659287776</v>
      </c>
      <c r="F1534">
        <v>0.003683241252302</v>
      </c>
      <c r="G1534">
        <v>0.147368421052631</v>
      </c>
      <c r="H1534">
        <v>-0.204379562043795</v>
      </c>
      <c r="I1534">
        <v>-0.331124202258222</v>
      </c>
    </row>
    <row r="1535" spans="1:9">
      <c r="A1535" s="8" t="s">
        <v>1547</v>
      </c>
      <c r="B1535">
        <f>HYPERLINK("https://www.suredividend.com/sure-analysis-research-database/","Jefferies Financial Group Inc")</f>
        <v>0</v>
      </c>
      <c r="C1535">
        <v>-0.018304552659484</v>
      </c>
      <c r="D1535">
        <v>0.04316496202626501</v>
      </c>
      <c r="E1535">
        <v>0.239292214695617</v>
      </c>
      <c r="F1535">
        <v>0.117235738497088</v>
      </c>
      <c r="G1535">
        <v>0.443506167236656</v>
      </c>
      <c r="H1535">
        <v>0.547626081305107</v>
      </c>
      <c r="I1535">
        <v>2.263107756567618</v>
      </c>
    </row>
    <row r="1536" spans="1:9">
      <c r="A1536" s="8" t="s">
        <v>1548</v>
      </c>
      <c r="B1536">
        <f>HYPERLINK("https://www.suredividend.com/sure-analysis-research-database/","JELD-WEN Holding Inc.")</f>
        <v>0</v>
      </c>
      <c r="C1536">
        <v>-0.01534170153417</v>
      </c>
      <c r="D1536">
        <v>-0.222038567493112</v>
      </c>
      <c r="E1536">
        <v>-0.161520190023753</v>
      </c>
      <c r="F1536">
        <v>-0.252118644067796</v>
      </c>
      <c r="G1536">
        <v>-0.08903225806451601</v>
      </c>
      <c r="H1536">
        <v>-0.243301178992497</v>
      </c>
      <c r="I1536">
        <v>-0.305801376597836</v>
      </c>
    </row>
    <row r="1537" spans="1:9">
      <c r="A1537" s="8" t="s">
        <v>1549</v>
      </c>
      <c r="B1537">
        <f>HYPERLINK("https://www.suredividend.com/sure-analysis-JHG/","Janus Henderson Group plc")</f>
        <v>0</v>
      </c>
      <c r="C1537">
        <v>-0.008599693021289</v>
      </c>
      <c r="D1537">
        <v>0.019170868594356</v>
      </c>
      <c r="E1537">
        <v>0.229394534589068</v>
      </c>
      <c r="F1537">
        <v>0.10013768719509</v>
      </c>
      <c r="G1537">
        <v>0.212266518817103</v>
      </c>
      <c r="H1537">
        <v>0.291202981418008</v>
      </c>
      <c r="I1537">
        <v>0.9735678520677941</v>
      </c>
    </row>
    <row r="1538" spans="1:9">
      <c r="A1538" s="8" t="s">
        <v>1550</v>
      </c>
      <c r="B1538">
        <f>HYPERLINK("https://www.suredividend.com/sure-analysis-research-database/","J.Jill Inc")</f>
        <v>0</v>
      </c>
      <c r="C1538">
        <v>0.362167982770998</v>
      </c>
      <c r="D1538">
        <v>0.502637038914141</v>
      </c>
      <c r="E1538">
        <v>0.461070835948117</v>
      </c>
      <c r="F1538">
        <v>0.475241597536988</v>
      </c>
      <c r="G1538">
        <v>0.656431274470007</v>
      </c>
      <c r="H1538">
        <v>1.109352853879375</v>
      </c>
      <c r="I1538">
        <v>4.104923325262309</v>
      </c>
    </row>
    <row r="1539" spans="1:9">
      <c r="A1539" s="8" t="s">
        <v>1551</v>
      </c>
      <c r="B1539">
        <f>HYPERLINK("https://www.suredividend.com/sure-analysis-JJSF/","J&amp;J Snack Foods Corp.")</f>
        <v>0</v>
      </c>
      <c r="C1539">
        <v>0.014831432666541</v>
      </c>
      <c r="D1539">
        <v>0.135863503872119</v>
      </c>
      <c r="E1539">
        <v>-0.042933132262115</v>
      </c>
      <c r="F1539">
        <v>-0.020645526000853</v>
      </c>
      <c r="G1539">
        <v>0.079354600960251</v>
      </c>
      <c r="H1539">
        <v>0.345700946163698</v>
      </c>
      <c r="I1539">
        <v>0.09301317253701201</v>
      </c>
    </row>
    <row r="1540" spans="1:9">
      <c r="A1540" s="8" t="s">
        <v>1552</v>
      </c>
      <c r="B1540">
        <f>HYPERLINK("https://www.suredividend.com/sure-analysis-JKHY/","Jack Henry &amp; Associates, Inc.")</f>
        <v>0</v>
      </c>
      <c r="C1540">
        <v>0.004552124477164</v>
      </c>
      <c r="D1540">
        <v>-0.042444387624648</v>
      </c>
      <c r="E1540">
        <v>0.013981474131411</v>
      </c>
      <c r="F1540">
        <v>0.024778647687717</v>
      </c>
      <c r="G1540">
        <v>0.08653222275559001</v>
      </c>
      <c r="H1540">
        <v>-0.08311400702215101</v>
      </c>
      <c r="I1540">
        <v>0.315748498642969</v>
      </c>
    </row>
    <row r="1541" spans="1:9">
      <c r="A1541" s="8" t="s">
        <v>1553</v>
      </c>
      <c r="B1541">
        <f>HYPERLINK("https://www.suredividend.com/sure-analysis-research-database/","Jones Lang Lasalle Inc.")</f>
        <v>0</v>
      </c>
      <c r="C1541">
        <v>0.04551187723355</v>
      </c>
      <c r="D1541">
        <v>0.06933992689744101</v>
      </c>
      <c r="E1541">
        <v>0.207086948607487</v>
      </c>
      <c r="F1541">
        <v>0.05331709641552301</v>
      </c>
      <c r="G1541">
        <v>0.286721428109436</v>
      </c>
      <c r="H1541">
        <v>0.04551187723355</v>
      </c>
      <c r="I1541">
        <v>0.513891288086039</v>
      </c>
    </row>
    <row r="1542" spans="1:9">
      <c r="A1542" s="8" t="s">
        <v>1554</v>
      </c>
      <c r="B1542">
        <f>HYPERLINK("https://www.suredividend.com/sure-analysis-research-database/","Jounce Therapeutics Inc")</f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</row>
    <row r="1543" spans="1:9">
      <c r="A1543" s="8" t="s">
        <v>1555</v>
      </c>
      <c r="B1543">
        <f>HYPERLINK("https://www.suredividend.com/sure-analysis-JNJ/","Johnson &amp; Johnson")</f>
        <v>0</v>
      </c>
      <c r="C1543">
        <v>-0.003033332768466</v>
      </c>
      <c r="D1543">
        <v>-0.06672817411090701</v>
      </c>
      <c r="E1543">
        <v>-0.038644428510454</v>
      </c>
      <c r="F1543">
        <v>-0.04686300113730901</v>
      </c>
      <c r="G1543">
        <v>-0.04312134493888</v>
      </c>
      <c r="H1543">
        <v>-0.125476415571133</v>
      </c>
      <c r="I1543">
        <v>0.218074005366548</v>
      </c>
    </row>
    <row r="1544" spans="1:9">
      <c r="A1544" s="8" t="s">
        <v>1556</v>
      </c>
      <c r="B1544">
        <f>HYPERLINK("https://www.suredividend.com/sure-analysis-JNPR/","Juniper Networks Inc")</f>
        <v>0</v>
      </c>
      <c r="C1544">
        <v>0.036830070696936</v>
      </c>
      <c r="D1544">
        <v>-0.042284938415284</v>
      </c>
      <c r="E1544">
        <v>0.246856553625353</v>
      </c>
      <c r="F1544">
        <v>0.220634386523921</v>
      </c>
      <c r="G1544">
        <v>0.216336892815229</v>
      </c>
      <c r="H1544">
        <v>0.217148961229268</v>
      </c>
      <c r="I1544">
        <v>0.5429955381169811</v>
      </c>
    </row>
    <row r="1545" spans="1:9">
      <c r="A1545" s="8" t="s">
        <v>1557</v>
      </c>
      <c r="B1545">
        <f>HYPERLINK("https://www.suredividend.com/sure-analysis-research-database/","GEE Group Inc")</f>
        <v>0</v>
      </c>
      <c r="C1545">
        <v>0.105714285714285</v>
      </c>
      <c r="D1545">
        <v>-0.032499999999999</v>
      </c>
      <c r="E1545">
        <v>-0.358563535911602</v>
      </c>
      <c r="F1545">
        <v>-0.303678528588564</v>
      </c>
      <c r="G1545">
        <v>-0.348971962616822</v>
      </c>
      <c r="H1545">
        <v>-0.41599597585513</v>
      </c>
      <c r="I1545">
        <v>-0.6618446601941741</v>
      </c>
    </row>
    <row r="1546" spans="1:9">
      <c r="A1546" s="8" t="s">
        <v>1558</v>
      </c>
      <c r="B1546">
        <f>HYPERLINK("https://www.suredividend.com/sure-analysis-research-database/","St. Joe Co.")</f>
        <v>0</v>
      </c>
      <c r="C1546">
        <v>-0.05140099051746001</v>
      </c>
      <c r="D1546">
        <v>0.043835788059004</v>
      </c>
      <c r="E1546">
        <v>0.056776514540045</v>
      </c>
      <c r="F1546">
        <v>-0.08230087314090401</v>
      </c>
      <c r="G1546">
        <v>0.197744346163145</v>
      </c>
      <c r="H1546">
        <v>0.115965881763222</v>
      </c>
      <c r="I1546">
        <v>2.466448135657326</v>
      </c>
    </row>
    <row r="1547" spans="1:9">
      <c r="A1547" s="8" t="s">
        <v>1559</v>
      </c>
      <c r="B1547">
        <f>HYPERLINK("https://www.suredividend.com/sure-analysis-research-database/","Johnson Outdoors Inc")</f>
        <v>0</v>
      </c>
      <c r="C1547">
        <v>-0.07188160676532701</v>
      </c>
      <c r="D1547">
        <v>-0.182782588056805</v>
      </c>
      <c r="E1547">
        <v>-0.33663254127158</v>
      </c>
      <c r="F1547">
        <v>-0.323592969372936</v>
      </c>
      <c r="G1547">
        <v>-0.396307367559772</v>
      </c>
      <c r="H1547">
        <v>-0.424129183958915</v>
      </c>
      <c r="I1547">
        <v>-0.480449547242551</v>
      </c>
    </row>
    <row r="1548" spans="1:9">
      <c r="A1548" s="8" t="s">
        <v>1560</v>
      </c>
      <c r="B1548">
        <f>HYPERLINK("https://www.suredividend.com/sure-analysis-JPM/","JPMorgan Chase &amp; Co.")</f>
        <v>0</v>
      </c>
      <c r="C1548">
        <v>0.042764015645371</v>
      </c>
      <c r="D1548">
        <v>0.070507895631503</v>
      </c>
      <c r="E1548">
        <v>0.290621163476098</v>
      </c>
      <c r="F1548">
        <v>0.189632615032029</v>
      </c>
      <c r="G1548">
        <v>0.458877813237373</v>
      </c>
      <c r="H1548">
        <v>0.6307579129887271</v>
      </c>
      <c r="I1548">
        <v>1.123722925055257</v>
      </c>
    </row>
    <row r="1549" spans="1:9">
      <c r="A1549" s="8" t="s">
        <v>1561</v>
      </c>
      <c r="B1549">
        <f>HYPERLINK("https://www.suredividend.com/sure-analysis-research-database/","James River Group Holdings Ltd")</f>
        <v>0</v>
      </c>
      <c r="C1549">
        <v>-0.124855491329479</v>
      </c>
      <c r="D1549">
        <v>-0.217166494312306</v>
      </c>
      <c r="E1549">
        <v>-0.126410783114455</v>
      </c>
      <c r="F1549">
        <v>-0.176502583627957</v>
      </c>
      <c r="G1549">
        <v>-0.6159115125069761</v>
      </c>
      <c r="H1549">
        <v>-0.6918304538274901</v>
      </c>
      <c r="I1549">
        <v>-0.8165773379726101</v>
      </c>
    </row>
    <row r="1550" spans="1:9">
      <c r="A1550" s="8" t="s">
        <v>1562</v>
      </c>
      <c r="B1550">
        <f>HYPERLINK("https://www.suredividend.com/sure-analysis-research-database/","Coffee Holding Co Inc")</f>
        <v>0</v>
      </c>
      <c r="C1550">
        <v>-0.132450331125827</v>
      </c>
      <c r="D1550">
        <v>-0.022388059701492</v>
      </c>
      <c r="E1550">
        <v>0.6073619631901841</v>
      </c>
      <c r="F1550">
        <v>0.4395604395604391</v>
      </c>
      <c r="G1550">
        <v>-0.212456414572562</v>
      </c>
      <c r="H1550">
        <v>-0.5604026845637581</v>
      </c>
      <c r="I1550">
        <v>-0.6865653786338071</v>
      </c>
    </row>
    <row r="1551" spans="1:9">
      <c r="A1551" s="8" t="s">
        <v>1563</v>
      </c>
      <c r="B1551">
        <f>HYPERLINK("https://www.suredividend.com/sure-analysis-JWN/","Nordstrom, Inc.")</f>
        <v>0</v>
      </c>
      <c r="C1551">
        <v>0.08939637307012101</v>
      </c>
      <c r="D1551">
        <v>0.296461564437154</v>
      </c>
      <c r="E1551">
        <v>0.3744957518491761</v>
      </c>
      <c r="F1551">
        <v>0.188245762384007</v>
      </c>
      <c r="G1551">
        <v>0.157500874855312</v>
      </c>
      <c r="H1551">
        <v>-0.126158348236059</v>
      </c>
      <c r="I1551">
        <v>-0.221527833095567</v>
      </c>
    </row>
    <row r="1552" spans="1:9">
      <c r="A1552" s="8" t="s">
        <v>1564</v>
      </c>
      <c r="B1552">
        <f>HYPERLINK("https://www.suredividend.com/sure-analysis-research-database/","Joint Corp")</f>
        <v>0</v>
      </c>
      <c r="C1552">
        <v>-0.078735275883446</v>
      </c>
      <c r="D1552">
        <v>0.625820568927789</v>
      </c>
      <c r="E1552">
        <v>0.622270742358078</v>
      </c>
      <c r="F1552">
        <v>0.54630593132154</v>
      </c>
      <c r="G1552">
        <v>0.09992598075499601</v>
      </c>
      <c r="H1552">
        <v>-0.070087609511889</v>
      </c>
      <c r="I1552">
        <v>-0.09279609279609201</v>
      </c>
    </row>
    <row r="1553" spans="1:9">
      <c r="A1553" s="8" t="s">
        <v>1565</v>
      </c>
      <c r="B1553">
        <f>HYPERLINK("https://www.suredividend.com/sure-analysis-K/","Kellanova Co")</f>
        <v>0</v>
      </c>
      <c r="C1553">
        <v>-0.023545921834548</v>
      </c>
      <c r="D1553">
        <v>0.122920534964389</v>
      </c>
      <c r="E1553">
        <v>0.122514673825058</v>
      </c>
      <c r="F1553">
        <v>0.08737871159390401</v>
      </c>
      <c r="G1553">
        <v>-0.065002916475893</v>
      </c>
      <c r="H1553">
        <v>-0.069553345036083</v>
      </c>
      <c r="I1553">
        <v>0.277032265249217</v>
      </c>
    </row>
    <row r="1554" spans="1:9">
      <c r="A1554" s="8" t="s">
        <v>1566</v>
      </c>
      <c r="B1554">
        <f>HYPERLINK("https://www.suredividend.com/sure-analysis-research-database/","Kadant, Inc.")</f>
        <v>0</v>
      </c>
      <c r="C1554">
        <v>-0.031480955088118</v>
      </c>
      <c r="D1554">
        <v>-0.17764552231939</v>
      </c>
      <c r="E1554">
        <v>0.02944947604126</v>
      </c>
      <c r="F1554">
        <v>-0.025528312517338</v>
      </c>
      <c r="G1554">
        <v>0.263039078312314</v>
      </c>
      <c r="H1554">
        <v>0.445568445475637</v>
      </c>
      <c r="I1554">
        <v>2.274210636319738</v>
      </c>
    </row>
    <row r="1555" spans="1:9">
      <c r="A1555" s="8" t="s">
        <v>1567</v>
      </c>
      <c r="B1555">
        <f>HYPERLINK("https://www.suredividend.com/sure-analysis-research-database/","Kala Bio Inc.")</f>
        <v>0</v>
      </c>
      <c r="C1555">
        <v>-0.05057803468208</v>
      </c>
      <c r="D1555">
        <v>-0.103683492496589</v>
      </c>
      <c r="E1555">
        <v>-0.118120805369127</v>
      </c>
      <c r="F1555">
        <v>-0.06142857142857101</v>
      </c>
      <c r="G1555">
        <v>-0.5628742514970061</v>
      </c>
      <c r="H1555">
        <v>-0.664710385302373</v>
      </c>
      <c r="I1555">
        <v>-0.975576208178438</v>
      </c>
    </row>
    <row r="1556" spans="1:9">
      <c r="A1556" s="8" t="s">
        <v>1568</v>
      </c>
      <c r="B1556">
        <f>HYPERLINK("https://www.suredividend.com/sure-analysis-KALU/","Kaiser Aluminum Corp")</f>
        <v>0</v>
      </c>
      <c r="C1556">
        <v>-0.069420304672323</v>
      </c>
      <c r="D1556">
        <v>0.226856594455287</v>
      </c>
      <c r="E1556">
        <v>0.6064866620306471</v>
      </c>
      <c r="F1556">
        <v>0.331406387591093</v>
      </c>
      <c r="G1556">
        <v>0.397587771490867</v>
      </c>
      <c r="H1556">
        <v>0.003532540386065</v>
      </c>
      <c r="I1556">
        <v>0.240162629984085</v>
      </c>
    </row>
    <row r="1557" spans="1:9">
      <c r="A1557" s="8" t="s">
        <v>1569</v>
      </c>
      <c r="B1557">
        <f>HYPERLINK("https://www.suredividend.com/sure-analysis-research-database/","KalVista Pharmaceuticals Inc")</f>
        <v>0</v>
      </c>
      <c r="C1557">
        <v>-0.04183757178014701</v>
      </c>
      <c r="D1557">
        <v>-0.166012138521956</v>
      </c>
      <c r="E1557">
        <v>0.302118171683388</v>
      </c>
      <c r="F1557">
        <v>-0.046530612244897</v>
      </c>
      <c r="G1557">
        <v>0.182186234817813</v>
      </c>
      <c r="H1557">
        <v>0.319774011299434</v>
      </c>
      <c r="I1557">
        <v>-0.422068283028203</v>
      </c>
    </row>
    <row r="1558" spans="1:9">
      <c r="A1558" s="8" t="s">
        <v>1570</v>
      </c>
      <c r="B1558">
        <f>HYPERLINK("https://www.suredividend.com/sure-analysis-research-database/","Kaman Corp.")</f>
        <v>0</v>
      </c>
      <c r="C1558">
        <v>0.004587155963302001</v>
      </c>
      <c r="D1558">
        <v>1.059349014655902</v>
      </c>
      <c r="E1558">
        <v>1.367007040803722</v>
      </c>
      <c r="F1558">
        <v>0.9286496097828951</v>
      </c>
      <c r="G1558">
        <v>1.110281600308352</v>
      </c>
      <c r="H1558">
        <v>0.149023242798929</v>
      </c>
      <c r="I1558">
        <v>-0.154379519766999</v>
      </c>
    </row>
    <row r="1559" spans="1:9">
      <c r="A1559" s="8" t="s">
        <v>1571</v>
      </c>
      <c r="B1559">
        <f>HYPERLINK("https://www.suredividend.com/sure-analysis-research-database/","Openlane Inc.")</f>
        <v>0</v>
      </c>
      <c r="C1559">
        <v>-0.06152125279642</v>
      </c>
      <c r="D1559">
        <v>0.07426376440460901</v>
      </c>
      <c r="E1559">
        <v>0.171787709497206</v>
      </c>
      <c r="F1559">
        <v>0.13301823092505</v>
      </c>
      <c r="G1559">
        <v>0.050062578222778</v>
      </c>
      <c r="H1559">
        <v>-0.027246376811594</v>
      </c>
      <c r="I1559">
        <v>-0.24421223313215</v>
      </c>
    </row>
    <row r="1560" spans="1:9">
      <c r="A1560" s="8" t="s">
        <v>1572</v>
      </c>
      <c r="B1560">
        <f>HYPERLINK("https://www.suredividend.com/sure-analysis-research-database/","Kimball International, Inc.")</f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</row>
    <row r="1561" spans="1:9">
      <c r="A1561" s="8" t="s">
        <v>1573</v>
      </c>
      <c r="B1561">
        <f>HYPERLINK("https://www.suredividend.com/sure-analysis-research-database/","KB Home")</f>
        <v>0</v>
      </c>
      <c r="C1561">
        <v>-0.019565530139548</v>
      </c>
      <c r="D1561">
        <v>-0.021108998040781</v>
      </c>
      <c r="E1561">
        <v>0.214405360134003</v>
      </c>
      <c r="F1561">
        <v>0.09872038976763201</v>
      </c>
      <c r="G1561">
        <v>0.4286223384964981</v>
      </c>
      <c r="H1561">
        <v>1.093695564683365</v>
      </c>
      <c r="I1561">
        <v>1.762251792525099</v>
      </c>
    </row>
    <row r="1562" spans="1:9">
      <c r="A1562" s="8" t="s">
        <v>1574</v>
      </c>
      <c r="B1562">
        <f>HYPERLINK("https://www.suredividend.com/sure-analysis-research-database/","KBR Inc")</f>
        <v>0</v>
      </c>
      <c r="C1562">
        <v>-0.062843559649383</v>
      </c>
      <c r="D1562">
        <v>0.017782144925852</v>
      </c>
      <c r="E1562">
        <v>0.206333057312294</v>
      </c>
      <c r="F1562">
        <v>0.141215463216244</v>
      </c>
      <c r="G1562">
        <v>0.024282044537108</v>
      </c>
      <c r="H1562">
        <v>0.235840147956005</v>
      </c>
      <c r="I1562">
        <v>1.86457742033632</v>
      </c>
    </row>
    <row r="1563" spans="1:9">
      <c r="A1563" s="8" t="s">
        <v>1575</v>
      </c>
      <c r="B1563">
        <f>HYPERLINK("https://www.suredividend.com/sure-analysis-research-database/","Kadmon Holdings Inc")</f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</row>
    <row r="1564" spans="1:9">
      <c r="A1564" s="8" t="s">
        <v>1576</v>
      </c>
      <c r="B1564">
        <f>HYPERLINK("https://www.suredividend.com/sure-analysis-KDP/","Keurig Dr Pepper Inc")</f>
        <v>0</v>
      </c>
      <c r="C1564">
        <v>0.024253179532682</v>
      </c>
      <c r="D1564">
        <v>0.21268787382163</v>
      </c>
      <c r="E1564">
        <v>0.09248071675315801</v>
      </c>
      <c r="F1564">
        <v>0.061003894126334</v>
      </c>
      <c r="G1564">
        <v>0.159566845027222</v>
      </c>
      <c r="H1564">
        <v>0.019359890263538</v>
      </c>
      <c r="I1564">
        <v>0.394397445550853</v>
      </c>
    </row>
    <row r="1565" spans="1:9">
      <c r="A1565" s="8" t="s">
        <v>1577</v>
      </c>
      <c r="B1565">
        <f>HYPERLINK("https://www.suredividend.com/sure-analysis-research-database/","Kimball Electronics Inc")</f>
        <v>0</v>
      </c>
      <c r="C1565">
        <v>-0.011732851985559</v>
      </c>
      <c r="D1565">
        <v>0.020979020979021</v>
      </c>
      <c r="E1565">
        <v>-0.115151515151515</v>
      </c>
      <c r="F1565">
        <v>-0.187384044526901</v>
      </c>
      <c r="G1565">
        <v>-0.17389664277631</v>
      </c>
      <c r="H1565">
        <v>0.065175097276264</v>
      </c>
      <c r="I1565">
        <v>0.484745762711864</v>
      </c>
    </row>
    <row r="1566" spans="1:9">
      <c r="A1566" s="8" t="s">
        <v>1578</v>
      </c>
      <c r="B1566">
        <f>HYPERLINK("https://www.suredividend.com/sure-analysis-research-database/","Kelly Services, Inc.")</f>
        <v>0</v>
      </c>
      <c r="C1566">
        <v>-0.07533617341292301</v>
      </c>
      <c r="D1566">
        <v>-0.1002415710015</v>
      </c>
      <c r="E1566">
        <v>0.027696516089814</v>
      </c>
      <c r="F1566">
        <v>0.010586878248565</v>
      </c>
      <c r="G1566">
        <v>0.164285906437468</v>
      </c>
      <c r="H1566">
        <v>0.124266810750151</v>
      </c>
      <c r="I1566">
        <v>-0.044591611479028</v>
      </c>
    </row>
    <row r="1567" spans="1:9">
      <c r="A1567" s="8" t="s">
        <v>1579</v>
      </c>
      <c r="B1567">
        <f>HYPERLINK("https://www.suredividend.com/sure-analysis-research-database/","KraneShares Trust")</f>
        <v>0</v>
      </c>
      <c r="C1567">
        <v>-0.002880226418867</v>
      </c>
      <c r="D1567">
        <v>0.048036699472546</v>
      </c>
      <c r="E1567">
        <v>0.08175985181600401</v>
      </c>
      <c r="F1567">
        <v>0.04746515855382701</v>
      </c>
      <c r="G1567">
        <v>0.06548215841291201</v>
      </c>
      <c r="H1567">
        <v>0.06548215841291201</v>
      </c>
      <c r="I1567">
        <v>0.06548215841291201</v>
      </c>
    </row>
    <row r="1568" spans="1:9">
      <c r="A1568" s="8" t="s">
        <v>1580</v>
      </c>
      <c r="B1568">
        <f>HYPERLINK("https://www.suredividend.com/sure-analysis-research-database/","Kewaunee Scientific Corporation")</f>
        <v>0</v>
      </c>
      <c r="C1568">
        <v>0.09317640465181401</v>
      </c>
      <c r="D1568">
        <v>0.311701412239408</v>
      </c>
      <c r="E1568">
        <v>0.7117156647652471</v>
      </c>
      <c r="F1568">
        <v>0.341933264533883</v>
      </c>
      <c r="G1568">
        <v>1.438125</v>
      </c>
      <c r="H1568">
        <v>1.784439685938615</v>
      </c>
      <c r="I1568">
        <v>0.8302008951610631</v>
      </c>
    </row>
    <row r="1569" spans="1:9">
      <c r="A1569" s="8" t="s">
        <v>1581</v>
      </c>
      <c r="B1569">
        <f>HYPERLINK("https://www.suredividend.com/sure-analysis-research-database/","Kirby Corp.")</f>
        <v>0</v>
      </c>
      <c r="C1569">
        <v>0.046589605576634</v>
      </c>
      <c r="D1569">
        <v>0.330006727965911</v>
      </c>
      <c r="E1569">
        <v>0.6294820717131471</v>
      </c>
      <c r="F1569">
        <v>0.5113404689092761</v>
      </c>
      <c r="G1569">
        <v>0.552283732495746</v>
      </c>
      <c r="H1569">
        <v>0.617703218767048</v>
      </c>
      <c r="I1569">
        <v>0.459276574803149</v>
      </c>
    </row>
    <row r="1570" spans="1:9">
      <c r="A1570" s="8" t="s">
        <v>1582</v>
      </c>
      <c r="B1570">
        <f>HYPERLINK("https://www.suredividend.com/sure-analysis-KEY/","Keycorp")</f>
        <v>0</v>
      </c>
      <c r="C1570">
        <v>-0.053559174632939</v>
      </c>
      <c r="D1570">
        <v>-0.05609237149168501</v>
      </c>
      <c r="E1570">
        <v>0.09355251485677001</v>
      </c>
      <c r="F1570">
        <v>-0.004416872739747</v>
      </c>
      <c r="G1570">
        <v>0.348891255931054</v>
      </c>
      <c r="H1570">
        <v>-0.205013040525501</v>
      </c>
      <c r="I1570">
        <v>0.064773057343341</v>
      </c>
    </row>
    <row r="1571" spans="1:9">
      <c r="A1571" s="8" t="s">
        <v>1583</v>
      </c>
      <c r="B1571">
        <f>HYPERLINK("https://www.suredividend.com/sure-analysis-research-database/","Keysight Technologies Inc")</f>
        <v>0</v>
      </c>
      <c r="C1571">
        <v>-0.09520319786808701</v>
      </c>
      <c r="D1571">
        <v>-0.136672811645794</v>
      </c>
      <c r="E1571">
        <v>-0.042850095144125</v>
      </c>
      <c r="F1571">
        <v>-0.146332264755798</v>
      </c>
      <c r="G1571">
        <v>-0.15891496872484</v>
      </c>
      <c r="H1571">
        <v>-0.08514651397777001</v>
      </c>
      <c r="I1571">
        <v>0.6535979544624371</v>
      </c>
    </row>
    <row r="1572" spans="1:9">
      <c r="A1572" s="8" t="s">
        <v>1584</v>
      </c>
      <c r="B1572">
        <f>HYPERLINK("https://www.suredividend.com/sure-analysis-research-database/","Kentucky First Federal Bancorp")</f>
        <v>0</v>
      </c>
      <c r="C1572">
        <v>-0.04913294797687801</v>
      </c>
      <c r="D1572">
        <v>-0.149870801033591</v>
      </c>
      <c r="E1572">
        <v>-0.272123893805309</v>
      </c>
      <c r="F1572">
        <v>-0.257336343115124</v>
      </c>
      <c r="G1572">
        <v>-0.370997036612178</v>
      </c>
      <c r="H1572">
        <v>-0.505426776104146</v>
      </c>
      <c r="I1572">
        <v>-0.424271589815381</v>
      </c>
    </row>
    <row r="1573" spans="1:9">
      <c r="A1573" s="8" t="s">
        <v>1585</v>
      </c>
      <c r="B1573">
        <f>HYPERLINK("https://www.suredividend.com/sure-analysis-research-database/","Kforce Inc.")</f>
        <v>0</v>
      </c>
      <c r="C1573">
        <v>-0.0471327572663</v>
      </c>
      <c r="D1573">
        <v>-0.157254971709334</v>
      </c>
      <c r="E1573">
        <v>-0.106814131923479</v>
      </c>
      <c r="F1573">
        <v>-0.097378901436455</v>
      </c>
      <c r="G1573">
        <v>0.004295370471563</v>
      </c>
      <c r="H1573">
        <v>-0.06379182064319701</v>
      </c>
      <c r="I1573">
        <v>0.9495151123582861</v>
      </c>
    </row>
    <row r="1574" spans="1:9">
      <c r="A1574" s="8" t="s">
        <v>1586</v>
      </c>
      <c r="B1574">
        <f>HYPERLINK("https://www.suredividend.com/sure-analysis-research-database/","Korn Ferry")</f>
        <v>0</v>
      </c>
      <c r="C1574">
        <v>0.005083399523431001</v>
      </c>
      <c r="D1574">
        <v>-0.022041548163719</v>
      </c>
      <c r="E1574">
        <v>0.18670485429245</v>
      </c>
      <c r="F1574">
        <v>0.07155196358044301</v>
      </c>
      <c r="G1574">
        <v>0.235404381614402</v>
      </c>
      <c r="H1574">
        <v>0.043071414205027</v>
      </c>
      <c r="I1574">
        <v>0.4990937200127941</v>
      </c>
    </row>
    <row r="1575" spans="1:9">
      <c r="A1575" s="8" t="s">
        <v>1587</v>
      </c>
      <c r="B1575">
        <f>HYPERLINK("https://www.suredividend.com/sure-analysis-KHC/","Kraft Heinz Co")</f>
        <v>0</v>
      </c>
      <c r="C1575">
        <v>-0.017100002000668</v>
      </c>
      <c r="D1575">
        <v>0.020220479168397</v>
      </c>
      <c r="E1575">
        <v>-0.013479671485001</v>
      </c>
      <c r="F1575">
        <v>-0.02628382453289</v>
      </c>
      <c r="G1575">
        <v>0.021232368225686</v>
      </c>
      <c r="H1575">
        <v>0.049848735083386</v>
      </c>
      <c r="I1575">
        <v>0.5632386632241171</v>
      </c>
    </row>
    <row r="1576" spans="1:9">
      <c r="A1576" s="8" t="s">
        <v>1588</v>
      </c>
      <c r="B1576">
        <f>HYPERLINK("https://www.suredividend.com/sure-analysis-research-database/","OrthoPediatrics corp")</f>
        <v>0</v>
      </c>
      <c r="C1576">
        <v>-0.130835734870317</v>
      </c>
      <c r="D1576">
        <v>0.049773755656108</v>
      </c>
      <c r="E1576">
        <v>-0.010173941581883</v>
      </c>
      <c r="F1576">
        <v>-0.07228545063057501</v>
      </c>
      <c r="G1576">
        <v>-0.354037267080745</v>
      </c>
      <c r="H1576">
        <v>-0.341772151898734</v>
      </c>
      <c r="I1576">
        <v>-0.270440251572327</v>
      </c>
    </row>
    <row r="1577" spans="1:9">
      <c r="A1577" s="8" t="s">
        <v>1589</v>
      </c>
      <c r="B1577">
        <f>HYPERLINK("https://www.suredividend.com/sure-analysis-KIM/","Kimco Realty Corporation")</f>
        <v>0</v>
      </c>
      <c r="C1577">
        <v>0.00193561803804</v>
      </c>
      <c r="D1577">
        <v>-0.017213153338807</v>
      </c>
      <c r="E1577">
        <v>-0.043137734186819</v>
      </c>
      <c r="F1577">
        <v>-0.09612183835060201</v>
      </c>
      <c r="G1577">
        <v>0.016708871718286</v>
      </c>
      <c r="H1577">
        <v>-0.04837149469995</v>
      </c>
      <c r="I1577">
        <v>-0.04837149469995</v>
      </c>
    </row>
    <row r="1578" spans="1:9">
      <c r="A1578" s="8" t="s">
        <v>1590</v>
      </c>
      <c r="B1578">
        <f>HYPERLINK("https://www.suredividend.com/sure-analysis-research-database/","Kindred Biosciences Inc")</f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</row>
    <row r="1579" spans="1:9">
      <c r="A1579" s="8" t="s">
        <v>1591</v>
      </c>
      <c r="B1579">
        <f>HYPERLINK("https://www.suredividend.com/sure-analysis-research-database/","Kingstone Cos. Inc")</f>
        <v>0</v>
      </c>
      <c r="C1579">
        <v>0.197007481296758</v>
      </c>
      <c r="D1579">
        <v>0.315068493150684</v>
      </c>
      <c r="E1579">
        <v>0.7843866171003711</v>
      </c>
      <c r="F1579">
        <v>1.253521126760563</v>
      </c>
      <c r="G1579">
        <v>2.582089552238805</v>
      </c>
      <c r="H1579">
        <v>0.08972030512168501</v>
      </c>
      <c r="I1579">
        <v>-0.367305512350723</v>
      </c>
    </row>
    <row r="1580" spans="1:9">
      <c r="A1580" s="8" t="s">
        <v>1592</v>
      </c>
      <c r="B1580">
        <f>HYPERLINK("https://www.suredividend.com/sure-analysis-research-database/","Kirkland`s Inc")</f>
        <v>0</v>
      </c>
      <c r="C1580">
        <v>0.016042780748662</v>
      </c>
      <c r="D1580">
        <v>-0.293680297397769</v>
      </c>
      <c r="E1580">
        <v>-0.274809160305343</v>
      </c>
      <c r="F1580">
        <v>-0.3708609271523171</v>
      </c>
      <c r="G1580">
        <v>-0.396825396825396</v>
      </c>
      <c r="H1580">
        <v>-0.609856262833675</v>
      </c>
      <c r="I1580">
        <v>-0.08212560386473401</v>
      </c>
    </row>
    <row r="1581" spans="1:9">
      <c r="A1581" s="8" t="s">
        <v>1593</v>
      </c>
      <c r="B1581">
        <f>HYPERLINK("https://www.suredividend.com/sure-analysis-KKR/","KKR &amp; Co. Inc")</f>
        <v>0</v>
      </c>
      <c r="C1581">
        <v>-0.013883521720928</v>
      </c>
      <c r="D1581">
        <v>0.001816744928807</v>
      </c>
      <c r="E1581">
        <v>0.302518104190814</v>
      </c>
      <c r="F1581">
        <v>0.186809566661297</v>
      </c>
      <c r="G1581">
        <v>0.806980080621664</v>
      </c>
      <c r="H1581">
        <v>0.760953168242101</v>
      </c>
      <c r="I1581">
        <v>0.7797045752156291</v>
      </c>
    </row>
    <row r="1582" spans="1:9">
      <c r="A1582" s="8" t="s">
        <v>1594</v>
      </c>
      <c r="B1582">
        <f>HYPERLINK("https://www.suredividend.com/sure-analysis-KLAC/","KLA Corp.")</f>
        <v>0</v>
      </c>
      <c r="C1582">
        <v>0.08080643393049401</v>
      </c>
      <c r="D1582">
        <v>0.067536611062359</v>
      </c>
      <c r="E1582">
        <v>0.432924943109356</v>
      </c>
      <c r="F1582">
        <v>0.334151089396815</v>
      </c>
      <c r="G1582">
        <v>0.6906693179037431</v>
      </c>
      <c r="H1582">
        <v>1.164183200048407</v>
      </c>
      <c r="I1582">
        <v>6.603814910584944</v>
      </c>
    </row>
    <row r="1583" spans="1:9">
      <c r="A1583" s="8" t="s">
        <v>1595</v>
      </c>
      <c r="B1583">
        <f>HYPERLINK("https://www.suredividend.com/sure-analysis-KLIC/","Kulicke &amp; Soffa Industries, Inc.")</f>
        <v>0</v>
      </c>
      <c r="C1583">
        <v>-0.054977092877967</v>
      </c>
      <c r="D1583">
        <v>-0.120546044395176</v>
      </c>
      <c r="E1583">
        <v>-0.111709655508554</v>
      </c>
      <c r="F1583">
        <v>-0.167315003743229</v>
      </c>
      <c r="G1583">
        <v>-0.188936072863495</v>
      </c>
      <c r="H1583">
        <v>-0.115334079327513</v>
      </c>
      <c r="I1583">
        <v>1.343511962859105</v>
      </c>
    </row>
    <row r="1584" spans="1:9">
      <c r="A1584" s="8" t="s">
        <v>1596</v>
      </c>
      <c r="B1584">
        <f>HYPERLINK("https://www.suredividend.com/sure-analysis-research-database/","KLX Energy Services Holdings Inc")</f>
        <v>0</v>
      </c>
      <c r="C1584">
        <v>-0.282051282051282</v>
      </c>
      <c r="D1584">
        <v>-0.366178428761651</v>
      </c>
      <c r="E1584">
        <v>-0.489270386266094</v>
      </c>
      <c r="F1584">
        <v>-0.577264653641207</v>
      </c>
      <c r="G1584">
        <v>-0.483170466883822</v>
      </c>
      <c r="H1584">
        <v>-0.318051575931232</v>
      </c>
      <c r="I1584">
        <v>-0.9528479445269931</v>
      </c>
    </row>
    <row r="1585" spans="1:9">
      <c r="A1585" s="8" t="s">
        <v>1597</v>
      </c>
      <c r="B1585">
        <f>HYPERLINK("https://www.suredividend.com/sure-analysis-KMB/","Kimberly-Clark Corp.")</f>
        <v>0</v>
      </c>
      <c r="C1585">
        <v>-0.002145150483308</v>
      </c>
      <c r="D1585">
        <v>0.077747181412227</v>
      </c>
      <c r="E1585">
        <v>0.127893645198274</v>
      </c>
      <c r="F1585">
        <v>0.127707319363895</v>
      </c>
      <c r="G1585">
        <v>0.04366262876016901</v>
      </c>
      <c r="H1585">
        <v>0.105836477966734</v>
      </c>
      <c r="I1585">
        <v>0.18143163369294</v>
      </c>
    </row>
    <row r="1586" spans="1:9">
      <c r="A1586" s="8" t="s">
        <v>1598</v>
      </c>
      <c r="B1586">
        <f>HYPERLINK("https://www.suredividend.com/sure-analysis-KMI/","Kinder Morgan Inc")</f>
        <v>0</v>
      </c>
      <c r="C1586">
        <v>0.04528502930207701</v>
      </c>
      <c r="D1586">
        <v>0.115089514066496</v>
      </c>
      <c r="E1586">
        <v>0.157494808382103</v>
      </c>
      <c r="F1586">
        <v>0.148308556713098</v>
      </c>
      <c r="G1586">
        <v>0.215568194490911</v>
      </c>
      <c r="H1586">
        <v>0.106973595125253</v>
      </c>
      <c r="I1586">
        <v>0.274729558522561</v>
      </c>
    </row>
    <row r="1587" spans="1:9">
      <c r="A1587" s="8" t="s">
        <v>1599</v>
      </c>
      <c r="B1587">
        <f>HYPERLINK("https://www.suredividend.com/sure-analysis-research-database/","Zevra Therapeutics Inc")</f>
        <v>0</v>
      </c>
      <c r="C1587">
        <v>0.043636363636363</v>
      </c>
      <c r="D1587">
        <v>0.205882352941176</v>
      </c>
      <c r="E1587">
        <v>-0.09177215189873401</v>
      </c>
      <c r="F1587">
        <v>0.250544662309368</v>
      </c>
      <c r="G1587">
        <v>-0.020477815699658</v>
      </c>
      <c r="H1587">
        <v>-0.340987370838117</v>
      </c>
      <c r="I1587">
        <v>-0.043333333333333</v>
      </c>
    </row>
    <row r="1588" spans="1:9">
      <c r="A1588" s="8" t="s">
        <v>1600</v>
      </c>
      <c r="B1588">
        <f>HYPERLINK("https://www.suredividend.com/sure-analysis-research-database/","Kemper Corporation")</f>
        <v>0</v>
      </c>
      <c r="C1588">
        <v>-0.022209643047416</v>
      </c>
      <c r="D1588">
        <v>0.013550827684278</v>
      </c>
      <c r="E1588">
        <v>0.267959886438464</v>
      </c>
      <c r="F1588">
        <v>0.219243832158308</v>
      </c>
      <c r="G1588">
        <v>0.292926001836029</v>
      </c>
      <c r="H1588">
        <v>0.176293863162954</v>
      </c>
      <c r="I1588">
        <v>-0.227912418738866</v>
      </c>
    </row>
    <row r="1589" spans="1:9">
      <c r="A1589" s="8" t="s">
        <v>1601</v>
      </c>
      <c r="B1589">
        <f>HYPERLINK("https://www.suredividend.com/sure-analysis-research-database/","Kennametal Inc.")</f>
        <v>0</v>
      </c>
      <c r="C1589">
        <v>0.006942734748141</v>
      </c>
      <c r="D1589">
        <v>-0.025591137405944</v>
      </c>
      <c r="E1589">
        <v>0.024801533443859</v>
      </c>
      <c r="F1589">
        <v>-0.033215013138663</v>
      </c>
      <c r="G1589">
        <v>-0.126046589480507</v>
      </c>
      <c r="H1589">
        <v>-0.08737950731881401</v>
      </c>
      <c r="I1589">
        <v>-0.125688511390276</v>
      </c>
    </row>
    <row r="1590" spans="1:9">
      <c r="A1590" s="8" t="s">
        <v>1602</v>
      </c>
      <c r="B1590">
        <f>HYPERLINK("https://www.suredividend.com/sure-analysis-research-database/","Carmax Inc")</f>
        <v>0</v>
      </c>
      <c r="C1590">
        <v>-0.0008666762964030001</v>
      </c>
      <c r="D1590">
        <v>-0.14244978923878</v>
      </c>
      <c r="E1590">
        <v>0.034240430622009</v>
      </c>
      <c r="F1590">
        <v>-0.098644774563461</v>
      </c>
      <c r="G1590">
        <v>-0.125868823455073</v>
      </c>
      <c r="H1590">
        <v>-0.295836302555227</v>
      </c>
      <c r="I1590">
        <v>-0.134184503692577</v>
      </c>
    </row>
    <row r="1591" spans="1:9">
      <c r="A1591" s="8" t="s">
        <v>1603</v>
      </c>
      <c r="B1591">
        <f>HYPERLINK("https://www.suredividend.com/sure-analysis-research-database/","Knowles Corp")</f>
        <v>0</v>
      </c>
      <c r="C1591">
        <v>0.025791324736225</v>
      </c>
      <c r="D1591">
        <v>0.05868118572292701</v>
      </c>
      <c r="E1591">
        <v>0.09034267912772501</v>
      </c>
      <c r="F1591">
        <v>-0.022892238972641</v>
      </c>
      <c r="G1591">
        <v>-0.002280501710376</v>
      </c>
      <c r="H1591">
        <v>-0.114820435002529</v>
      </c>
      <c r="I1591">
        <v>0.016850668216153</v>
      </c>
    </row>
    <row r="1592" spans="1:9">
      <c r="A1592" s="8" t="s">
        <v>1604</v>
      </c>
      <c r="B1592">
        <f>HYPERLINK("https://www.suredividend.com/sure-analysis-research-database/","Knoll Inc")</f>
        <v>0</v>
      </c>
      <c r="C1592">
        <v>-0.013126491646778</v>
      </c>
      <c r="D1592">
        <v>0.4431382585782671</v>
      </c>
      <c r="E1592">
        <v>0.5910271455780211</v>
      </c>
      <c r="F1592">
        <v>0.6994081867499581</v>
      </c>
      <c r="G1592">
        <v>1.010111321763648</v>
      </c>
      <c r="H1592">
        <v>0.11670237473669</v>
      </c>
      <c r="I1592">
        <v>0.127332706280074</v>
      </c>
    </row>
    <row r="1593" spans="1:9">
      <c r="A1593" s="8" t="s">
        <v>1605</v>
      </c>
      <c r="B1593">
        <f>HYPERLINK("https://www.suredividend.com/sure-analysis-research-database/","Kiniksa Pharmaceuticals Ltd")</f>
        <v>0</v>
      </c>
      <c r="C1593">
        <v>-0.06246925725528701</v>
      </c>
      <c r="D1593">
        <v>-0.103480714957667</v>
      </c>
      <c r="E1593">
        <v>0.070786516853932</v>
      </c>
      <c r="F1593">
        <v>0.08665906499429801</v>
      </c>
      <c r="G1593">
        <v>0.255599472990777</v>
      </c>
      <c r="H1593">
        <v>1.203468208092485</v>
      </c>
      <c r="I1593">
        <v>0.386181818181818</v>
      </c>
    </row>
    <row r="1594" spans="1:9">
      <c r="A1594" s="8" t="s">
        <v>1606</v>
      </c>
      <c r="B1594">
        <f>HYPERLINK("https://www.suredividend.com/sure-analysis-research-database/","Kinsale Capital Group Inc")</f>
        <v>0</v>
      </c>
      <c r="C1594">
        <v>-0.022154007714522</v>
      </c>
      <c r="D1594">
        <v>-0.272922345005629</v>
      </c>
      <c r="E1594">
        <v>0.178370620314664</v>
      </c>
      <c r="F1594">
        <v>0.157400629255918</v>
      </c>
      <c r="G1594">
        <v>0.09019555748687601</v>
      </c>
      <c r="H1594">
        <v>0.685595676353097</v>
      </c>
      <c r="I1594">
        <v>3.480921726154326</v>
      </c>
    </row>
    <row r="1595" spans="1:9">
      <c r="A1595" s="8" t="s">
        <v>1607</v>
      </c>
      <c r="B1595">
        <f>HYPERLINK("https://www.suredividend.com/sure-analysis-research-database/","Knight-Swift Transportation Holdings Inc")</f>
        <v>0</v>
      </c>
      <c r="C1595">
        <v>-0.000416146483562</v>
      </c>
      <c r="D1595">
        <v>-0.148075899982266</v>
      </c>
      <c r="E1595">
        <v>-0.144083952464945</v>
      </c>
      <c r="F1595">
        <v>-0.164276108978117</v>
      </c>
      <c r="G1595">
        <v>-0.16055224618675</v>
      </c>
      <c r="H1595">
        <v>-0.00408606653385</v>
      </c>
      <c r="I1595">
        <v>0.659464370222217</v>
      </c>
    </row>
    <row r="1596" spans="1:9">
      <c r="A1596" s="8" t="s">
        <v>1608</v>
      </c>
      <c r="B1596">
        <f>HYPERLINK("https://www.suredividend.com/sure-analysis-KO/","Coca-Cola Co")</f>
        <v>0</v>
      </c>
      <c r="C1596">
        <v>0.020600447141488</v>
      </c>
      <c r="D1596">
        <v>0.08380265328998801</v>
      </c>
      <c r="E1596">
        <v>0.096717398355009</v>
      </c>
      <c r="F1596">
        <v>0.09318125838145501</v>
      </c>
      <c r="G1596">
        <v>0.09511439498827901</v>
      </c>
      <c r="H1596">
        <v>0.073516838475273</v>
      </c>
      <c r="I1596">
        <v>0.449854016420033</v>
      </c>
    </row>
    <row r="1597" spans="1:9">
      <c r="A1597" s="8" t="s">
        <v>1609</v>
      </c>
      <c r="B1597">
        <f>HYPERLINK("https://www.suredividend.com/sure-analysis-research-database/","Kodiak Sciences Inc")</f>
        <v>0</v>
      </c>
      <c r="C1597">
        <v>-0.273869346733668</v>
      </c>
      <c r="D1597">
        <v>-0.534621578099838</v>
      </c>
      <c r="E1597">
        <v>-0.058631921824104</v>
      </c>
      <c r="F1597">
        <v>-0.04934210526315701</v>
      </c>
      <c r="G1597">
        <v>-0.6875675675675671</v>
      </c>
      <c r="H1597">
        <v>-0.6799557032115171</v>
      </c>
      <c r="I1597">
        <v>-0.719144800777453</v>
      </c>
    </row>
    <row r="1598" spans="1:9">
      <c r="A1598" s="8" t="s">
        <v>1610</v>
      </c>
      <c r="B1598">
        <f>HYPERLINK("https://www.suredividend.com/sure-analysis-research-database/","Eastman Kodak Co.")</f>
        <v>0</v>
      </c>
      <c r="C1598">
        <v>0.232608695652174</v>
      </c>
      <c r="D1598">
        <v>0.118343195266272</v>
      </c>
      <c r="E1598">
        <v>0.5160427807486621</v>
      </c>
      <c r="F1598">
        <v>0.453846153846153</v>
      </c>
      <c r="G1598">
        <v>0.08206106870229</v>
      </c>
      <c r="H1598">
        <v>0.157142857142857</v>
      </c>
      <c r="I1598">
        <v>1.554054054054054</v>
      </c>
    </row>
    <row r="1599" spans="1:9">
      <c r="A1599" s="8" t="s">
        <v>1611</v>
      </c>
      <c r="B1599">
        <f>HYPERLINK("https://www.suredividend.com/sure-analysis-research-database/","Spinnaker ETF Series")</f>
        <v>0</v>
      </c>
      <c r="C1599">
        <v>0.027721774193548</v>
      </c>
      <c r="D1599">
        <v>0.021543086172344</v>
      </c>
      <c r="E1599">
        <v>0.021543086172344</v>
      </c>
      <c r="F1599">
        <v>0.021543086172344</v>
      </c>
      <c r="G1599">
        <v>0.021543086172344</v>
      </c>
      <c r="H1599">
        <v>0.021543086172344</v>
      </c>
      <c r="I1599">
        <v>0.021543086172344</v>
      </c>
    </row>
    <row r="1600" spans="1:9">
      <c r="A1600" s="8" t="s">
        <v>1612</v>
      </c>
      <c r="B1600">
        <f>HYPERLINK("https://www.suredividend.com/sure-analysis-research-database/","Koppers Holdings Inc")</f>
        <v>0</v>
      </c>
      <c r="C1600">
        <v>-0.06201992812879901</v>
      </c>
      <c r="D1600">
        <v>-0.208545726565682</v>
      </c>
      <c r="E1600">
        <v>-0.06520624814525</v>
      </c>
      <c r="F1600">
        <v>-0.185840915899598</v>
      </c>
      <c r="G1600">
        <v>0.253795611413821</v>
      </c>
      <c r="H1600">
        <v>0.5057797606976271</v>
      </c>
      <c r="I1600">
        <v>0.483823539907644</v>
      </c>
    </row>
    <row r="1601" spans="1:9">
      <c r="A1601" s="8" t="s">
        <v>1613</v>
      </c>
      <c r="B1601">
        <f>HYPERLINK("https://www.suredividend.com/sure-analysis-research-database/","Kopin Corp.")</f>
        <v>0</v>
      </c>
      <c r="C1601">
        <v>-0.09634351695934501</v>
      </c>
      <c r="D1601">
        <v>-0.6994800000000001</v>
      </c>
      <c r="E1601">
        <v>-0.524493670886076</v>
      </c>
      <c r="F1601">
        <v>-0.629901477832512</v>
      </c>
      <c r="G1601">
        <v>-0.629901477832512</v>
      </c>
      <c r="H1601">
        <v>-0.505723684210526</v>
      </c>
      <c r="I1601">
        <v>-0.291226415094339</v>
      </c>
    </row>
    <row r="1602" spans="1:9">
      <c r="A1602" s="8" t="s">
        <v>1614</v>
      </c>
      <c r="B1602">
        <f>HYPERLINK("https://www.suredividend.com/sure-analysis-research-database/","Kosmos Energy Ltd")</f>
        <v>0</v>
      </c>
      <c r="C1602">
        <v>-0.07846410684474101</v>
      </c>
      <c r="D1602">
        <v>0.009140767824497001</v>
      </c>
      <c r="E1602">
        <v>-0.112540192926045</v>
      </c>
      <c r="F1602">
        <v>-0.177347242921013</v>
      </c>
      <c r="G1602">
        <v>-0.188235294117647</v>
      </c>
      <c r="H1602">
        <v>-0.342857142857142</v>
      </c>
      <c r="I1602">
        <v>-0.02784382099646</v>
      </c>
    </row>
    <row r="1603" spans="1:9">
      <c r="A1603" s="8" t="s">
        <v>1615</v>
      </c>
      <c r="B1603">
        <f>HYPERLINK("https://www.suredividend.com/sure-analysis-research-database/","Karyopharm Therapeutics Inc")</f>
        <v>0</v>
      </c>
      <c r="C1603">
        <v>-0.127090909090909</v>
      </c>
      <c r="D1603">
        <v>-0.372418300653594</v>
      </c>
      <c r="E1603">
        <v>0.145140131186642</v>
      </c>
      <c r="F1603">
        <v>0.110057803468208</v>
      </c>
      <c r="G1603">
        <v>-0.5965546218487391</v>
      </c>
      <c r="H1603">
        <v>-0.8443760129659641</v>
      </c>
      <c r="I1603">
        <v>-0.8309507042253521</v>
      </c>
    </row>
    <row r="1604" spans="1:9">
      <c r="A1604" s="8" t="s">
        <v>1616</v>
      </c>
      <c r="B1604">
        <f>HYPERLINK("https://www.suredividend.com/sure-analysis-KR/","Kroger Co.")</f>
        <v>0</v>
      </c>
      <c r="C1604">
        <v>-0.05524233270446401</v>
      </c>
      <c r="D1604">
        <v>-0.05813711189831201</v>
      </c>
      <c r="E1604">
        <v>0.173866895508231</v>
      </c>
      <c r="F1604">
        <v>0.150496342448622</v>
      </c>
      <c r="G1604">
        <v>0.171401399912561</v>
      </c>
      <c r="H1604">
        <v>0.04643110223539201</v>
      </c>
      <c r="I1604">
        <v>1.422259812761832</v>
      </c>
    </row>
    <row r="1605" spans="1:9">
      <c r="A1605" s="8" t="s">
        <v>1617</v>
      </c>
      <c r="B1605">
        <f>HYPERLINK("https://www.suredividend.com/sure-analysis-research-database/","Kraton Corp")</f>
        <v>0</v>
      </c>
      <c r="C1605">
        <v>0.008242950108459001</v>
      </c>
      <c r="D1605">
        <v>0.008899500759713</v>
      </c>
      <c r="E1605">
        <v>0.13643031784841</v>
      </c>
      <c r="F1605">
        <v>0.003454231433505</v>
      </c>
      <c r="G1605">
        <v>0.136708241623868</v>
      </c>
      <c r="H1605">
        <v>5.7953216374269</v>
      </c>
      <c r="I1605">
        <v>0.6558603491271811</v>
      </c>
    </row>
    <row r="1606" spans="1:9">
      <c r="A1606" s="8" t="s">
        <v>1618</v>
      </c>
      <c r="B1606">
        <f>HYPERLINK("https://www.suredividend.com/sure-analysis-KRC/","Kilroy Realty Corp.")</f>
        <v>0</v>
      </c>
      <c r="C1606">
        <v>-0.06982911019446</v>
      </c>
      <c r="D1606">
        <v>-0.118646339046172</v>
      </c>
      <c r="E1606">
        <v>-0.158191698708889</v>
      </c>
      <c r="F1606">
        <v>-0.195410501205482</v>
      </c>
      <c r="G1606">
        <v>0.110606876123535</v>
      </c>
      <c r="H1606">
        <v>-0.408107631793075</v>
      </c>
      <c r="I1606">
        <v>-0.486107652063789</v>
      </c>
    </row>
    <row r="1607" spans="1:9">
      <c r="A1607" s="8" t="s">
        <v>1619</v>
      </c>
      <c r="B1607">
        <f>HYPERLINK("https://www.suredividend.com/sure-analysis-KREF/","KKR Real Estate Finance Trust Inc")</f>
        <v>0</v>
      </c>
      <c r="C1607">
        <v>-0.038421599169262</v>
      </c>
      <c r="D1607">
        <v>-0.040812098611974</v>
      </c>
      <c r="E1607">
        <v>-0.220545281605373</v>
      </c>
      <c r="F1607">
        <v>-0.282237311257867</v>
      </c>
      <c r="G1607">
        <v>-0.141694550779982</v>
      </c>
      <c r="H1607">
        <v>-0.391198011860462</v>
      </c>
      <c r="I1607">
        <v>-0.231783903964691</v>
      </c>
    </row>
    <row r="1608" spans="1:9">
      <c r="A1608" s="8" t="s">
        <v>1620</v>
      </c>
      <c r="B1608">
        <f>HYPERLINK("https://www.suredividend.com/sure-analysis-KRG/","Kite Realty Group Trust")</f>
        <v>0</v>
      </c>
      <c r="C1608">
        <v>0.026889197960129</v>
      </c>
      <c r="D1608">
        <v>0.05056963166032601</v>
      </c>
      <c r="E1608">
        <v>0.034761444274709</v>
      </c>
      <c r="F1608">
        <v>-0.008238560042983</v>
      </c>
      <c r="G1608">
        <v>0.08635944519647601</v>
      </c>
      <c r="H1608">
        <v>0.168187331891777</v>
      </c>
      <c r="I1608">
        <v>0.8276783946135051</v>
      </c>
    </row>
    <row r="1609" spans="1:9">
      <c r="A1609" s="8" t="s">
        <v>1621</v>
      </c>
      <c r="B1609">
        <f>HYPERLINK("https://www.suredividend.com/sure-analysis-research-database/","Kearny Financial Corp.")</f>
        <v>0</v>
      </c>
      <c r="C1609">
        <v>-0.023255813953488</v>
      </c>
      <c r="D1609">
        <v>-0.110908469166761</v>
      </c>
      <c r="E1609">
        <v>-0.334000146373594</v>
      </c>
      <c r="F1609">
        <v>-0.369638754517011</v>
      </c>
      <c r="G1609">
        <v>-0.242108769884234</v>
      </c>
      <c r="H1609">
        <v>-0.485216473072861</v>
      </c>
      <c r="I1609">
        <v>-0.485065970028198</v>
      </c>
    </row>
    <row r="1610" spans="1:9">
      <c r="A1610" s="8" t="s">
        <v>1622</v>
      </c>
      <c r="B1610">
        <f>HYPERLINK("https://www.suredividend.com/sure-analysis-KRO/","Kronos Worldwide, Inc.")</f>
        <v>0</v>
      </c>
      <c r="C1610">
        <v>0.09426229508196701</v>
      </c>
      <c r="D1610">
        <v>0.323092170465807</v>
      </c>
      <c r="E1610">
        <v>0.6286446260827131</v>
      </c>
      <c r="F1610">
        <v>0.371410961014946</v>
      </c>
      <c r="G1610">
        <v>0.5675637593349301</v>
      </c>
      <c r="H1610">
        <v>-0.210722351633538</v>
      </c>
      <c r="I1610">
        <v>0.303736401101583</v>
      </c>
    </row>
    <row r="1611" spans="1:9">
      <c r="A1611" s="8" t="s">
        <v>1623</v>
      </c>
      <c r="B1611">
        <f>HYPERLINK("https://www.suredividend.com/sure-analysis-research-database/","Krystal Biotech Inc")</f>
        <v>0</v>
      </c>
      <c r="C1611">
        <v>0.016444114737883</v>
      </c>
      <c r="D1611">
        <v>-0.029856030210054</v>
      </c>
      <c r="E1611">
        <v>0.5901353965183751</v>
      </c>
      <c r="F1611">
        <v>0.325326454941157</v>
      </c>
      <c r="G1611">
        <v>0.290884823741854</v>
      </c>
      <c r="H1611">
        <v>1.608599079803268</v>
      </c>
      <c r="I1611">
        <v>4.216370558375634</v>
      </c>
    </row>
    <row r="1612" spans="1:9">
      <c r="A1612" s="8" t="s">
        <v>1624</v>
      </c>
      <c r="B1612">
        <f>HYPERLINK("https://www.suredividend.com/sure-analysis-KSS/","Kohl`s Corp.")</f>
        <v>0</v>
      </c>
      <c r="C1612">
        <v>-0.051143451143451</v>
      </c>
      <c r="D1612">
        <v>-0.132131298418288</v>
      </c>
      <c r="E1612">
        <v>-0.025735608040029</v>
      </c>
      <c r="F1612">
        <v>-0.18811127358373</v>
      </c>
      <c r="G1612">
        <v>0.100830688188019</v>
      </c>
      <c r="H1612">
        <v>-0.4242476996399651</v>
      </c>
      <c r="I1612">
        <v>-0.387990452436506</v>
      </c>
    </row>
    <row r="1613" spans="1:9">
      <c r="A1613" s="8" t="s">
        <v>1625</v>
      </c>
      <c r="B1613">
        <f>HYPERLINK("https://www.suredividend.com/sure-analysis-research-database/","Kansas City Southern")</f>
        <v>0</v>
      </c>
      <c r="C1613">
        <v>-0.055828911400546</v>
      </c>
      <c r="D1613">
        <v>0.043096710012079</v>
      </c>
      <c r="E1613">
        <v>-0.0005126972573760001</v>
      </c>
      <c r="F1613">
        <v>0.447523275300595</v>
      </c>
      <c r="G1613">
        <v>0.5065121925938241</v>
      </c>
      <c r="H1613">
        <v>0.97498225751659</v>
      </c>
      <c r="I1613">
        <v>2.622229103924256</v>
      </c>
    </row>
    <row r="1614" spans="1:9">
      <c r="A1614" s="8" t="s">
        <v>1626</v>
      </c>
      <c r="B1614">
        <f>HYPERLINK("https://www.suredividend.com/sure-analysis-KTB/","Kontoor Brands Inc")</f>
        <v>0</v>
      </c>
      <c r="C1614">
        <v>0.08445297504798401</v>
      </c>
      <c r="D1614">
        <v>0.19722901385493</v>
      </c>
      <c r="E1614">
        <v>0.364108259494434</v>
      </c>
      <c r="F1614">
        <v>0.186437940169283</v>
      </c>
      <c r="G1614">
        <v>0.7969155192828971</v>
      </c>
      <c r="H1614">
        <v>0.996547834241678</v>
      </c>
      <c r="I1614">
        <v>2.100281114666081</v>
      </c>
    </row>
    <row r="1615" spans="1:9">
      <c r="A1615" s="8" t="s">
        <v>1627</v>
      </c>
      <c r="B1615">
        <f>HYPERLINK("https://www.suredividend.com/sure-analysis-research-database/","Key Tronic Corp.")</f>
        <v>0</v>
      </c>
      <c r="C1615">
        <v>-0.06422018348623801</v>
      </c>
      <c r="D1615">
        <v>-0.148225469728601</v>
      </c>
      <c r="E1615">
        <v>-0.019230769230769</v>
      </c>
      <c r="F1615">
        <v>-0.055555555555555</v>
      </c>
      <c r="G1615">
        <v>-0.270125223613595</v>
      </c>
      <c r="H1615">
        <v>-0.188866799204771</v>
      </c>
      <c r="I1615">
        <v>-0.215384615384615</v>
      </c>
    </row>
    <row r="1616" spans="1:9">
      <c r="A1616" s="8" t="s">
        <v>1628</v>
      </c>
      <c r="B1616">
        <f>HYPERLINK("https://www.suredividend.com/sure-analysis-research-database/","Kratos Defense &amp; Security Solutions Inc")</f>
        <v>0</v>
      </c>
      <c r="C1616">
        <v>0.08635394456289901</v>
      </c>
      <c r="D1616">
        <v>0.09393451422436901</v>
      </c>
      <c r="E1616">
        <v>0.010912698412698</v>
      </c>
      <c r="F1616">
        <v>0.004435682602267</v>
      </c>
      <c r="G1616">
        <v>0.412335412335412</v>
      </c>
      <c r="H1616">
        <v>0.33990795529257</v>
      </c>
      <c r="I1616">
        <v>-0.08936550491510201</v>
      </c>
    </row>
    <row r="1617" spans="1:9">
      <c r="A1617" s="8" t="s">
        <v>1629</v>
      </c>
      <c r="B1617">
        <f>HYPERLINK("https://www.suredividend.com/sure-analysis-research-database/","Kura Oncology Inc")</f>
        <v>0</v>
      </c>
      <c r="C1617">
        <v>0.032747982914095</v>
      </c>
      <c r="D1617">
        <v>-0.022461814914645</v>
      </c>
      <c r="E1617">
        <v>0.925663716814159</v>
      </c>
      <c r="F1617">
        <v>0.513212795549374</v>
      </c>
      <c r="G1617">
        <v>0.563218390804597</v>
      </c>
      <c r="H1617">
        <v>0.6035372144436251</v>
      </c>
      <c r="I1617">
        <v>0.259259259259259</v>
      </c>
    </row>
    <row r="1618" spans="1:9">
      <c r="A1618" s="8" t="s">
        <v>1630</v>
      </c>
      <c r="B1618">
        <f>HYPERLINK("https://www.suredividend.com/sure-analysis-research-database/","KVH Industries, Inc.")</f>
        <v>0</v>
      </c>
      <c r="C1618">
        <v>-0.017647058823529</v>
      </c>
      <c r="D1618">
        <v>0.077419354838709</v>
      </c>
      <c r="E1618">
        <v>-0.019569471624266</v>
      </c>
      <c r="F1618">
        <v>-0.047528517110266</v>
      </c>
      <c r="G1618">
        <v>-0.477580813347236</v>
      </c>
      <c r="H1618">
        <v>-0.401433691756272</v>
      </c>
      <c r="I1618">
        <v>-0.474842767295597</v>
      </c>
    </row>
    <row r="1619" spans="1:9">
      <c r="A1619" s="8" t="s">
        <v>1631</v>
      </c>
      <c r="B1619">
        <f>HYPERLINK("https://www.suredividend.com/sure-analysis-research-database/","Kennedy-Wilson Holdings Inc")</f>
        <v>0</v>
      </c>
      <c r="C1619">
        <v>0.11036036036036</v>
      </c>
      <c r="D1619">
        <v>0.191439999033314</v>
      </c>
      <c r="E1619">
        <v>-0.132248497276175</v>
      </c>
      <c r="F1619">
        <v>-0.179079003238724</v>
      </c>
      <c r="G1619">
        <v>-0.370848461258686</v>
      </c>
      <c r="H1619">
        <v>-0.464883669183052</v>
      </c>
      <c r="I1619">
        <v>-0.371361900450757</v>
      </c>
    </row>
    <row r="1620" spans="1:9">
      <c r="A1620" s="8" t="s">
        <v>1632</v>
      </c>
      <c r="B1620">
        <f>HYPERLINK("https://www.suredividend.com/sure-analysis-KWR/","Quaker Houghton")</f>
        <v>0</v>
      </c>
      <c r="C1620">
        <v>-0.06384229084303801</v>
      </c>
      <c r="D1620">
        <v>-0.111435870547418</v>
      </c>
      <c r="E1620">
        <v>-0.08691907225600201</v>
      </c>
      <c r="F1620">
        <v>-0.175138253663698</v>
      </c>
      <c r="G1620">
        <v>-0.131103978436026</v>
      </c>
      <c r="H1620">
        <v>0.121283983101713</v>
      </c>
      <c r="I1620">
        <v>-0.03731998850695301</v>
      </c>
    </row>
    <row r="1621" spans="1:9">
      <c r="A1621" s="8" t="s">
        <v>1633</v>
      </c>
      <c r="B1621">
        <f>HYPERLINK("https://www.suredividend.com/sure-analysis-research-database/","Kezar Life Sciences Inc")</f>
        <v>0</v>
      </c>
      <c r="C1621">
        <v>-0.184880952380952</v>
      </c>
      <c r="D1621">
        <v>-0.3153</v>
      </c>
      <c r="E1621">
        <v>-0.212354768204302</v>
      </c>
      <c r="F1621">
        <v>-0.27728520160439</v>
      </c>
      <c r="G1621">
        <v>-0.764707903780068</v>
      </c>
      <c r="H1621">
        <v>-0.874136029411764</v>
      </c>
      <c r="I1621">
        <v>-0.9260583153347731</v>
      </c>
    </row>
    <row r="1622" spans="1:9">
      <c r="A1622" s="8" t="s">
        <v>1634</v>
      </c>
      <c r="B1622">
        <f>HYPERLINK("https://www.suredividend.com/sure-analysis-research-database/","Loews Corp.")</f>
        <v>0</v>
      </c>
      <c r="C1622">
        <v>-0.032083381032435</v>
      </c>
      <c r="D1622">
        <v>0.002843945487935</v>
      </c>
      <c r="E1622">
        <v>0.095276701099352</v>
      </c>
      <c r="F1622">
        <v>0.083157725037712</v>
      </c>
      <c r="G1622">
        <v>0.264599613477859</v>
      </c>
      <c r="H1622">
        <v>0.169524295021634</v>
      </c>
      <c r="I1622">
        <v>0.430518617653265</v>
      </c>
    </row>
    <row r="1623" spans="1:9">
      <c r="A1623" s="8" t="s">
        <v>1635</v>
      </c>
      <c r="B1623">
        <f>HYPERLINK("https://www.suredividend.com/sure-analysis-LAD/","Lithia Motors, Inc.")</f>
        <v>0</v>
      </c>
      <c r="C1623">
        <v>-0.018492722737694</v>
      </c>
      <c r="D1623">
        <v>-0.111948507464483</v>
      </c>
      <c r="E1623">
        <v>-0.04244196960894001</v>
      </c>
      <c r="F1623">
        <v>-0.213230649924523</v>
      </c>
      <c r="G1623">
        <v>0.011665312422709</v>
      </c>
      <c r="H1623">
        <v>-0.14862146608637</v>
      </c>
      <c r="I1623">
        <v>1.293995881295268</v>
      </c>
    </row>
    <row r="1624" spans="1:9">
      <c r="A1624" s="8" t="s">
        <v>1636</v>
      </c>
      <c r="B1624">
        <f>HYPERLINK("https://www.suredividend.com/sure-analysis-LADR/","Ladder Capital Corp")</f>
        <v>0</v>
      </c>
      <c r="C1624">
        <v>-0.016348773841961</v>
      </c>
      <c r="D1624">
        <v>0.014938241523438</v>
      </c>
      <c r="E1624">
        <v>0.008079529376721</v>
      </c>
      <c r="F1624">
        <v>-0.038854079767123</v>
      </c>
      <c r="G1624">
        <v>0.122919798849084</v>
      </c>
      <c r="H1624">
        <v>0.124949361697707</v>
      </c>
      <c r="I1624">
        <v>-0.00337729025371</v>
      </c>
    </row>
    <row r="1625" spans="1:9">
      <c r="A1625" s="8" t="s">
        <v>1637</v>
      </c>
      <c r="B1625">
        <f>HYPERLINK("https://www.suredividend.com/sure-analysis-research-database/","Lakeland Industries, Inc.")</f>
        <v>0</v>
      </c>
      <c r="C1625">
        <v>0.282110091743119</v>
      </c>
      <c r="D1625">
        <v>0.352438441671555</v>
      </c>
      <c r="E1625">
        <v>0.473456692498286</v>
      </c>
      <c r="F1625">
        <v>0.214366015130696</v>
      </c>
      <c r="G1625">
        <v>0.848560255954496</v>
      </c>
      <c r="H1625">
        <v>0.257260454210641</v>
      </c>
      <c r="I1625">
        <v>0.8770987239758221</v>
      </c>
    </row>
    <row r="1626" spans="1:9">
      <c r="A1626" s="8" t="s">
        <v>1638</v>
      </c>
      <c r="B1626">
        <f>HYPERLINK("https://www.suredividend.com/sure-analysis-LAMR/","Lamar Advertising Co")</f>
        <v>0</v>
      </c>
      <c r="C1626">
        <v>-0.005616543272913</v>
      </c>
      <c r="D1626">
        <v>-0.009111762186822001</v>
      </c>
      <c r="E1626">
        <v>0.17876468285833</v>
      </c>
      <c r="F1626">
        <v>0.124212762436573</v>
      </c>
      <c r="G1626">
        <v>0.353241874179195</v>
      </c>
      <c r="H1626">
        <v>0.371878199288055</v>
      </c>
      <c r="I1626">
        <v>0.8973776081838111</v>
      </c>
    </row>
    <row r="1627" spans="1:9">
      <c r="A1627" s="8" t="s">
        <v>1639</v>
      </c>
      <c r="B1627">
        <f>HYPERLINK("https://www.suredividend.com/sure-analysis-LANC/","Lancaster Colony Corp.")</f>
        <v>0</v>
      </c>
      <c r="C1627">
        <v>-0.030617906841161</v>
      </c>
      <c r="D1627">
        <v>-0.083715939136991</v>
      </c>
      <c r="E1627">
        <v>0.118009959097636</v>
      </c>
      <c r="F1627">
        <v>0.134001894269529</v>
      </c>
      <c r="G1627">
        <v>-0.03224900421408</v>
      </c>
      <c r="H1627">
        <v>0.655377842706186</v>
      </c>
      <c r="I1627">
        <v>0.410197136555529</v>
      </c>
    </row>
    <row r="1628" spans="1:9">
      <c r="A1628" s="8" t="s">
        <v>1640</v>
      </c>
      <c r="B1628">
        <f>HYPERLINK("https://www.suredividend.com/sure-analysis-LAND/","Gladstone Land Corp")</f>
        <v>0</v>
      </c>
      <c r="C1628">
        <v>0.023179727769375</v>
      </c>
      <c r="D1628">
        <v>0.032059214981203</v>
      </c>
      <c r="E1628">
        <v>-0.035853734794337</v>
      </c>
      <c r="F1628">
        <v>-0.04924427108727401</v>
      </c>
      <c r="G1628">
        <v>-0.179602670312877</v>
      </c>
      <c r="H1628">
        <v>-0.439773543453462</v>
      </c>
      <c r="I1628">
        <v>0.333641767326782</v>
      </c>
    </row>
    <row r="1629" spans="1:9">
      <c r="A1629" s="8" t="s">
        <v>1641</v>
      </c>
      <c r="B1629">
        <f>HYPERLINK("https://www.suredividend.com/sure-analysis-LARK/","Landmark Bancorp Inc")</f>
        <v>0</v>
      </c>
      <c r="C1629">
        <v>0.04551947381856301</v>
      </c>
      <c r="D1629">
        <v>-0.027355315945309</v>
      </c>
      <c r="E1629">
        <v>0.017748476020788</v>
      </c>
      <c r="F1629">
        <v>0.015434606011372</v>
      </c>
      <c r="G1629">
        <v>0.008286279973601001</v>
      </c>
      <c r="H1629">
        <v>-0.047444677566208</v>
      </c>
      <c r="I1629">
        <v>0.28731542906056</v>
      </c>
    </row>
    <row r="1630" spans="1:9">
      <c r="A1630" s="8" t="s">
        <v>1642</v>
      </c>
      <c r="B1630">
        <f>HYPERLINK("https://www.suredividend.com/sure-analysis-research-database/","nLIGHT Inc")</f>
        <v>0</v>
      </c>
      <c r="C1630">
        <v>-0.07974980453479201</v>
      </c>
      <c r="D1630">
        <v>-0.08118657298985101</v>
      </c>
      <c r="E1630">
        <v>-0.108333333333333</v>
      </c>
      <c r="F1630">
        <v>-0.128148148148148</v>
      </c>
      <c r="G1630">
        <v>-0.204729729729729</v>
      </c>
      <c r="H1630">
        <v>-0.135194709772226</v>
      </c>
      <c r="I1630">
        <v>-0.383446830801466</v>
      </c>
    </row>
    <row r="1631" spans="1:9">
      <c r="A1631" s="8" t="s">
        <v>1643</v>
      </c>
      <c r="B1631">
        <f>HYPERLINK("https://www.suredividend.com/sure-analysis-research-database/","Laureate Education Inc")</f>
        <v>0</v>
      </c>
      <c r="C1631">
        <v>-0.07151898734177201</v>
      </c>
      <c r="D1631">
        <v>0.077092511013215</v>
      </c>
      <c r="E1631">
        <v>0.103837471783295</v>
      </c>
      <c r="F1631">
        <v>0.07002188183807401</v>
      </c>
      <c r="G1631">
        <v>0.297414898603532</v>
      </c>
      <c r="H1631">
        <v>0.331119337979094</v>
      </c>
      <c r="I1631">
        <v>0.622913278683083</v>
      </c>
    </row>
    <row r="1632" spans="1:9">
      <c r="A1632" s="8" t="s">
        <v>1644</v>
      </c>
      <c r="B1632">
        <f>HYPERLINK("https://www.suredividend.com/sure-analysis-LAZ/","Lazard Inc.")</f>
        <v>0</v>
      </c>
      <c r="C1632">
        <v>-0.014936904455318</v>
      </c>
      <c r="D1632">
        <v>-0.005307626494964001</v>
      </c>
      <c r="E1632">
        <v>0.08653969065575801</v>
      </c>
      <c r="F1632">
        <v>0.08653969065575801</v>
      </c>
      <c r="G1632">
        <v>0.08653969065575801</v>
      </c>
      <c r="H1632">
        <v>0.08653969065575801</v>
      </c>
      <c r="I1632">
        <v>0.08653969065575801</v>
      </c>
    </row>
    <row r="1633" spans="1:9">
      <c r="A1633" s="8" t="s">
        <v>1645</v>
      </c>
      <c r="B1633">
        <f>HYPERLINK("https://www.suredividend.com/sure-analysis-research-database/","Landbridge Company LLC.")</f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</row>
    <row r="1634" spans="1:9">
      <c r="A1634" s="8" t="s">
        <v>1646</v>
      </c>
      <c r="B1634">
        <f>HYPERLINK("https://www.suredividend.com/sure-analysis-research-database/","Lakeland Bancorp, Inc.")</f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</row>
    <row r="1635" spans="1:9">
      <c r="A1635" s="8" t="s">
        <v>1647</v>
      </c>
      <c r="B1635">
        <f>HYPERLINK("https://www.suredividend.com/sure-analysis-research-database/","Luther Burbank Corp")</f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</row>
    <row r="1636" spans="1:9">
      <c r="A1636" s="8" t="s">
        <v>1648</v>
      </c>
      <c r="B1636">
        <f>HYPERLINK("https://www.suredividend.com/sure-analysis-research-database/","Liberty Broadband Corp")</f>
        <v>0</v>
      </c>
      <c r="C1636">
        <v>-0.003816793893129</v>
      </c>
      <c r="D1636">
        <v>-0.07561537099344701</v>
      </c>
      <c r="E1636">
        <v>-0.314420803782505</v>
      </c>
      <c r="F1636">
        <v>-0.352678571428571</v>
      </c>
      <c r="G1636">
        <v>-0.316932740120387</v>
      </c>
      <c r="H1636">
        <v>-0.553846153846153</v>
      </c>
      <c r="I1636">
        <v>-0.4858662464296261</v>
      </c>
    </row>
    <row r="1637" spans="1:9">
      <c r="A1637" s="8" t="s">
        <v>1649</v>
      </c>
      <c r="B1637">
        <f>HYPERLINK("https://www.suredividend.com/sure-analysis-research-database/","Liberty Broadband Corp")</f>
        <v>0</v>
      </c>
      <c r="C1637">
        <v>-0.009969325153374</v>
      </c>
      <c r="D1637">
        <v>-0.08747128467927201</v>
      </c>
      <c r="E1637">
        <v>-0.322576413485504</v>
      </c>
      <c r="F1637">
        <v>-0.359225710385904</v>
      </c>
      <c r="G1637">
        <v>-0.324790794979079</v>
      </c>
      <c r="H1637">
        <v>-0.57699868938401</v>
      </c>
      <c r="I1637">
        <v>-0.4948151046761881</v>
      </c>
    </row>
    <row r="1638" spans="1:9">
      <c r="A1638" s="8" t="s">
        <v>1650</v>
      </c>
      <c r="B1638">
        <f>HYPERLINK("https://www.suredividend.com/sure-analysis-research-database/","Liberty Energy Inc")</f>
        <v>0</v>
      </c>
      <c r="C1638">
        <v>0.033069119732392</v>
      </c>
      <c r="D1638">
        <v>0.051652663138024</v>
      </c>
      <c r="E1638">
        <v>0.286557651706825</v>
      </c>
      <c r="F1638">
        <v>0.261026352288488</v>
      </c>
      <c r="G1638">
        <v>0.680703337005789</v>
      </c>
      <c r="H1638">
        <v>0.236273448675343</v>
      </c>
      <c r="I1638">
        <v>0.744797463787584</v>
      </c>
    </row>
    <row r="1639" spans="1:9">
      <c r="A1639" s="8" t="s">
        <v>1651</v>
      </c>
      <c r="B1639">
        <f>HYPERLINK("https://www.suredividend.com/sure-analysis-research-database/","Liberty Global Ltd")</f>
        <v>0</v>
      </c>
      <c r="C1639">
        <v>0.06978119455943201</v>
      </c>
      <c r="D1639">
        <v>0.06725663716814101</v>
      </c>
      <c r="E1639">
        <v>0.117356392835083</v>
      </c>
      <c r="F1639">
        <v>0.01800787844682</v>
      </c>
      <c r="G1639">
        <v>0.055425904317386</v>
      </c>
      <c r="H1639">
        <v>-0.254020618556701</v>
      </c>
      <c r="I1639">
        <v>-0.310594512195121</v>
      </c>
    </row>
    <row r="1640" spans="1:9">
      <c r="A1640" s="8" t="s">
        <v>1652</v>
      </c>
      <c r="B1640">
        <f>HYPERLINK("https://www.suredividend.com/sure-analysis-research-database/","Liberty Global Ltd")</f>
        <v>0</v>
      </c>
      <c r="C1640">
        <v>0.06010303377218001</v>
      </c>
      <c r="D1640">
        <v>0.042205965109735</v>
      </c>
      <c r="E1640">
        <v>0.08051341890315</v>
      </c>
      <c r="F1640">
        <v>-0.006437768240343001</v>
      </c>
      <c r="G1640">
        <v>0.026038781163434</v>
      </c>
      <c r="H1640">
        <v>-0.268273409719478</v>
      </c>
      <c r="I1640">
        <v>-0.276844982428738</v>
      </c>
    </row>
    <row r="1641" spans="1:9">
      <c r="A1641" s="8" t="s">
        <v>1653</v>
      </c>
      <c r="B1641">
        <f>HYPERLINK("https://www.suredividend.com/sure-analysis-research-database/","LendingClub Corp")</f>
        <v>0</v>
      </c>
      <c r="C1641">
        <v>-0.068965517241379</v>
      </c>
      <c r="D1641">
        <v>0.046249999999999</v>
      </c>
      <c r="E1641">
        <v>0.225475841874084</v>
      </c>
      <c r="F1641">
        <v>-0.042334096109839</v>
      </c>
      <c r="G1641">
        <v>-0.113347457627118</v>
      </c>
      <c r="H1641">
        <v>-0.4899451553930531</v>
      </c>
      <c r="I1641">
        <v>-0.424742268041237</v>
      </c>
    </row>
    <row r="1642" spans="1:9">
      <c r="A1642" s="8" t="s">
        <v>1654</v>
      </c>
      <c r="B1642">
        <f>HYPERLINK("https://www.suredividend.com/sure-analysis-research-database/","Lannett Co., Inc.")</f>
        <v>0</v>
      </c>
      <c r="C1642">
        <v>-0.584545454545454</v>
      </c>
      <c r="D1642">
        <v>-0.7277601270849881</v>
      </c>
      <c r="E1642">
        <v>-0.5761192184021761</v>
      </c>
      <c r="F1642">
        <v>-0.670938940092165</v>
      </c>
      <c r="G1642">
        <v>-0.7599117399831881</v>
      </c>
      <c r="H1642">
        <v>-0.9652383367139961</v>
      </c>
      <c r="I1642">
        <v>-0.9897072072072071</v>
      </c>
    </row>
    <row r="1643" spans="1:9">
      <c r="A1643" s="8" t="s">
        <v>1655</v>
      </c>
      <c r="B1643">
        <f>HYPERLINK("https://www.suredividend.com/sure-analysis-research-database/","LCI Industries")</f>
        <v>0</v>
      </c>
      <c r="C1643">
        <v>0.002968803044393</v>
      </c>
      <c r="D1643">
        <v>-0.089400937753756</v>
      </c>
      <c r="E1643">
        <v>-0.07492413739270301</v>
      </c>
      <c r="F1643">
        <v>-0.154693723384078</v>
      </c>
      <c r="G1643">
        <v>-0.132872761196201</v>
      </c>
      <c r="H1643">
        <v>-0.039859325443405</v>
      </c>
      <c r="I1643">
        <v>0.387953590260236</v>
      </c>
    </row>
    <row r="1644" spans="1:9">
      <c r="A1644" s="8" t="s">
        <v>1656</v>
      </c>
      <c r="B1644">
        <f>HYPERLINK("https://www.suredividend.com/sure-analysis-research-database/","LCNB Corp")</f>
        <v>0</v>
      </c>
      <c r="C1644">
        <v>-0.030876240563236</v>
      </c>
      <c r="D1644">
        <v>-0.012617751274738</v>
      </c>
      <c r="E1644">
        <v>-0.023239908237272</v>
      </c>
      <c r="F1644">
        <v>-0.07403029832298801</v>
      </c>
      <c r="G1644">
        <v>0.051267501955311</v>
      </c>
      <c r="H1644">
        <v>0.030083548716715</v>
      </c>
      <c r="I1644">
        <v>0.121894537003698</v>
      </c>
    </row>
    <row r="1645" spans="1:9">
      <c r="A1645" s="8" t="s">
        <v>1657</v>
      </c>
      <c r="B1645">
        <f>HYPERLINK("https://www.suredividend.com/sure-analysis-research-database/","Lineage Cell Therapeutics Inc")</f>
        <v>0</v>
      </c>
      <c r="C1645">
        <v>-0.23015873015873</v>
      </c>
      <c r="D1645">
        <v>-0.141592920353982</v>
      </c>
      <c r="E1645">
        <v>-0.093457943925233</v>
      </c>
      <c r="F1645">
        <v>-0.110091743119266</v>
      </c>
      <c r="G1645">
        <v>-0.281481481481481</v>
      </c>
      <c r="H1645">
        <v>-0.3533333333333331</v>
      </c>
      <c r="I1645">
        <v>-0.03</v>
      </c>
    </row>
    <row r="1646" spans="1:9">
      <c r="A1646" s="8" t="s">
        <v>1658</v>
      </c>
      <c r="B1646">
        <f>HYPERLINK("https://www.suredividend.com/sure-analysis-research-database/","Lifetime Brands, Inc.")</f>
        <v>0</v>
      </c>
      <c r="C1646">
        <v>0.132055378061767</v>
      </c>
      <c r="D1646">
        <v>0.06788021257145101</v>
      </c>
      <c r="E1646">
        <v>0.6680004393604171</v>
      </c>
      <c r="F1646">
        <v>0.608339763666349</v>
      </c>
      <c r="G1646">
        <v>1.214306545015206</v>
      </c>
      <c r="H1646">
        <v>-0.04580666588871</v>
      </c>
      <c r="I1646">
        <v>0.389905857740585</v>
      </c>
    </row>
    <row r="1647" spans="1:9">
      <c r="A1647" s="8" t="s">
        <v>1659</v>
      </c>
      <c r="B1647">
        <f>HYPERLINK("https://www.suredividend.com/sure-analysis-research-database/","Lydall, Inc.")</f>
        <v>0</v>
      </c>
      <c r="C1647">
        <v>0.001774766053565</v>
      </c>
      <c r="D1647">
        <v>0.02594183740912</v>
      </c>
      <c r="E1647">
        <v>0.8402489626556011</v>
      </c>
      <c r="F1647">
        <v>1.067599067599067</v>
      </c>
      <c r="G1647">
        <v>2.753929866989117</v>
      </c>
      <c r="H1647">
        <v>1.492573263749498</v>
      </c>
      <c r="I1647">
        <v>0.214355564247995</v>
      </c>
    </row>
    <row r="1648" spans="1:9">
      <c r="A1648" s="8" t="s">
        <v>1660</v>
      </c>
      <c r="B1648">
        <f>HYPERLINK("https://www.suredividend.com/sure-analysis-research-database/","Leidos Holdings Inc")</f>
        <v>0</v>
      </c>
      <c r="C1648">
        <v>0.014000700035001</v>
      </c>
      <c r="D1648">
        <v>0.119354831231274</v>
      </c>
      <c r="E1648">
        <v>0.341404914440869</v>
      </c>
      <c r="F1648">
        <v>0.342212848919743</v>
      </c>
      <c r="G1648">
        <v>0.7771479750205501</v>
      </c>
      <c r="H1648">
        <v>0.393138085615716</v>
      </c>
      <c r="I1648">
        <v>0.96312549637191</v>
      </c>
    </row>
    <row r="1649" spans="1:9">
      <c r="A1649" s="8" t="s">
        <v>1661</v>
      </c>
      <c r="B1649">
        <f>HYPERLINK("https://www.suredividend.com/sure-analysis-research-database/","Lands` End, Inc.")</f>
        <v>0</v>
      </c>
      <c r="C1649">
        <v>-0.04293628808864201</v>
      </c>
      <c r="D1649">
        <v>0.48762109795479</v>
      </c>
      <c r="E1649">
        <v>0.6220657276995301</v>
      </c>
      <c r="F1649">
        <v>0.445606694560669</v>
      </c>
      <c r="G1649">
        <v>0.4608879492600421</v>
      </c>
      <c r="H1649">
        <v>0.270220588235294</v>
      </c>
      <c r="I1649">
        <v>0.146887966804979</v>
      </c>
    </row>
    <row r="1650" spans="1:9">
      <c r="A1650" s="8" t="s">
        <v>1662</v>
      </c>
      <c r="B1650">
        <f>HYPERLINK("https://www.suredividend.com/sure-analysis-research-database/","Lear Corp.")</f>
        <v>0</v>
      </c>
      <c r="C1650">
        <v>-0.030582169439837</v>
      </c>
      <c r="D1650">
        <v>-0.127183280188744</v>
      </c>
      <c r="E1650">
        <v>-0.078070960281706</v>
      </c>
      <c r="F1650">
        <v>-0.11619898205957</v>
      </c>
      <c r="G1650">
        <v>-0.07218441369110901</v>
      </c>
      <c r="H1650">
        <v>-0.08809488426701201</v>
      </c>
      <c r="I1650">
        <v>0.010201114710326</v>
      </c>
    </row>
    <row r="1651" spans="1:9">
      <c r="A1651" s="8" t="s">
        <v>1663</v>
      </c>
      <c r="B1651">
        <f>HYPERLINK("https://www.suredividend.com/sure-analysis-research-database/","Leaf Group Ltd")</f>
        <v>0</v>
      </c>
      <c r="C1651">
        <v>0.013126491646777</v>
      </c>
      <c r="D1651">
        <v>0.403305785123967</v>
      </c>
      <c r="E1651">
        <v>0.732653061224489</v>
      </c>
      <c r="F1651">
        <v>0.8258064516129031</v>
      </c>
      <c r="G1651">
        <v>2.087272727272727</v>
      </c>
      <c r="H1651">
        <v>0.205965909090909</v>
      </c>
      <c r="I1651">
        <v>0.6421663442940041</v>
      </c>
    </row>
    <row r="1652" spans="1:9">
      <c r="A1652" s="8" t="s">
        <v>1664</v>
      </c>
      <c r="B1652">
        <f>HYPERLINK("https://www.suredividend.com/sure-analysis-LECO/","Lincoln Electric Holdings, Inc.")</f>
        <v>0</v>
      </c>
      <c r="C1652">
        <v>-0.180844553243574</v>
      </c>
      <c r="D1652">
        <v>-0.261439528809533</v>
      </c>
      <c r="E1652">
        <v>-0.07368914334412101</v>
      </c>
      <c r="F1652">
        <v>-0.133433004646138</v>
      </c>
      <c r="G1652">
        <v>0.016606728516255</v>
      </c>
      <c r="H1652">
        <v>0.394002197493191</v>
      </c>
      <c r="I1652">
        <v>1.598344403000596</v>
      </c>
    </row>
    <row r="1653" spans="1:9">
      <c r="A1653" s="8" t="s">
        <v>1665</v>
      </c>
      <c r="B1653">
        <f>HYPERLINK("https://www.suredividend.com/sure-analysis-research-database/","Lee Enterprises, Inc.")</f>
        <v>0</v>
      </c>
      <c r="C1653">
        <v>0.013147082990961</v>
      </c>
      <c r="D1653">
        <v>0.119891008174386</v>
      </c>
      <c r="E1653">
        <v>0.344601962922573</v>
      </c>
      <c r="F1653">
        <v>0.566709021601016</v>
      </c>
      <c r="G1653">
        <v>-0.135113143754997</v>
      </c>
      <c r="H1653">
        <v>-0.381334671349724</v>
      </c>
      <c r="I1653">
        <v>-0.4753191489361701</v>
      </c>
    </row>
    <row r="1654" spans="1:9">
      <c r="A1654" s="8" t="s">
        <v>1666</v>
      </c>
      <c r="B1654">
        <f>HYPERLINK("https://www.suredividend.com/sure-analysis-LEG/","Leggett &amp; Platt, Inc.")</f>
        <v>0</v>
      </c>
      <c r="C1654">
        <v>-0.070615034168564</v>
      </c>
      <c r="D1654">
        <v>-0.389860924181247</v>
      </c>
      <c r="E1654">
        <v>-0.510662285015231</v>
      </c>
      <c r="F1654">
        <v>-0.5208868290849871</v>
      </c>
      <c r="G1654">
        <v>-0.597164352994609</v>
      </c>
      <c r="H1654">
        <v>-0.646483901154126</v>
      </c>
      <c r="I1654">
        <v>-0.58865162422116</v>
      </c>
    </row>
    <row r="1655" spans="1:9">
      <c r="A1655" s="8" t="s">
        <v>1667</v>
      </c>
      <c r="B1655">
        <f>HYPERLINK("https://www.suredividend.com/sure-analysis-research-database/","Legacy Housing Corp")</f>
        <v>0</v>
      </c>
      <c r="C1655">
        <v>0.07220386974988101</v>
      </c>
      <c r="D1655">
        <v>-0.10019801980198</v>
      </c>
      <c r="E1655">
        <v>-0.000439947206335</v>
      </c>
      <c r="F1655">
        <v>-0.099127676447264</v>
      </c>
      <c r="G1655">
        <v>0.06416861826697801</v>
      </c>
      <c r="H1655">
        <v>0.419113054341036</v>
      </c>
      <c r="I1655">
        <v>0.8031746031746031</v>
      </c>
    </row>
    <row r="1656" spans="1:9">
      <c r="A1656" s="8" t="s">
        <v>1668</v>
      </c>
      <c r="B1656">
        <f>HYPERLINK("https://www.suredividend.com/sure-analysis-LEN/","Lennar Corp.")</f>
        <v>0</v>
      </c>
      <c r="C1656">
        <v>-0.043947858472998</v>
      </c>
      <c r="D1656">
        <v>-0.06015221116247701</v>
      </c>
      <c r="E1656">
        <v>0.127729538210789</v>
      </c>
      <c r="F1656">
        <v>0.040183696900115</v>
      </c>
      <c r="G1656">
        <v>0.368558171275028</v>
      </c>
      <c r="H1656">
        <v>0.9537057238681391</v>
      </c>
      <c r="I1656">
        <v>2.065385740642334</v>
      </c>
    </row>
    <row r="1657" spans="1:9">
      <c r="A1657" s="8" t="s">
        <v>1669</v>
      </c>
      <c r="B1657">
        <f>HYPERLINK("https://www.suredividend.com/sure-analysis-research-database/","Centrus Energy Corp")</f>
        <v>0</v>
      </c>
      <c r="C1657">
        <v>-0.016704288939051</v>
      </c>
      <c r="D1657">
        <v>0.044604316546762</v>
      </c>
      <c r="E1657">
        <v>-0.123541247484909</v>
      </c>
      <c r="F1657">
        <v>-0.199411872817496</v>
      </c>
      <c r="G1657">
        <v>0.38066561014263</v>
      </c>
      <c r="H1657">
        <v>0.439048562933597</v>
      </c>
      <c r="I1657">
        <v>13.0064308681672</v>
      </c>
    </row>
    <row r="1658" spans="1:9">
      <c r="A1658" s="8" t="s">
        <v>1670</v>
      </c>
      <c r="B1658">
        <f>HYPERLINK("https://www.suredividend.com/sure-analysis-research-database/","Levi Strauss &amp; Co.")</f>
        <v>0</v>
      </c>
      <c r="C1658">
        <v>0.063262539539087</v>
      </c>
      <c r="D1658">
        <v>0.289944137140852</v>
      </c>
      <c r="E1658">
        <v>0.5555996297765431</v>
      </c>
      <c r="F1658">
        <v>0.440862190379963</v>
      </c>
      <c r="G1658">
        <v>0.6816031330846301</v>
      </c>
      <c r="H1658">
        <v>0.301250926304845</v>
      </c>
      <c r="I1658">
        <v>0.236228373884215</v>
      </c>
    </row>
    <row r="1659" spans="1:9">
      <c r="A1659" s="8" t="s">
        <v>1671</v>
      </c>
      <c r="B1659">
        <f>HYPERLINK("https://www.suredividend.com/sure-analysis-LFUS/","Littelfuse, Inc.")</f>
        <v>0</v>
      </c>
      <c r="C1659">
        <v>-0.032199664785546</v>
      </c>
      <c r="D1659">
        <v>0.033591516383286</v>
      </c>
      <c r="E1659">
        <v>0.039360043885763</v>
      </c>
      <c r="F1659">
        <v>-0.06365933743483</v>
      </c>
      <c r="G1659">
        <v>-0.05535114807251001</v>
      </c>
      <c r="H1659">
        <v>-0.082637875563802</v>
      </c>
      <c r="I1659">
        <v>0.5258741181475161</v>
      </c>
    </row>
    <row r="1660" spans="1:9">
      <c r="A1660" s="8" t="s">
        <v>1672</v>
      </c>
      <c r="B1660">
        <f>HYPERLINK("https://www.suredividend.com/sure-analysis-research-database/","Lifevantage Corporation")</f>
        <v>0</v>
      </c>
      <c r="C1660">
        <v>0.225673801820181</v>
      </c>
      <c r="D1660">
        <v>0.126195392703894</v>
      </c>
      <c r="E1660">
        <v>0.182185736906024</v>
      </c>
      <c r="F1660">
        <v>0.308290375814491</v>
      </c>
      <c r="G1660">
        <v>0.7943393144643811</v>
      </c>
      <c r="H1660">
        <v>1.033638335008198</v>
      </c>
      <c r="I1660">
        <v>-0.196111227263223</v>
      </c>
    </row>
    <row r="1661" spans="1:9">
      <c r="A1661" s="8" t="s">
        <v>1673</v>
      </c>
      <c r="B1661">
        <f>HYPERLINK("https://www.suredividend.com/sure-analysis-research-database/","LGI Homes Inc")</f>
        <v>0</v>
      </c>
      <c r="C1661">
        <v>-0.053333333333333</v>
      </c>
      <c r="D1661">
        <v>-0.18232967032967</v>
      </c>
      <c r="E1661">
        <v>-0.221673640167364</v>
      </c>
      <c r="F1661">
        <v>-0.301516972063682</v>
      </c>
      <c r="G1661">
        <v>-0.286076143690512</v>
      </c>
      <c r="H1661">
        <v>-0.05314058841494401</v>
      </c>
      <c r="I1661">
        <v>0.249630525325809</v>
      </c>
    </row>
    <row r="1662" spans="1:9">
      <c r="A1662" s="8" t="s">
        <v>1674</v>
      </c>
      <c r="B1662">
        <f>HYPERLINK("https://www.suredividend.com/sure-analysis-research-database/","LGL Group Inc")</f>
        <v>0</v>
      </c>
      <c r="C1662">
        <v>-0.02868068833652</v>
      </c>
      <c r="D1662">
        <v>-0.180645161290322</v>
      </c>
      <c r="E1662">
        <v>-0.03787878787878701</v>
      </c>
      <c r="F1662">
        <v>-0.172638436482084</v>
      </c>
      <c r="G1662">
        <v>0.08315565031982901</v>
      </c>
      <c r="H1662">
        <v>0.020695197910387</v>
      </c>
      <c r="I1662">
        <v>0.4858145656624741</v>
      </c>
    </row>
    <row r="1663" spans="1:9">
      <c r="A1663" s="8" t="s">
        <v>1675</v>
      </c>
      <c r="B1663">
        <f>HYPERLINK("https://www.suredividend.com/sure-analysis-research-database/","Ligand Pharmaceuticals, Inc.")</f>
        <v>0</v>
      </c>
      <c r="C1663">
        <v>0.111171810980606</v>
      </c>
      <c r="D1663">
        <v>0.122671450255278</v>
      </c>
      <c r="E1663">
        <v>0.325081433224755</v>
      </c>
      <c r="F1663">
        <v>0.139176701204144</v>
      </c>
      <c r="G1663">
        <v>0.08842809364548401</v>
      </c>
      <c r="H1663">
        <v>-0.053513261982317</v>
      </c>
      <c r="I1663">
        <v>-0.283550545966889</v>
      </c>
    </row>
    <row r="1664" spans="1:9">
      <c r="A1664" s="8" t="s">
        <v>1676</v>
      </c>
      <c r="B1664">
        <f>HYPERLINK("https://www.suredividend.com/sure-analysis-research-database/","Labcorp Holdings Inc.")</f>
        <v>0</v>
      </c>
      <c r="C1664">
        <v>-0.06643240419773</v>
      </c>
      <c r="D1664">
        <v>-0.06643240419773</v>
      </c>
      <c r="E1664">
        <v>-0.06643240419773</v>
      </c>
      <c r="F1664">
        <v>-0.06643240419773</v>
      </c>
      <c r="G1664">
        <v>-0.06643240419773</v>
      </c>
      <c r="H1664">
        <v>-0.06643240419773</v>
      </c>
      <c r="I1664">
        <v>-0.06643240419773</v>
      </c>
    </row>
    <row r="1665" spans="1:9">
      <c r="A1665" s="8" t="s">
        <v>1677</v>
      </c>
      <c r="B1665">
        <f>HYPERLINK("https://www.suredividend.com/sure-analysis-research-database/","LHC Group Inc")</f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</row>
    <row r="1666" spans="1:9">
      <c r="A1666" s="8" t="s">
        <v>1678</v>
      </c>
      <c r="B1666">
        <f>HYPERLINK("https://www.suredividend.com/sure-analysis-LHX/","L3Harris Technologies Inc")</f>
        <v>0</v>
      </c>
      <c r="C1666">
        <v>0.033029957403226</v>
      </c>
      <c r="D1666">
        <v>0.047044823333009</v>
      </c>
      <c r="E1666">
        <v>0.140167073783556</v>
      </c>
      <c r="F1666">
        <v>0.06470467999842601</v>
      </c>
      <c r="G1666">
        <v>0.213389830601155</v>
      </c>
      <c r="H1666">
        <v>-0.05790748473186001</v>
      </c>
      <c r="I1666">
        <v>0.139147451574682</v>
      </c>
    </row>
    <row r="1667" spans="1:9">
      <c r="A1667" s="8" t="s">
        <v>1679</v>
      </c>
      <c r="B1667">
        <f>HYPERLINK("https://www.suredividend.com/sure-analysis-LII/","Lennox International Inc")</f>
        <v>0</v>
      </c>
      <c r="C1667">
        <v>0.05481748726655301</v>
      </c>
      <c r="D1667">
        <v>0.034862345589431</v>
      </c>
      <c r="E1667">
        <v>0.192818943413396</v>
      </c>
      <c r="F1667">
        <v>0.113161364389183</v>
      </c>
      <c r="G1667">
        <v>0.6327333756219691</v>
      </c>
      <c r="H1667">
        <v>1.395361087322268</v>
      </c>
      <c r="I1667">
        <v>0.9085026147211541</v>
      </c>
    </row>
    <row r="1668" spans="1:9">
      <c r="A1668" s="8" t="s">
        <v>1680</v>
      </c>
      <c r="B1668">
        <f>HYPERLINK("https://www.suredividend.com/sure-analysis-research-database/","Liberty Latin America Ltd")</f>
        <v>0</v>
      </c>
      <c r="C1668">
        <v>0.07795371498172901</v>
      </c>
      <c r="D1668">
        <v>0.427419354838709</v>
      </c>
      <c r="E1668">
        <v>0.257102272727272</v>
      </c>
      <c r="F1668">
        <v>0.210670314637482</v>
      </c>
      <c r="G1668">
        <v>0.037514654161781</v>
      </c>
      <c r="H1668">
        <v>-0.031728665207877</v>
      </c>
      <c r="I1668">
        <v>-0.466992694487439</v>
      </c>
    </row>
    <row r="1669" spans="1:9">
      <c r="A1669" s="8" t="s">
        <v>1681</v>
      </c>
      <c r="B1669">
        <f>HYPERLINK("https://www.suredividend.com/sure-analysis-research-database/","Liberty Latin America Ltd")</f>
        <v>0</v>
      </c>
      <c r="C1669">
        <v>0.08424908424908401</v>
      </c>
      <c r="D1669">
        <v>0.416267942583732</v>
      </c>
      <c r="E1669">
        <v>0.259574468085106</v>
      </c>
      <c r="F1669">
        <v>0.209809264305177</v>
      </c>
      <c r="G1669">
        <v>0.050887573964497</v>
      </c>
      <c r="H1669">
        <v>-0.027382256297918</v>
      </c>
      <c r="I1669">
        <v>-0.4722296514219481</v>
      </c>
    </row>
    <row r="1670" spans="1:9">
      <c r="A1670" s="8" t="s">
        <v>1682</v>
      </c>
      <c r="B1670">
        <f>HYPERLINK("https://www.suredividend.com/sure-analysis-LIN/","Linde Plc.")</f>
        <v>0</v>
      </c>
      <c r="C1670">
        <v>0.011842783381887</v>
      </c>
      <c r="D1670">
        <v>-0.059362939073308</v>
      </c>
      <c r="E1670">
        <v>0.09787795910638701</v>
      </c>
      <c r="F1670">
        <v>0.06564019249830501</v>
      </c>
      <c r="G1670">
        <v>0.215801892412325</v>
      </c>
      <c r="H1670">
        <v>0.261472726505906</v>
      </c>
      <c r="I1670">
        <v>0.261472726505906</v>
      </c>
    </row>
    <row r="1671" spans="1:9">
      <c r="A1671" s="8" t="s">
        <v>1683</v>
      </c>
      <c r="B1671">
        <f>HYPERLINK("https://www.suredividend.com/sure-analysis-research-database/","Lincoln Educational Services Corp")</f>
        <v>0</v>
      </c>
      <c r="C1671">
        <v>-0.136974789915966</v>
      </c>
      <c r="D1671">
        <v>0.028028028028028</v>
      </c>
      <c r="E1671">
        <v>0.09488272921108701</v>
      </c>
      <c r="F1671">
        <v>0.022908366533864</v>
      </c>
      <c r="G1671">
        <v>0.5237388724035601</v>
      </c>
      <c r="H1671">
        <v>0.5873261205564141</v>
      </c>
      <c r="I1671">
        <v>2.877959445682136</v>
      </c>
    </row>
    <row r="1672" spans="1:9">
      <c r="A1672" s="8" t="s">
        <v>1684</v>
      </c>
      <c r="B1672">
        <f>HYPERLINK("https://www.suredividend.com/sure-analysis-research-database/","Lindblad Expeditions Holdings Inc")</f>
        <v>0</v>
      </c>
      <c r="C1672">
        <v>0.04160887656033201</v>
      </c>
      <c r="D1672">
        <v>-0.119577960140679</v>
      </c>
      <c r="E1672">
        <v>-0.104886769964243</v>
      </c>
      <c r="F1672">
        <v>-0.333629103815439</v>
      </c>
      <c r="G1672">
        <v>-0.288151658767772</v>
      </c>
      <c r="H1672">
        <v>-0.479195561719833</v>
      </c>
      <c r="I1672">
        <v>-0.5431873479318731</v>
      </c>
    </row>
    <row r="1673" spans="1:9">
      <c r="A1673" s="8" t="s">
        <v>1685</v>
      </c>
      <c r="B1673">
        <f>HYPERLINK("https://www.suredividend.com/sure-analysis-research-database/","LiqTech International Inc")</f>
        <v>0</v>
      </c>
      <c r="C1673">
        <v>-0.05350553505535</v>
      </c>
      <c r="D1673">
        <v>-0.193396226415094</v>
      </c>
      <c r="E1673">
        <v>-0.1984375</v>
      </c>
      <c r="F1673">
        <v>-0.247800586510263</v>
      </c>
      <c r="G1673">
        <v>-0.30108991825613</v>
      </c>
      <c r="H1673">
        <v>-0.4221931879617941</v>
      </c>
      <c r="I1673">
        <v>-0.9653378378378381</v>
      </c>
    </row>
    <row r="1674" spans="1:9">
      <c r="A1674" s="8" t="s">
        <v>1686</v>
      </c>
      <c r="B1674">
        <f>HYPERLINK("https://www.suredividend.com/sure-analysis-research-database/","Lumentum Holdings Inc")</f>
        <v>0</v>
      </c>
      <c r="C1674">
        <v>0.106038647342995</v>
      </c>
      <c r="D1674">
        <v>-0.06283258288988901</v>
      </c>
      <c r="E1674">
        <v>0.051435132032147</v>
      </c>
      <c r="F1674">
        <v>-0.126478443342235</v>
      </c>
      <c r="G1674">
        <v>-0.09862204724409401</v>
      </c>
      <c r="H1674">
        <v>-0.481191932925447</v>
      </c>
      <c r="I1674">
        <v>0.017781729273171</v>
      </c>
    </row>
    <row r="1675" spans="1:9">
      <c r="A1675" s="8" t="s">
        <v>1687</v>
      </c>
      <c r="B1675">
        <f>HYPERLINK("https://www.suredividend.com/sure-analysis-research-database/","Live Ventures Inc")</f>
        <v>0</v>
      </c>
      <c r="C1675">
        <v>0.001968503937007</v>
      </c>
      <c r="D1675">
        <v>-0.07756433490395001</v>
      </c>
      <c r="E1675">
        <v>0.02994738972076</v>
      </c>
      <c r="F1675">
        <v>0.001968503937007</v>
      </c>
      <c r="G1675">
        <v>0.005928853754940001</v>
      </c>
      <c r="H1675">
        <v>-0.347268530392408</v>
      </c>
      <c r="I1675">
        <v>2.606706064084576</v>
      </c>
    </row>
    <row r="1676" spans="1:9">
      <c r="A1676" s="8" t="s">
        <v>1688</v>
      </c>
      <c r="B1676">
        <f>HYPERLINK("https://www.suredividend.com/sure-analysis-research-database/","LivaNova PLC")</f>
        <v>0</v>
      </c>
      <c r="C1676">
        <v>-0.154309252217997</v>
      </c>
      <c r="D1676">
        <v>-0.010381905821282</v>
      </c>
      <c r="E1676">
        <v>0.184379853561127</v>
      </c>
      <c r="F1676">
        <v>0.03169694626981</v>
      </c>
      <c r="G1676">
        <v>0.133814783347493</v>
      </c>
      <c r="H1676">
        <v>-0.236119061247853</v>
      </c>
      <c r="I1676">
        <v>-0.27913571910871</v>
      </c>
    </row>
    <row r="1677" spans="1:9">
      <c r="A1677" s="8" t="s">
        <v>1689</v>
      </c>
      <c r="B1677">
        <f>HYPERLINK("https://www.suredividend.com/sure-analysis-research-database/","LiveXLive Media Inc")</f>
        <v>0</v>
      </c>
      <c r="C1677">
        <v>-0.06969696969696901</v>
      </c>
      <c r="D1677">
        <v>-0.310112359550561</v>
      </c>
      <c r="E1677">
        <v>-0.270783847980997</v>
      </c>
      <c r="F1677">
        <v>-0.06402439024390201</v>
      </c>
      <c r="G1677">
        <v>0.329004329004328</v>
      </c>
      <c r="H1677">
        <v>0.6775956284153001</v>
      </c>
      <c r="I1677">
        <v>-0.6588888888888881</v>
      </c>
    </row>
    <row r="1678" spans="1:9">
      <c r="A1678" s="8" t="s">
        <v>1690</v>
      </c>
      <c r="B1678">
        <f>HYPERLINK("https://www.suredividend.com/sure-analysis-research-database/","La Jolla Pharmaceutical Co.")</f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</row>
    <row r="1679" spans="1:9">
      <c r="A1679" s="8" t="s">
        <v>1691</v>
      </c>
      <c r="B1679">
        <f>HYPERLINK("https://www.suredividend.com/sure-analysis-research-database/","Lakeland Financial Corp.")</f>
        <v>0</v>
      </c>
      <c r="C1679">
        <v>-0.001793575737811</v>
      </c>
      <c r="D1679">
        <v>-0.067007229855768</v>
      </c>
      <c r="E1679">
        <v>0.03236903567423501</v>
      </c>
      <c r="F1679">
        <v>-0.03876952450336901</v>
      </c>
      <c r="G1679">
        <v>0.163915944051423</v>
      </c>
      <c r="H1679">
        <v>-0.045236632221158</v>
      </c>
      <c r="I1679">
        <v>0.591597446996581</v>
      </c>
    </row>
    <row r="1680" spans="1:9">
      <c r="A1680" s="8" t="s">
        <v>1692</v>
      </c>
      <c r="B1680">
        <f>HYPERLINK("https://www.suredividend.com/sure-analysis-research-database/","LKQ Corp")</f>
        <v>0</v>
      </c>
      <c r="C1680">
        <v>-0.037163086917644</v>
      </c>
      <c r="D1680">
        <v>-0.159141571395275</v>
      </c>
      <c r="E1680">
        <v>-0.04231423709585901</v>
      </c>
      <c r="F1680">
        <v>-0.09421767101711101</v>
      </c>
      <c r="G1680">
        <v>-0.190864687885781</v>
      </c>
      <c r="H1680">
        <v>-0.150495695120331</v>
      </c>
      <c r="I1680">
        <v>0.7175013427515821</v>
      </c>
    </row>
    <row r="1681" spans="1:9">
      <c r="A1681" s="8" t="s">
        <v>1693</v>
      </c>
      <c r="B1681">
        <f>HYPERLINK("https://www.suredividend.com/sure-analysis-research-database/","LL Flooring Holdings Inc")</f>
        <v>0</v>
      </c>
      <c r="C1681">
        <v>0.012499999999999</v>
      </c>
      <c r="D1681">
        <v>-0.201970443349753</v>
      </c>
      <c r="E1681">
        <v>-0.530434782608695</v>
      </c>
      <c r="F1681">
        <v>-0.5846153846153841</v>
      </c>
      <c r="G1681">
        <v>-0.6632016632016631</v>
      </c>
      <c r="H1681">
        <v>-0.864661654135338</v>
      </c>
      <c r="I1681">
        <v>-0.850553505535055</v>
      </c>
    </row>
    <row r="1682" spans="1:9">
      <c r="A1682" s="8" t="s">
        <v>1694</v>
      </c>
      <c r="B1682">
        <f>HYPERLINK("https://www.suredividend.com/sure-analysis-LLY/","Lilly(Eli) &amp; Co")</f>
        <v>0</v>
      </c>
      <c r="C1682">
        <v>0.09471805204866</v>
      </c>
      <c r="D1682">
        <v>0.091364317744829</v>
      </c>
      <c r="E1682">
        <v>0.449897601909384</v>
      </c>
      <c r="F1682">
        <v>0.463204534816845</v>
      </c>
      <c r="G1682">
        <v>0.9624144723536411</v>
      </c>
      <c r="H1682">
        <v>1.776567325363293</v>
      </c>
      <c r="I1682">
        <v>6.726409177264093</v>
      </c>
    </row>
    <row r="1683" spans="1:9">
      <c r="A1683" s="8" t="s">
        <v>1695</v>
      </c>
      <c r="B1683">
        <f>HYPERLINK("https://www.suredividend.com/sure-analysis-LMAT/","Lemaitre Vascular Inc")</f>
        <v>0</v>
      </c>
      <c r="C1683">
        <v>0.02503178418768</v>
      </c>
      <c r="D1683">
        <v>0.13901478455303</v>
      </c>
      <c r="E1683">
        <v>0.431379504005202</v>
      </c>
      <c r="F1683">
        <v>0.3774124272894051</v>
      </c>
      <c r="G1683">
        <v>0.218840748419817</v>
      </c>
      <c r="H1683">
        <v>0.7468036514238431</v>
      </c>
      <c r="I1683">
        <v>2.123576390148721</v>
      </c>
    </row>
    <row r="1684" spans="1:9">
      <c r="A1684" s="8" t="s">
        <v>1696</v>
      </c>
      <c r="B1684">
        <f>HYPERLINK("https://www.suredividend.com/sure-analysis-research-database/","LM Funding America Inc")</f>
        <v>0</v>
      </c>
      <c r="C1684">
        <v>0.9510204081632651</v>
      </c>
      <c r="D1684">
        <v>0.663187195546276</v>
      </c>
      <c r="E1684">
        <v>1.624066754501537</v>
      </c>
      <c r="F1684">
        <v>0.292241146255744</v>
      </c>
      <c r="G1684">
        <v>0.169848262359275</v>
      </c>
      <c r="H1684">
        <v>-0.282282282282282</v>
      </c>
      <c r="I1684">
        <v>-0.8802005012531321</v>
      </c>
    </row>
    <row r="1685" spans="1:9">
      <c r="A1685" s="8" t="s">
        <v>1697</v>
      </c>
      <c r="B1685">
        <f>HYPERLINK("https://www.suredividend.com/sure-analysis-research-database/","Limoneira Co")</f>
        <v>0</v>
      </c>
      <c r="C1685">
        <v>0.006628787878787</v>
      </c>
      <c r="D1685">
        <v>0.173950016013429</v>
      </c>
      <c r="E1685">
        <v>0.119648622031693</v>
      </c>
      <c r="F1685">
        <v>0.034534775648044</v>
      </c>
      <c r="G1685">
        <v>0.445344102030688</v>
      </c>
      <c r="H1685">
        <v>0.9798476467191891</v>
      </c>
      <c r="I1685">
        <v>0.256545740392685</v>
      </c>
    </row>
    <row r="1686" spans="1:9">
      <c r="A1686" s="8" t="s">
        <v>1698</v>
      </c>
      <c r="B1686">
        <f>HYPERLINK("https://www.suredividend.com/sure-analysis-research-database/","Luminex Corp")</f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</row>
    <row r="1687" spans="1:9">
      <c r="A1687" s="8" t="s">
        <v>1699</v>
      </c>
      <c r="B1687">
        <f>HYPERLINK("https://www.suredividend.com/sure-analysis-research-database/","Limestone Bancorp Inc")</f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</row>
    <row r="1688" spans="1:9">
      <c r="A1688" s="8" t="s">
        <v>1700</v>
      </c>
      <c r="B1688">
        <f>HYPERLINK("https://www.suredividend.com/sure-analysis-LMT/","Lockheed Martin Corp.")</f>
        <v>0</v>
      </c>
      <c r="C1688">
        <v>0.014184955598532</v>
      </c>
      <c r="D1688">
        <v>0.100722951594225</v>
      </c>
      <c r="E1688">
        <v>0.066342648625206</v>
      </c>
      <c r="F1688">
        <v>0.05192052185890501</v>
      </c>
      <c r="G1688">
        <v>0.046836311167322</v>
      </c>
      <c r="H1688">
        <v>0.08704825691454701</v>
      </c>
      <c r="I1688">
        <v>0.512808334491759</v>
      </c>
    </row>
    <row r="1689" spans="1:9">
      <c r="A1689" s="8" t="s">
        <v>1701</v>
      </c>
      <c r="B1689">
        <f>HYPERLINK("https://www.suredividend.com/sure-analysis-LNC/","Lincoln National Corp.")</f>
        <v>0</v>
      </c>
      <c r="C1689">
        <v>0.112903225806451</v>
      </c>
      <c r="D1689">
        <v>0.222942906704879</v>
      </c>
      <c r="E1689">
        <v>0.370916946021466</v>
      </c>
      <c r="F1689">
        <v>0.239768943463019</v>
      </c>
      <c r="G1689">
        <v>0.449106987260548</v>
      </c>
      <c r="H1689">
        <v>-0.3547347309106531</v>
      </c>
      <c r="I1689">
        <v>-0.357550808558857</v>
      </c>
    </row>
    <row r="1690" spans="1:9">
      <c r="A1690" s="8" t="s">
        <v>1702</v>
      </c>
      <c r="B1690">
        <f>HYPERLINK("https://www.suredividend.com/sure-analysis-research-database/","Cheniere Energy Inc.")</f>
        <v>0</v>
      </c>
      <c r="C1690">
        <v>0.023818092820442</v>
      </c>
      <c r="D1690">
        <v>0.037760326069639</v>
      </c>
      <c r="E1690">
        <v>-0.06362964818783901</v>
      </c>
      <c r="F1690">
        <v>-0.057486307299977</v>
      </c>
      <c r="G1690">
        <v>0.116088912262641</v>
      </c>
      <c r="H1690">
        <v>0.122343848347498</v>
      </c>
      <c r="I1690">
        <v>1.448281416594436</v>
      </c>
    </row>
    <row r="1691" spans="1:9">
      <c r="A1691" s="8" t="s">
        <v>1703</v>
      </c>
      <c r="B1691">
        <f>HYPERLINK("https://www.suredividend.com/sure-analysis-LNN/","Lindsay Corporation")</f>
        <v>0</v>
      </c>
      <c r="C1691">
        <v>-0.038905659580756</v>
      </c>
      <c r="D1691">
        <v>-0.069838141049214</v>
      </c>
      <c r="E1691">
        <v>-0.04273302999974701</v>
      </c>
      <c r="F1691">
        <v>-0.113660468571624</v>
      </c>
      <c r="G1691">
        <v>-0.096702511805087</v>
      </c>
      <c r="H1691">
        <v>-0.135814279792085</v>
      </c>
      <c r="I1691">
        <v>0.446069681196393</v>
      </c>
    </row>
    <row r="1692" spans="1:9">
      <c r="A1692" s="8" t="s">
        <v>1704</v>
      </c>
      <c r="B1692">
        <f>HYPERLINK("https://www.suredividend.com/sure-analysis-LNT/","Alliant Energy Corp.")</f>
        <v>0</v>
      </c>
      <c r="C1692">
        <v>-0.019557989438685</v>
      </c>
      <c r="D1692">
        <v>0.041878831965083</v>
      </c>
      <c r="E1692">
        <v>0.005917515967661001</v>
      </c>
      <c r="F1692">
        <v>0.016114320462146</v>
      </c>
      <c r="G1692">
        <v>0.011164563855859</v>
      </c>
      <c r="H1692">
        <v>-0.109710074146427</v>
      </c>
      <c r="I1692">
        <v>0.250321122769911</v>
      </c>
    </row>
    <row r="1693" spans="1:9">
      <c r="A1693" s="8" t="s">
        <v>1705</v>
      </c>
      <c r="B1693">
        <f>HYPERLINK("https://www.suredividend.com/sure-analysis-research-database/","Lantheus Holdings Inc")</f>
        <v>0</v>
      </c>
      <c r="C1693">
        <v>0.05117747664780901</v>
      </c>
      <c r="D1693">
        <v>0.276561751078447</v>
      </c>
      <c r="E1693">
        <v>0.165912738946446</v>
      </c>
      <c r="F1693">
        <v>0.288709677419354</v>
      </c>
      <c r="G1693">
        <v>-0.07959912452482401</v>
      </c>
      <c r="H1693">
        <v>0.09979353062629001</v>
      </c>
      <c r="I1693">
        <v>2.155608214849921</v>
      </c>
    </row>
    <row r="1694" spans="1:9">
      <c r="A1694" s="8" t="s">
        <v>1706</v>
      </c>
      <c r="B1694">
        <f>HYPERLINK("https://www.suredividend.com/sure-analysis-research-database/","Manhattan Bridge Capital Inc")</f>
        <v>0</v>
      </c>
      <c r="C1694">
        <v>0.026209677419354</v>
      </c>
      <c r="D1694">
        <v>0.157291619298804</v>
      </c>
      <c r="E1694">
        <v>0.193350995240663</v>
      </c>
      <c r="F1694">
        <v>0.07112794612794601</v>
      </c>
      <c r="G1694">
        <v>0.297542571632507</v>
      </c>
      <c r="H1694">
        <v>0.192344632106631</v>
      </c>
      <c r="I1694">
        <v>0.3776863530558111</v>
      </c>
    </row>
    <row r="1695" spans="1:9">
      <c r="A1695" s="8" t="s">
        <v>1707</v>
      </c>
      <c r="B1695">
        <f>HYPERLINK("https://www.suredividend.com/sure-analysis-research-database/","Live Oak Bancshares Inc")</f>
        <v>0</v>
      </c>
      <c r="C1695">
        <v>-0.07947153375034401</v>
      </c>
      <c r="D1695">
        <v>-0.201755055510278</v>
      </c>
      <c r="E1695">
        <v>-0.11395829974009</v>
      </c>
      <c r="F1695">
        <v>-0.286299234785977</v>
      </c>
      <c r="G1695">
        <v>0.269346572333569</v>
      </c>
      <c r="H1695">
        <v>-0.183430849791072</v>
      </c>
      <c r="I1695">
        <v>1.09705170830153</v>
      </c>
    </row>
    <row r="1696" spans="1:9">
      <c r="A1696" s="8" t="s">
        <v>1708</v>
      </c>
      <c r="B1696">
        <f>HYPERLINK("https://www.suredividend.com/sure-analysis-research-database/","El Pollo Loco Holdings Inc")</f>
        <v>0</v>
      </c>
      <c r="C1696">
        <v>0.014691478942213</v>
      </c>
      <c r="D1696">
        <v>0.143487858719646</v>
      </c>
      <c r="E1696">
        <v>0.194925028835063</v>
      </c>
      <c r="F1696">
        <v>0.174603174603174</v>
      </c>
      <c r="G1696">
        <v>0.05391658189216601</v>
      </c>
      <c r="H1696">
        <v>0.11171919432551</v>
      </c>
      <c r="I1696">
        <v>0.08449878569634001</v>
      </c>
    </row>
    <row r="1697" spans="1:9">
      <c r="A1697" s="8" t="s">
        <v>1709</v>
      </c>
      <c r="B1697">
        <f>HYPERLINK("https://www.suredividend.com/sure-analysis-research-database/","Comstock Inc")</f>
        <v>0</v>
      </c>
      <c r="C1697">
        <v>-0.159760956175298</v>
      </c>
      <c r="D1697">
        <v>-0.4493472584856391</v>
      </c>
      <c r="E1697">
        <v>-0.536483516483516</v>
      </c>
      <c r="F1697">
        <v>-0.615145985401459</v>
      </c>
      <c r="G1697">
        <v>-0.6425423728813561</v>
      </c>
      <c r="H1697">
        <v>-0.7396296296296291</v>
      </c>
      <c r="I1697">
        <v>-0.761694915254237</v>
      </c>
    </row>
    <row r="1698" spans="1:9">
      <c r="A1698" s="8" t="s">
        <v>1710</v>
      </c>
      <c r="B1698">
        <f>HYPERLINK("https://www.suredividend.com/sure-analysis-research-database/","Lonestar Resources US Inc")</f>
        <v>0</v>
      </c>
      <c r="C1698">
        <v>0.5888778550148951</v>
      </c>
      <c r="D1698">
        <v>0.5238095238095231</v>
      </c>
      <c r="E1698">
        <v>1.61437908496732</v>
      </c>
      <c r="F1698">
        <v>2.137254901960784</v>
      </c>
      <c r="G1698">
        <v>2.137254901960784</v>
      </c>
      <c r="H1698">
        <v>2.137254901960784</v>
      </c>
      <c r="I1698">
        <v>2.137254901960784</v>
      </c>
    </row>
    <row r="1699" spans="1:9">
      <c r="A1699" s="8" t="s">
        <v>1711</v>
      </c>
      <c r="B1699">
        <f>HYPERLINK("https://www.suredividend.com/sure-analysis-research-database/","Loop Industries Inc")</f>
        <v>0</v>
      </c>
      <c r="C1699">
        <v>-0.119298245614035</v>
      </c>
      <c r="D1699">
        <v>-0.131487889273356</v>
      </c>
      <c r="E1699">
        <v>-0.286931818181818</v>
      </c>
      <c r="F1699">
        <v>-0.335978835978836</v>
      </c>
      <c r="G1699">
        <v>-0.171617161716171</v>
      </c>
      <c r="H1699">
        <v>-0.5687285223367691</v>
      </c>
      <c r="I1699">
        <v>-0.7064327485380111</v>
      </c>
    </row>
    <row r="1700" spans="1:9">
      <c r="A1700" s="8" t="s">
        <v>1712</v>
      </c>
      <c r="B1700">
        <f>HYPERLINK("https://www.suredividend.com/sure-analysis-research-database/","Grand Canyon Education Inc")</f>
        <v>0</v>
      </c>
      <c r="C1700">
        <v>0.02246387179854</v>
      </c>
      <c r="D1700">
        <v>0.065374580693253</v>
      </c>
      <c r="E1700">
        <v>0.024369266055045</v>
      </c>
      <c r="F1700">
        <v>0.082399272947591</v>
      </c>
      <c r="G1700">
        <v>0.348683589695196</v>
      </c>
      <c r="H1700">
        <v>0.5727963024100361</v>
      </c>
      <c r="I1700">
        <v>0.132667617689015</v>
      </c>
    </row>
    <row r="1701" spans="1:9">
      <c r="A1701" s="8" t="s">
        <v>1713</v>
      </c>
      <c r="B1701">
        <f>HYPERLINK("https://www.suredividend.com/sure-analysis-research-database/","Loral Space &amp; Communications Inc")</f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</row>
    <row r="1702" spans="1:9">
      <c r="A1702" s="8" t="s">
        <v>1714</v>
      </c>
      <c r="B1702">
        <f>HYPERLINK("https://www.suredividend.com/sure-analysis-research-database/","Lovesac Company")</f>
        <v>0</v>
      </c>
      <c r="C1702">
        <v>0.10062630480167</v>
      </c>
      <c r="D1702">
        <v>0.215306592899953</v>
      </c>
      <c r="E1702">
        <v>0.05948553054662301</v>
      </c>
      <c r="F1702">
        <v>0.031702544031311</v>
      </c>
      <c r="G1702">
        <v>0.140138408304498</v>
      </c>
      <c r="H1702">
        <v>-0.306315789473684</v>
      </c>
      <c r="I1702">
        <v>-0.30922431865828</v>
      </c>
    </row>
    <row r="1703" spans="1:9">
      <c r="A1703" s="8" t="s">
        <v>1715</v>
      </c>
      <c r="B1703">
        <f>HYPERLINK("https://www.suredividend.com/sure-analysis-LOW/","Lowe`s Cos., Inc.")</f>
        <v>0</v>
      </c>
      <c r="C1703">
        <v>-0.06389872980212501</v>
      </c>
      <c r="D1703">
        <v>-0.09934775768060901</v>
      </c>
      <c r="E1703">
        <v>0.050409677711796</v>
      </c>
      <c r="F1703">
        <v>-0.016848388102354</v>
      </c>
      <c r="G1703">
        <v>0.046943583816369</v>
      </c>
      <c r="H1703">
        <v>0.154607773339415</v>
      </c>
      <c r="I1703">
        <v>1.452896618790634</v>
      </c>
    </row>
    <row r="1704" spans="1:9">
      <c r="A1704" s="8" t="s">
        <v>1716</v>
      </c>
      <c r="B1704">
        <f>HYPERLINK("https://www.suredividend.com/sure-analysis-research-database/","Lipocine Inc")</f>
        <v>0</v>
      </c>
      <c r="C1704">
        <v>0.500998003992015</v>
      </c>
      <c r="D1704">
        <v>1.071625344352617</v>
      </c>
      <c r="E1704">
        <v>1.888641339837898</v>
      </c>
      <c r="F1704">
        <v>1.695340501792114</v>
      </c>
      <c r="G1704">
        <v>0.6860986547085201</v>
      </c>
      <c r="H1704">
        <v>-0.5214702064296071</v>
      </c>
      <c r="I1704">
        <v>-0.7031188314251871</v>
      </c>
    </row>
    <row r="1705" spans="1:9">
      <c r="A1705" s="8" t="s">
        <v>1717</v>
      </c>
      <c r="B1705">
        <f>HYPERLINK("https://www.suredividend.com/sure-analysis-research-database/","Dorian LPG Ltd")</f>
        <v>0</v>
      </c>
      <c r="C1705">
        <v>0.047314880529926</v>
      </c>
      <c r="D1705">
        <v>0.205468858494239</v>
      </c>
      <c r="E1705">
        <v>0.203698920287234</v>
      </c>
      <c r="F1705">
        <v>0.06157214350287601</v>
      </c>
      <c r="G1705">
        <v>1.117806895429995</v>
      </c>
      <c r="H1705">
        <v>2.383082295941372</v>
      </c>
      <c r="I1705">
        <v>9.543739728963727</v>
      </c>
    </row>
    <row r="1706" spans="1:9">
      <c r="A1706" s="8" t="s">
        <v>1718</v>
      </c>
      <c r="B1706">
        <f>HYPERLINK("https://www.suredividend.com/sure-analysis-research-database/","LPL Financial Holdings Inc")</f>
        <v>0</v>
      </c>
      <c r="C1706">
        <v>0.043566264557425</v>
      </c>
      <c r="D1706">
        <v>0.04679634940706</v>
      </c>
      <c r="E1706">
        <v>0.300390962361746</v>
      </c>
      <c r="F1706">
        <v>0.235948510824589</v>
      </c>
      <c r="G1706">
        <v>0.3786673309106801</v>
      </c>
      <c r="H1706">
        <v>0.395195676617096</v>
      </c>
      <c r="I1706">
        <v>2.495873256806755</v>
      </c>
    </row>
    <row r="1707" spans="1:9">
      <c r="A1707" s="8" t="s">
        <v>1719</v>
      </c>
      <c r="B1707">
        <f>HYPERLINK("https://www.suredividend.com/sure-analysis-research-database/","Liveperson Inc")</f>
        <v>0</v>
      </c>
      <c r="C1707">
        <v>0.09075545039716</v>
      </c>
      <c r="D1707">
        <v>-0.410593607305936</v>
      </c>
      <c r="E1707">
        <v>-0.804424242424242</v>
      </c>
      <c r="F1707">
        <v>-0.829709762532981</v>
      </c>
      <c r="G1707">
        <v>-0.819215686274509</v>
      </c>
      <c r="H1707">
        <v>-0.9605501222493881</v>
      </c>
      <c r="I1707">
        <v>-0.9771377966702091</v>
      </c>
    </row>
    <row r="1708" spans="1:9">
      <c r="A1708" s="8" t="s">
        <v>1720</v>
      </c>
      <c r="B1708">
        <f>HYPERLINK("https://www.suredividend.com/sure-analysis-research-database/","Lightpath Technologies, Inc.")</f>
        <v>0</v>
      </c>
      <c r="C1708">
        <v>-0.07462686567164101</v>
      </c>
      <c r="D1708">
        <v>-0.162162162162162</v>
      </c>
      <c r="E1708">
        <v>-0.023622047244094</v>
      </c>
      <c r="F1708">
        <v>-0.015873015873015</v>
      </c>
      <c r="G1708">
        <v>-0.178807947019867</v>
      </c>
      <c r="H1708">
        <v>-0.138888888888888</v>
      </c>
      <c r="I1708">
        <v>0.291666666666666</v>
      </c>
    </row>
    <row r="1709" spans="1:9">
      <c r="A1709" s="8" t="s">
        <v>1721</v>
      </c>
      <c r="B1709">
        <f>HYPERLINK("https://www.suredividend.com/sure-analysis-research-database/","Louisiana-Pacific Corp.")</f>
        <v>0</v>
      </c>
      <c r="C1709">
        <v>0.236610713628005</v>
      </c>
      <c r="D1709">
        <v>0.192960498927422</v>
      </c>
      <c r="E1709">
        <v>0.413808436655945</v>
      </c>
      <c r="F1709">
        <v>0.278875249258443</v>
      </c>
      <c r="G1709">
        <v>0.422712165627856</v>
      </c>
      <c r="H1709">
        <v>0.268306434561984</v>
      </c>
      <c r="I1709">
        <v>3.096964840228389</v>
      </c>
    </row>
    <row r="1710" spans="1:9">
      <c r="A1710" s="8" t="s">
        <v>1722</v>
      </c>
      <c r="B1710">
        <f>HYPERLINK("https://www.suredividend.com/sure-analysis-research-database/","Liquidia Corp")</f>
        <v>0</v>
      </c>
      <c r="C1710">
        <v>0.072429906542055</v>
      </c>
      <c r="D1710">
        <v>0.008052708638360001</v>
      </c>
      <c r="E1710">
        <v>0.9125000000000001</v>
      </c>
      <c r="F1710">
        <v>0.144638403990025</v>
      </c>
      <c r="G1710">
        <v>0.62286387743076</v>
      </c>
      <c r="H1710">
        <v>2.080536912751677</v>
      </c>
      <c r="I1710">
        <v>3.05</v>
      </c>
    </row>
    <row r="1711" spans="1:9">
      <c r="A1711" s="8" t="s">
        <v>1723</v>
      </c>
      <c r="B1711">
        <f>HYPERLINK("https://www.suredividend.com/sure-analysis-research-database/","Liquidity Services Inc")</f>
        <v>0</v>
      </c>
      <c r="C1711">
        <v>0.05320899616017501</v>
      </c>
      <c r="D1711">
        <v>0.066666666666666</v>
      </c>
      <c r="E1711">
        <v>0.119533527696793</v>
      </c>
      <c r="F1711">
        <v>0.115630447414293</v>
      </c>
      <c r="G1711">
        <v>0.175030599755201</v>
      </c>
      <c r="H1711">
        <v>0.382289416846652</v>
      </c>
      <c r="I1711">
        <v>2.321799307958477</v>
      </c>
    </row>
    <row r="1712" spans="1:9">
      <c r="A1712" s="8" t="s">
        <v>1724</v>
      </c>
      <c r="B1712">
        <f>HYPERLINK("https://www.suredividend.com/sure-analysis-LRCX/","Lam Research Corp.")</f>
        <v>0</v>
      </c>
      <c r="C1712">
        <v>0.052256506104425</v>
      </c>
      <c r="D1712">
        <v>-0.029940432304861</v>
      </c>
      <c r="E1712">
        <v>0.370085452448263</v>
      </c>
      <c r="F1712">
        <v>0.23176492881002</v>
      </c>
      <c r="G1712">
        <v>0.60667771252031</v>
      </c>
      <c r="H1712">
        <v>0.9022793682358541</v>
      </c>
      <c r="I1712">
        <v>4.57226692844066</v>
      </c>
    </row>
    <row r="1713" spans="1:9">
      <c r="A1713" s="8" t="s">
        <v>1725</v>
      </c>
      <c r="B1713">
        <f>HYPERLINK("https://www.suredividend.com/sure-analysis-research-database/","Stride Inc")</f>
        <v>0</v>
      </c>
      <c r="C1713">
        <v>-0.05505477742338</v>
      </c>
      <c r="D1713">
        <v>0.121461487820934</v>
      </c>
      <c r="E1713">
        <v>0.132458035565896</v>
      </c>
      <c r="F1713">
        <v>0.147717702543372</v>
      </c>
      <c r="G1713">
        <v>0.630533620483369</v>
      </c>
      <c r="H1713">
        <v>0.684548825710753</v>
      </c>
      <c r="I1713">
        <v>1.152922590837282</v>
      </c>
    </row>
    <row r="1714" spans="1:9">
      <c r="A1714" s="8" t="s">
        <v>1726</v>
      </c>
      <c r="B1714">
        <f>HYPERLINK("https://www.suredividend.com/sure-analysis-research-database/","Lake Shore Bancorp")</f>
        <v>0</v>
      </c>
      <c r="C1714">
        <v>0.122183708838821</v>
      </c>
      <c r="D1714">
        <v>0.1686565413181</v>
      </c>
      <c r="E1714">
        <v>0.214867349619122</v>
      </c>
      <c r="F1714">
        <v>0.141210476224047</v>
      </c>
      <c r="G1714">
        <v>0.17740117103684</v>
      </c>
      <c r="H1714">
        <v>-0.043405034865855</v>
      </c>
      <c r="I1714">
        <v>0.02206718019952</v>
      </c>
    </row>
    <row r="1715" spans="1:9">
      <c r="A1715" s="8" t="s">
        <v>1727</v>
      </c>
      <c r="B1715">
        <f>HYPERLINK("https://www.suredividend.com/sure-analysis-research-database/","Lattice Semiconductor Corp.")</f>
        <v>0</v>
      </c>
      <c r="C1715">
        <v>-0.153621169916434</v>
      </c>
      <c r="D1715">
        <v>-0.272825176498743</v>
      </c>
      <c r="E1715">
        <v>-0.008160600620205001</v>
      </c>
      <c r="F1715">
        <v>-0.119147702565589</v>
      </c>
      <c r="G1715">
        <v>-0.252061538461538</v>
      </c>
      <c r="H1715">
        <v>0.117917586460633</v>
      </c>
      <c r="I1715">
        <v>3.25262421273618</v>
      </c>
    </row>
    <row r="1716" spans="1:9">
      <c r="A1716" s="8" t="s">
        <v>1728</v>
      </c>
      <c r="B1716">
        <f>HYPERLINK("https://www.suredividend.com/sure-analysis-research-database/","Life Storage Inc")</f>
        <v>0</v>
      </c>
      <c r="C1716">
        <v>0.032428813994491</v>
      </c>
      <c r="D1716">
        <v>-0.005429413883338</v>
      </c>
      <c r="E1716">
        <v>0.336666127715385</v>
      </c>
      <c r="F1716">
        <v>0.387831708461498</v>
      </c>
      <c r="G1716">
        <v>0.195579141769995</v>
      </c>
      <c r="H1716">
        <v>0.270804530976695</v>
      </c>
      <c r="I1716">
        <v>1.510752282502074</v>
      </c>
    </row>
    <row r="1717" spans="1:9">
      <c r="A1717" s="8" t="s">
        <v>1729</v>
      </c>
      <c r="B1717">
        <f>HYPERLINK("https://www.suredividend.com/sure-analysis-research-database/","Landstar System, Inc.")</f>
        <v>0</v>
      </c>
      <c r="C1717">
        <v>-0.008092040074865001</v>
      </c>
      <c r="D1717">
        <v>-0.037225945475752</v>
      </c>
      <c r="E1717">
        <v>0.026322474519931</v>
      </c>
      <c r="F1717">
        <v>-0.04321184316724001</v>
      </c>
      <c r="G1717">
        <v>-0.008755016324543001</v>
      </c>
      <c r="H1717">
        <v>0.254669586500064</v>
      </c>
      <c r="I1717">
        <v>1.060008802967857</v>
      </c>
    </row>
    <row r="1718" spans="1:9">
      <c r="A1718" s="8" t="s">
        <v>1730</v>
      </c>
      <c r="B1718">
        <f>HYPERLINK("https://www.suredividend.com/sure-analysis-research-database/","Liberty Media Corp.")</f>
        <v>0</v>
      </c>
      <c r="C1718">
        <v>-0.168250197941409</v>
      </c>
      <c r="D1718">
        <v>-0.285617137028221</v>
      </c>
      <c r="E1718">
        <v>-0.202353834472285</v>
      </c>
      <c r="F1718">
        <v>-0.268963117606123</v>
      </c>
      <c r="G1718">
        <v>-0.109745762711864</v>
      </c>
      <c r="H1718">
        <v>-0.109745762711864</v>
      </c>
      <c r="I1718">
        <v>-0.109745762711864</v>
      </c>
    </row>
    <row r="1719" spans="1:9">
      <c r="A1719" s="8" t="s">
        <v>1731</v>
      </c>
      <c r="B1719">
        <f>HYPERLINK("https://www.suredividend.com/sure-analysis-research-database/","Liberty Media Corp.")</f>
        <v>0</v>
      </c>
      <c r="C1719">
        <v>-0.16858846918489</v>
      </c>
      <c r="D1719">
        <v>-0.284394250513347</v>
      </c>
      <c r="E1719">
        <v>-0.210943396226415</v>
      </c>
      <c r="F1719">
        <v>-0.273453787352328</v>
      </c>
      <c r="G1719">
        <v>-0.07190412782956</v>
      </c>
      <c r="H1719">
        <v>-0.07190412782956</v>
      </c>
      <c r="I1719">
        <v>-0.07190412782956</v>
      </c>
    </row>
    <row r="1720" spans="1:9">
      <c r="A1720" s="8" t="s">
        <v>1732</v>
      </c>
      <c r="B1720">
        <f>HYPERLINK("https://www.suredividend.com/sure-analysis-research-database/","Lightbridge Corp")</f>
        <v>0</v>
      </c>
      <c r="C1720">
        <v>-0.016194331983805</v>
      </c>
      <c r="D1720">
        <v>-0.15034965034965</v>
      </c>
      <c r="E1720">
        <v>-0.3485254691689</v>
      </c>
      <c r="F1720">
        <v>-0.242990654205607</v>
      </c>
      <c r="G1720">
        <v>-0.509090909090909</v>
      </c>
      <c r="H1720">
        <v>-0.5766550522648081</v>
      </c>
      <c r="I1720">
        <v>-0.709051724137931</v>
      </c>
    </row>
    <row r="1721" spans="1:9">
      <c r="A1721" s="8" t="s">
        <v>1733</v>
      </c>
      <c r="B1721">
        <f>HYPERLINK("https://www.suredividend.com/sure-analysis-LTC/","LTC Properties, Inc.")</f>
        <v>0</v>
      </c>
      <c r="C1721">
        <v>0.016521848482852</v>
      </c>
      <c r="D1721">
        <v>0.083529081346065</v>
      </c>
      <c r="E1721">
        <v>0.057800460509302</v>
      </c>
      <c r="F1721">
        <v>0.08840963955848001</v>
      </c>
      <c r="G1721">
        <v>0.069274499614179</v>
      </c>
      <c r="H1721">
        <v>-0.013998605947955</v>
      </c>
      <c r="I1721">
        <v>0.031328697670321</v>
      </c>
    </row>
    <row r="1722" spans="1:9">
      <c r="A1722" s="8" t="s">
        <v>1734</v>
      </c>
      <c r="B1722">
        <f>HYPERLINK("https://www.suredividend.com/sure-analysis-research-database/","Livent Corp")</f>
        <v>0</v>
      </c>
      <c r="C1722">
        <v>0.152932960893854</v>
      </c>
      <c r="D1722">
        <v>-0.018430439952437</v>
      </c>
      <c r="E1722">
        <v>-0.414746543778801</v>
      </c>
      <c r="F1722">
        <v>-0.08175750834260201</v>
      </c>
      <c r="G1722">
        <v>-0.130136986301369</v>
      </c>
      <c r="H1722">
        <v>-0.353056426332288</v>
      </c>
      <c r="I1722">
        <v>0.214863870493009</v>
      </c>
    </row>
    <row r="1723" spans="1:9">
      <c r="A1723" s="8" t="s">
        <v>1735</v>
      </c>
      <c r="B1723">
        <f>HYPERLINK("https://www.suredividend.com/sure-analysis-research-database/","Liberty TripAdvisor Holdings Inc")</f>
        <v>0</v>
      </c>
      <c r="C1723">
        <v>-0.625</v>
      </c>
      <c r="D1723">
        <v>-0.648148148148148</v>
      </c>
      <c r="E1723">
        <v>0.325581395348837</v>
      </c>
      <c r="F1723">
        <v>-0.329411764705882</v>
      </c>
      <c r="G1723">
        <v>1.236171047469595</v>
      </c>
      <c r="H1723">
        <v>1.236171047469595</v>
      </c>
      <c r="I1723">
        <v>1.236171047469595</v>
      </c>
    </row>
    <row r="1724" spans="1:9">
      <c r="A1724" s="8" t="s">
        <v>1736</v>
      </c>
      <c r="B1724">
        <f>HYPERLINK("https://www.suredividend.com/sure-analysis-research-database/","Lantronix Inc")</f>
        <v>0</v>
      </c>
      <c r="C1724">
        <v>0.018918918918918</v>
      </c>
      <c r="D1724">
        <v>-0.035805626598465</v>
      </c>
      <c r="E1724">
        <v>-0.359932088285229</v>
      </c>
      <c r="F1724">
        <v>-0.3566552901023891</v>
      </c>
      <c r="G1724">
        <v>-0.123255813953488</v>
      </c>
      <c r="H1724">
        <v>-0.384991843393148</v>
      </c>
      <c r="I1724">
        <v>0.105571847507331</v>
      </c>
    </row>
    <row r="1725" spans="1:9">
      <c r="A1725" s="8" t="s">
        <v>1737</v>
      </c>
      <c r="B1725">
        <f>HYPERLINK("https://www.suredividend.com/sure-analysis-research-database/","Luby`s, Inc.")</f>
        <v>0</v>
      </c>
      <c r="C1725">
        <v>-0.164319248826291</v>
      </c>
      <c r="D1725">
        <v>-0.221483554933519</v>
      </c>
      <c r="E1725">
        <v>-0.240549534943254</v>
      </c>
      <c r="F1725">
        <v>-0.240549534943254</v>
      </c>
      <c r="G1725">
        <v>-0.41135619564139</v>
      </c>
      <c r="H1725">
        <v>1.661881262150441</v>
      </c>
      <c r="I1725">
        <v>-0.117063492063492</v>
      </c>
    </row>
    <row r="1726" spans="1:9">
      <c r="A1726" s="8" t="s">
        <v>1738</v>
      </c>
      <c r="B1726">
        <f>HYPERLINK("https://www.suredividend.com/sure-analysis-research-database/","Lululemon Athletica inc.")</f>
        <v>0</v>
      </c>
      <c r="C1726">
        <v>-0.09143918822352401</v>
      </c>
      <c r="D1726">
        <v>-0.30488978306508</v>
      </c>
      <c r="E1726">
        <v>-0.31594464889061</v>
      </c>
      <c r="F1726">
        <v>-0.378317588843904</v>
      </c>
      <c r="G1726">
        <v>-0.101912807617325</v>
      </c>
      <c r="H1726">
        <v>0.038113589601228</v>
      </c>
      <c r="I1726">
        <v>0.8427734941156001</v>
      </c>
    </row>
    <row r="1727" spans="1:9">
      <c r="A1727" s="8" t="s">
        <v>1739</v>
      </c>
      <c r="B1727">
        <f>HYPERLINK("https://www.suredividend.com/sure-analysis-research-database/","Luna Innovations Inc")</f>
        <v>0</v>
      </c>
      <c r="C1727">
        <v>0.259391771019678</v>
      </c>
      <c r="D1727">
        <v>-0.458461538461538</v>
      </c>
      <c r="E1727">
        <v>-0.441269841269841</v>
      </c>
      <c r="F1727">
        <v>-0.470676691729323</v>
      </c>
      <c r="G1727">
        <v>-0.6215053763440861</v>
      </c>
      <c r="H1727">
        <v>-0.4617737003058101</v>
      </c>
      <c r="I1727">
        <v>-0.113350125944584</v>
      </c>
    </row>
    <row r="1728" spans="1:9">
      <c r="A1728" s="8" t="s">
        <v>1740</v>
      </c>
      <c r="B1728">
        <f>HYPERLINK("https://www.suredividend.com/sure-analysis-research-database/","Southwest Airlines Co")</f>
        <v>0</v>
      </c>
      <c r="C1728">
        <v>0.027777777777777</v>
      </c>
      <c r="D1728">
        <v>-0.203273040482342</v>
      </c>
      <c r="E1728">
        <v>-0.037437606879112</v>
      </c>
      <c r="F1728">
        <v>-0.034029992063381</v>
      </c>
      <c r="G1728">
        <v>-0.07829662573528601</v>
      </c>
      <c r="H1728">
        <v>-0.360995143563091</v>
      </c>
      <c r="I1728">
        <v>-0.424546065346682</v>
      </c>
    </row>
    <row r="1729" spans="1:9">
      <c r="A1729" s="8" t="s">
        <v>1741</v>
      </c>
      <c r="B1729">
        <f>HYPERLINK("https://www.suredividend.com/sure-analysis-research-database/","Las Vegas Sands Corp")</f>
        <v>0</v>
      </c>
      <c r="C1729">
        <v>-0.036386986301369</v>
      </c>
      <c r="D1729">
        <v>-0.121908785398173</v>
      </c>
      <c r="E1729">
        <v>0.012101605828914</v>
      </c>
      <c r="F1729">
        <v>-0.077570539627381</v>
      </c>
      <c r="G1729">
        <v>-0.218032157602474</v>
      </c>
      <c r="H1729">
        <v>0.276507665567467</v>
      </c>
      <c r="I1729">
        <v>-0.136114703703845</v>
      </c>
    </row>
    <row r="1730" spans="1:9">
      <c r="A1730" s="8" t="s">
        <v>1742</v>
      </c>
      <c r="B1730">
        <f>HYPERLINK("https://www.suredividend.com/sure-analysis-research-database/","Lamb Weston Holdings Inc")</f>
        <v>0</v>
      </c>
      <c r="C1730">
        <v>0.008695652173913</v>
      </c>
      <c r="D1730">
        <v>-0.135490511444377</v>
      </c>
      <c r="E1730">
        <v>-0.143350990575264</v>
      </c>
      <c r="F1730">
        <v>-0.199541209546944</v>
      </c>
      <c r="G1730">
        <v>-0.221655813008793</v>
      </c>
      <c r="H1730">
        <v>0.274507620468734</v>
      </c>
      <c r="I1730">
        <v>0.502233049127081</v>
      </c>
    </row>
    <row r="1731" spans="1:9">
      <c r="A1731" s="8" t="s">
        <v>1743</v>
      </c>
      <c r="B1731">
        <f>HYPERLINK("https://www.suredividend.com/sure-analysis-research-database/","Lifeway Foods, Inc.")</f>
        <v>0</v>
      </c>
      <c r="C1731">
        <v>-0.4904854368932031</v>
      </c>
      <c r="D1731">
        <v>0.129087779690189</v>
      </c>
      <c r="E1731">
        <v>-0.010558069381598</v>
      </c>
      <c r="F1731">
        <v>-0.021625652498135</v>
      </c>
      <c r="G1731">
        <v>1.186666666666666</v>
      </c>
      <c r="H1731">
        <v>1.429629629629629</v>
      </c>
      <c r="I1731">
        <v>4.466666666666667</v>
      </c>
    </row>
    <row r="1732" spans="1:9">
      <c r="A1732" s="8" t="s">
        <v>1744</v>
      </c>
      <c r="B1732">
        <f>HYPERLINK("https://www.suredividend.com/sure-analysis-LXP/","LXP Industrial Trust")</f>
        <v>0</v>
      </c>
      <c r="C1732">
        <v>-0.010262257696693</v>
      </c>
      <c r="D1732">
        <v>-0.017766210252348</v>
      </c>
      <c r="E1732">
        <v>-0.026654854951388</v>
      </c>
      <c r="F1732">
        <v>-0.111838739384017</v>
      </c>
      <c r="G1732">
        <v>-0.141486573364324</v>
      </c>
      <c r="H1732">
        <v>-0.158955476963325</v>
      </c>
      <c r="I1732">
        <v>0.146964771796294</v>
      </c>
    </row>
    <row r="1733" spans="1:9">
      <c r="A1733" s="8" t="s">
        <v>1745</v>
      </c>
      <c r="B1733">
        <f>HYPERLINK("https://www.suredividend.com/sure-analysis-research-database/","Lexicon Pharmaceuticals Inc")</f>
        <v>0</v>
      </c>
      <c r="C1733">
        <v>-0.011299435028248</v>
      </c>
      <c r="D1733">
        <v>-0.186046511627906</v>
      </c>
      <c r="E1733">
        <v>0.399999999999999</v>
      </c>
      <c r="F1733">
        <v>0.143790849673202</v>
      </c>
      <c r="G1733">
        <v>-0.402730375426621</v>
      </c>
      <c r="H1733">
        <v>0.005747126436781</v>
      </c>
      <c r="I1733">
        <v>-0.690265486725663</v>
      </c>
    </row>
    <row r="1734" spans="1:9">
      <c r="A1734" s="8" t="s">
        <v>1746</v>
      </c>
      <c r="B1734">
        <f>HYPERLINK("https://www.suredividend.com/sure-analysis-research-database/","LSB Industries, Inc.")</f>
        <v>0</v>
      </c>
      <c r="C1734">
        <v>0.063437139561707</v>
      </c>
      <c r="D1734">
        <v>0.222811671087533</v>
      </c>
      <c r="E1734">
        <v>0.01878453038674</v>
      </c>
      <c r="F1734">
        <v>-0.009667024704618001</v>
      </c>
      <c r="G1734">
        <v>-0.112608277189605</v>
      </c>
      <c r="H1734">
        <v>-0.516518091242789</v>
      </c>
      <c r="I1734">
        <v>2.588665732523743</v>
      </c>
    </row>
    <row r="1735" spans="1:9">
      <c r="A1735" s="8" t="s">
        <v>1747</v>
      </c>
      <c r="B1735">
        <f>HYPERLINK("https://www.suredividend.com/sure-analysis-LYB/","LyondellBasell Industries NV")</f>
        <v>0</v>
      </c>
      <c r="C1735">
        <v>-0.040192800746583</v>
      </c>
      <c r="D1735">
        <v>-0.016639129286464</v>
      </c>
      <c r="E1735">
        <v>0.069662821255177</v>
      </c>
      <c r="F1735">
        <v>0.037036877100442</v>
      </c>
      <c r="G1735">
        <v>0.097325682744251</v>
      </c>
      <c r="H1735">
        <v>-0.049399368047508</v>
      </c>
      <c r="I1735">
        <v>0.616534900392774</v>
      </c>
    </row>
    <row r="1736" spans="1:9">
      <c r="A1736" s="8" t="s">
        <v>1748</v>
      </c>
      <c r="B1736">
        <f>HYPERLINK("https://www.suredividend.com/sure-analysis-research-database/","Lyft Inc")</f>
        <v>0</v>
      </c>
      <c r="C1736">
        <v>-0.06024096385542101</v>
      </c>
      <c r="D1736">
        <v>-0.13573407202216</v>
      </c>
      <c r="E1736">
        <v>0.255028157683024</v>
      </c>
      <c r="F1736">
        <v>0.040693795863909</v>
      </c>
      <c r="G1736">
        <v>0.5145631067961161</v>
      </c>
      <c r="H1736">
        <v>-0.09355026147588601</v>
      </c>
      <c r="I1736">
        <v>-0.7367532905838671</v>
      </c>
    </row>
    <row r="1737" spans="1:9">
      <c r="A1737" s="8" t="s">
        <v>1749</v>
      </c>
      <c r="B1737">
        <f>HYPERLINK("https://www.suredividend.com/sure-analysis-research-database/","LSI Industries Inc.")</f>
        <v>0</v>
      </c>
      <c r="C1737">
        <v>-0.02496714848883</v>
      </c>
      <c r="D1737">
        <v>0.05060459320929901</v>
      </c>
      <c r="E1737">
        <v>0.129762856381561</v>
      </c>
      <c r="F1737">
        <v>0.06877925819229301</v>
      </c>
      <c r="G1737">
        <v>0.232588851881691</v>
      </c>
      <c r="H1737">
        <v>1.344354749530023</v>
      </c>
      <c r="I1737">
        <v>3.622908943646615</v>
      </c>
    </row>
    <row r="1738" spans="1:9">
      <c r="A1738" s="8" t="s">
        <v>1750</v>
      </c>
      <c r="B1738">
        <f>HYPERLINK("https://www.suredividend.com/sure-analysis-research-database/","Live Nation Entertainment Inc")</f>
        <v>0</v>
      </c>
      <c r="C1738">
        <v>-0.060307245173344</v>
      </c>
      <c r="D1738">
        <v>-0.09929360262660401</v>
      </c>
      <c r="E1738">
        <v>0.074157570004746</v>
      </c>
      <c r="F1738">
        <v>-0.032799145299145</v>
      </c>
      <c r="G1738">
        <v>0.09322545586281801</v>
      </c>
      <c r="H1738">
        <v>-0.058058474664447</v>
      </c>
      <c r="I1738">
        <v>0.455700273355845</v>
      </c>
    </row>
    <row r="1739" spans="1:9">
      <c r="A1739" s="8" t="s">
        <v>1751</v>
      </c>
      <c r="B1739">
        <f>HYPERLINK("https://www.suredividend.com/sure-analysis-research-database/","La-Z-Boy Inc.")</f>
        <v>0</v>
      </c>
      <c r="C1739">
        <v>0.04384257149789</v>
      </c>
      <c r="D1739">
        <v>-0.026358420426602</v>
      </c>
      <c r="E1739">
        <v>-0.003738803357016</v>
      </c>
      <c r="F1739">
        <v>-0.034231669426917</v>
      </c>
      <c r="G1739">
        <v>0.23281639841495</v>
      </c>
      <c r="H1739">
        <v>0.455253431890179</v>
      </c>
      <c r="I1739">
        <v>0.323792620831723</v>
      </c>
    </row>
    <row r="1740" spans="1:9">
      <c r="A1740" s="8" t="s">
        <v>1752</v>
      </c>
      <c r="B1740">
        <f>HYPERLINK("https://www.suredividend.com/sure-analysis-M/","Macy`s Inc")</f>
        <v>0</v>
      </c>
      <c r="C1740">
        <v>-0.049999999999999</v>
      </c>
      <c r="D1740">
        <v>-0.08633015060927801</v>
      </c>
      <c r="E1740">
        <v>0.103163439379882</v>
      </c>
      <c r="F1740">
        <v>-0.076338632399815</v>
      </c>
      <c r="G1740">
        <v>0.185315719743256</v>
      </c>
      <c r="H1740">
        <v>-0.18816294886704</v>
      </c>
      <c r="I1740">
        <v>0.100219685753856</v>
      </c>
    </row>
    <row r="1741" spans="1:9">
      <c r="A1741" s="8" t="s">
        <v>1753</v>
      </c>
      <c r="B1741">
        <f>HYPERLINK("https://www.suredividend.com/sure-analysis-MA/","Mastercard Incorporated")</f>
        <v>0</v>
      </c>
      <c r="C1741">
        <v>-0.007217587074559001</v>
      </c>
      <c r="D1741">
        <v>-0.036632138435055</v>
      </c>
      <c r="E1741">
        <v>0.09191067496291201</v>
      </c>
      <c r="F1741">
        <v>0.05770772849275801</v>
      </c>
      <c r="G1741">
        <v>0.218207872917889</v>
      </c>
      <c r="H1741">
        <v>0.250767843373021</v>
      </c>
      <c r="I1741">
        <v>0.7374868613637761</v>
      </c>
    </row>
    <row r="1742" spans="1:9">
      <c r="A1742" s="8" t="s">
        <v>1754</v>
      </c>
      <c r="B1742">
        <f>HYPERLINK("https://www.suredividend.com/sure-analysis-MAA/","Mid-America Apartment Communities, Inc.")</f>
        <v>0</v>
      </c>
      <c r="C1742">
        <v>0.003451061017695</v>
      </c>
      <c r="D1742">
        <v>0.041519005092514</v>
      </c>
      <c r="E1742">
        <v>0.098825994559741</v>
      </c>
      <c r="F1742">
        <v>0.039332016612884</v>
      </c>
      <c r="G1742">
        <v>-0.08039820251696</v>
      </c>
      <c r="H1742">
        <v>-0.171201024688093</v>
      </c>
      <c r="I1742">
        <v>0.3682364107472531</v>
      </c>
    </row>
    <row r="1743" spans="1:9">
      <c r="A1743" s="8" t="s">
        <v>1755</v>
      </c>
      <c r="B1743">
        <f>HYPERLINK("https://www.suredividend.com/sure-analysis-MAC/","Macerich Co.")</f>
        <v>0</v>
      </c>
      <c r="C1743">
        <v>-0.011180552333865</v>
      </c>
      <c r="D1743">
        <v>-0.07260069617105901</v>
      </c>
      <c r="E1743">
        <v>0.156705714529371</v>
      </c>
      <c r="F1743">
        <v>-0.012711668133482</v>
      </c>
      <c r="G1743">
        <v>0.380216283221861</v>
      </c>
      <c r="H1743">
        <v>0.450190993652984</v>
      </c>
      <c r="I1743">
        <v>-0.434544338242539</v>
      </c>
    </row>
    <row r="1744" spans="1:9">
      <c r="A1744" s="8" t="s">
        <v>1756</v>
      </c>
      <c r="B1744">
        <f>HYPERLINK("https://www.suredividend.com/sure-analysis-research-database/","Merrimack Pharmaceuticals Inc")</f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</row>
    <row r="1745" spans="1:9">
      <c r="A1745" s="8" t="s">
        <v>1757</v>
      </c>
      <c r="B1745">
        <f>HYPERLINK("https://www.suredividend.com/sure-analysis-MAN/","ManpowerGroup")</f>
        <v>0</v>
      </c>
      <c r="C1745">
        <v>-0.05142604184752501</v>
      </c>
      <c r="D1745">
        <v>-0.026143230559263</v>
      </c>
      <c r="E1745">
        <v>-0.03907734239163201</v>
      </c>
      <c r="F1745">
        <v>-0.08043052862717201</v>
      </c>
      <c r="G1745">
        <v>-0.034242102024623</v>
      </c>
      <c r="H1745">
        <v>-0.148475953993668</v>
      </c>
      <c r="I1745">
        <v>-0.058177942124725</v>
      </c>
    </row>
    <row r="1746" spans="1:9">
      <c r="A1746" s="8" t="s">
        <v>1758</v>
      </c>
      <c r="B1746">
        <f>HYPERLINK("https://www.suredividend.com/sure-analysis-research-database/","Manhattan Associates, Inc.")</f>
        <v>0</v>
      </c>
      <c r="C1746">
        <v>0.018048375184638</v>
      </c>
      <c r="D1746">
        <v>-0.170958162613238</v>
      </c>
      <c r="E1746">
        <v>-0.009298355942862001</v>
      </c>
      <c r="F1746">
        <v>0.024289429686048</v>
      </c>
      <c r="G1746">
        <v>0.203547066848567</v>
      </c>
      <c r="H1746">
        <v>0.7150077760497661</v>
      </c>
      <c r="I1746">
        <v>2.354882871919684</v>
      </c>
    </row>
    <row r="1747" spans="1:9">
      <c r="A1747" s="8" t="s">
        <v>1759</v>
      </c>
      <c r="B1747">
        <f>HYPERLINK("https://www.suredividend.com/sure-analysis-research-database/","Mantech International Corp")</f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</row>
    <row r="1748" spans="1:9">
      <c r="A1748" s="8" t="s">
        <v>1760</v>
      </c>
      <c r="B1748">
        <f>HYPERLINK("https://www.suredividend.com/sure-analysis-MAR/","Marriott International, Inc.")</f>
        <v>0</v>
      </c>
      <c r="C1748">
        <v>-0.015475900886412</v>
      </c>
      <c r="D1748">
        <v>-0.05901839861299801</v>
      </c>
      <c r="E1748">
        <v>0.121644288787245</v>
      </c>
      <c r="F1748">
        <v>0.034702145921209</v>
      </c>
      <c r="G1748">
        <v>0.326409906003396</v>
      </c>
      <c r="H1748">
        <v>0.33992686353329</v>
      </c>
      <c r="I1748">
        <v>0.81505735769746</v>
      </c>
    </row>
    <row r="1749" spans="1:9">
      <c r="A1749" s="8" t="s">
        <v>1761</v>
      </c>
      <c r="B1749">
        <f>HYPERLINK("https://www.suredividend.com/sure-analysis-research-database/","Marathon Digital Holdings Inc")</f>
        <v>0</v>
      </c>
      <c r="C1749">
        <v>-0.046511627906976</v>
      </c>
      <c r="D1749">
        <v>-0.116055045871559</v>
      </c>
      <c r="E1749">
        <v>0.242424242424242</v>
      </c>
      <c r="F1749">
        <v>-0.179650915283099</v>
      </c>
      <c r="G1749">
        <v>1.017801047120418</v>
      </c>
      <c r="H1749">
        <v>1.217491369390103</v>
      </c>
      <c r="I1749">
        <v>7.96279069767442</v>
      </c>
    </row>
    <row r="1750" spans="1:9">
      <c r="A1750" s="8" t="s">
        <v>1762</v>
      </c>
      <c r="B1750">
        <f>HYPERLINK("https://www.suredividend.com/sure-analysis-research-database/","Remark Holdings Inc")</f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</row>
    <row r="1751" spans="1:9">
      <c r="A1751" s="8" t="s">
        <v>1763</v>
      </c>
      <c r="B1751">
        <f>HYPERLINK("https://www.suredividend.com/sure-analysis-research-database/","Masco Corp.")</f>
        <v>0</v>
      </c>
      <c r="C1751">
        <v>-0.06186065014776</v>
      </c>
      <c r="D1751">
        <v>-0.140424645586263</v>
      </c>
      <c r="E1751">
        <v>0.05014385205424501</v>
      </c>
      <c r="F1751">
        <v>-0.006141063849002</v>
      </c>
      <c r="G1751">
        <v>0.219507690489206</v>
      </c>
      <c r="H1751">
        <v>0.197473390991474</v>
      </c>
      <c r="I1751">
        <v>0.8850364703027531</v>
      </c>
    </row>
    <row r="1752" spans="1:9">
      <c r="A1752" s="8" t="s">
        <v>1764</v>
      </c>
      <c r="B1752">
        <f>HYPERLINK("https://www.suredividend.com/sure-analysis-research-database/","Masimo Corp")</f>
        <v>0</v>
      </c>
      <c r="C1752">
        <v>-0.0775</v>
      </c>
      <c r="D1752">
        <v>-0.064917641797719</v>
      </c>
      <c r="E1752">
        <v>0.178249436513899</v>
      </c>
      <c r="F1752">
        <v>0.07038648579472701</v>
      </c>
      <c r="G1752">
        <v>-0.235792166656514</v>
      </c>
      <c r="H1752">
        <v>-0.111850488460993</v>
      </c>
      <c r="I1752">
        <v>-0.09040817806133501</v>
      </c>
    </row>
    <row r="1753" spans="1:9">
      <c r="A1753" s="8" t="s">
        <v>1765</v>
      </c>
      <c r="B1753">
        <f>HYPERLINK("https://www.suredividend.com/sure-analysis-research-database/","Mattel, Inc.")</f>
        <v>0</v>
      </c>
      <c r="C1753">
        <v>-0.059294871794871</v>
      </c>
      <c r="D1753">
        <v>-0.09923273657289</v>
      </c>
      <c r="E1753">
        <v>-0.07801047120418801</v>
      </c>
      <c r="F1753">
        <v>-0.067266949152542</v>
      </c>
      <c r="G1753">
        <v>-0.03506849315068401</v>
      </c>
      <c r="H1753">
        <v>-0.282103546677537</v>
      </c>
      <c r="I1753">
        <v>0.6200551977920881</v>
      </c>
    </row>
    <row r="1754" spans="1:9">
      <c r="A1754" s="8" t="s">
        <v>1766</v>
      </c>
      <c r="B1754">
        <f>HYPERLINK("https://www.suredividend.com/sure-analysis-MATW/","Matthews International Corp.")</f>
        <v>0</v>
      </c>
      <c r="C1754">
        <v>-0.04423545802856101</v>
      </c>
      <c r="D1754">
        <v>-0.06578965287140301</v>
      </c>
      <c r="E1754">
        <v>-0.18001679411668</v>
      </c>
      <c r="F1754">
        <v>-0.226776526017391</v>
      </c>
      <c r="G1754">
        <v>-0.30459992954766</v>
      </c>
      <c r="H1754">
        <v>-0.07909883242887601</v>
      </c>
      <c r="I1754">
        <v>-0.101470915687584</v>
      </c>
    </row>
    <row r="1755" spans="1:9">
      <c r="A1755" s="8" t="s">
        <v>1767</v>
      </c>
      <c r="B1755">
        <f>HYPERLINK("https://www.suredividend.com/sure-analysis-research-database/","Matson Inc")</f>
        <v>0</v>
      </c>
      <c r="C1755">
        <v>0.09112881568346601</v>
      </c>
      <c r="D1755">
        <v>0.135629935015023</v>
      </c>
      <c r="E1755">
        <v>0.25894190627085</v>
      </c>
      <c r="F1755">
        <v>0.118459024245666</v>
      </c>
      <c r="G1755">
        <v>0.6186778075540951</v>
      </c>
      <c r="H1755">
        <v>0.328680933444956</v>
      </c>
      <c r="I1755">
        <v>2.699959931519324</v>
      </c>
    </row>
    <row r="1756" spans="1:9">
      <c r="A1756" s="8" t="s">
        <v>1768</v>
      </c>
      <c r="B1756">
        <f>HYPERLINK("https://www.suredividend.com/sure-analysis-research-database/","J.W. Mays Inc.")</f>
        <v>0</v>
      </c>
      <c r="C1756">
        <v>-0.005975637784417001</v>
      </c>
      <c r="D1756">
        <v>-0.017045454545454</v>
      </c>
      <c r="E1756">
        <v>-0.005747126436781</v>
      </c>
      <c r="F1756">
        <v>0.029516781718638</v>
      </c>
      <c r="G1756">
        <v>-0.017268802544876</v>
      </c>
      <c r="H1756">
        <v>0.017407668783815</v>
      </c>
      <c r="I1756">
        <v>0.235714285714285</v>
      </c>
    </row>
    <row r="1757" spans="1:9">
      <c r="A1757" s="8" t="s">
        <v>1769</v>
      </c>
      <c r="B1757">
        <f>HYPERLINK("https://www.suredividend.com/sure-analysis-research-database/","Middlefield Banc Corp.")</f>
        <v>0</v>
      </c>
      <c r="C1757">
        <v>-0.120036961838597</v>
      </c>
      <c r="D1757">
        <v>-0.11746701129098</v>
      </c>
      <c r="E1757">
        <v>-0.284631288766368</v>
      </c>
      <c r="F1757">
        <v>-0.33590313654612</v>
      </c>
      <c r="G1757">
        <v>-0.247466179477141</v>
      </c>
      <c r="H1757">
        <v>-0.09201842205398</v>
      </c>
      <c r="I1757">
        <v>0.2287586341602</v>
      </c>
    </row>
    <row r="1758" spans="1:9">
      <c r="A1758" s="8" t="s">
        <v>1770</v>
      </c>
      <c r="B1758">
        <f>HYPERLINK("https://www.suredividend.com/sure-analysis-research-database/","MBIA Inc.")</f>
        <v>0</v>
      </c>
      <c r="C1758">
        <v>-0.18796992481203</v>
      </c>
      <c r="D1758">
        <v>-0.189189189189189</v>
      </c>
      <c r="E1758">
        <v>0.677383282079955</v>
      </c>
      <c r="F1758">
        <v>-0.117647058823529</v>
      </c>
      <c r="G1758">
        <v>0.449547687434569</v>
      </c>
      <c r="H1758">
        <v>-0.133128922992952</v>
      </c>
      <c r="I1758">
        <v>0.364842663970681</v>
      </c>
    </row>
    <row r="1759" spans="1:9">
      <c r="A1759" s="8" t="s">
        <v>1771</v>
      </c>
      <c r="B1759">
        <f>HYPERLINK("https://www.suredividend.com/sure-analysis-research-database/","Pro Farm Group Inc")</f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</row>
    <row r="1760" spans="1:9">
      <c r="A1760" s="8" t="s">
        <v>1772</v>
      </c>
      <c r="B1760">
        <f>HYPERLINK("https://www.suredividend.com/sure-analysis-research-database/","Merchants Bancorp")</f>
        <v>0</v>
      </c>
      <c r="C1760">
        <v>-0.145137263247499</v>
      </c>
      <c r="D1760">
        <v>-0.10884038326297</v>
      </c>
      <c r="E1760">
        <v>0.121803822566772</v>
      </c>
      <c r="F1760">
        <v>-0.05254070985150001</v>
      </c>
      <c r="G1760">
        <v>0.5013118258672621</v>
      </c>
      <c r="H1760">
        <v>0.602351871205533</v>
      </c>
      <c r="I1760">
        <v>2.601301740136091</v>
      </c>
    </row>
    <row r="1761" spans="1:9">
      <c r="A1761" s="8" t="s">
        <v>1773</v>
      </c>
      <c r="B1761">
        <f>HYPERLINK("https://www.suredividend.com/sure-analysis-research-database/","Mustang Bio Inc")</f>
        <v>0</v>
      </c>
      <c r="C1761">
        <v>-0.4771126760563381</v>
      </c>
      <c r="D1761">
        <v>-0.8931654676258991</v>
      </c>
      <c r="E1761">
        <v>-0.9041935483870961</v>
      </c>
      <c r="F1761">
        <v>-0.89</v>
      </c>
      <c r="G1761">
        <v>-0.97549504950495</v>
      </c>
      <c r="H1761">
        <v>-0.9848854961832061</v>
      </c>
      <c r="I1761">
        <v>-0.9969908814589661</v>
      </c>
    </row>
    <row r="1762" spans="1:9">
      <c r="A1762" s="8" t="s">
        <v>1774</v>
      </c>
      <c r="B1762">
        <f>HYPERLINK("https://www.suredividend.com/sure-analysis-research-database/","Microbot Medical Inc")</f>
        <v>0</v>
      </c>
      <c r="C1762">
        <v>0.133501259445844</v>
      </c>
      <c r="D1762">
        <v>-0.15625</v>
      </c>
      <c r="E1762">
        <v>-0.114754098360655</v>
      </c>
      <c r="F1762">
        <v>-0.341463414634146</v>
      </c>
      <c r="G1762">
        <v>-0.592452830188679</v>
      </c>
      <c r="H1762">
        <v>-0.8121739130434781</v>
      </c>
      <c r="I1762">
        <v>-0.782696177062374</v>
      </c>
    </row>
    <row r="1763" spans="1:9">
      <c r="A1763" s="8" t="s">
        <v>1775</v>
      </c>
      <c r="B1763">
        <f>HYPERLINK("https://www.suredividend.com/sure-analysis-research-database/","Malibu Boats Inc")</f>
        <v>0</v>
      </c>
      <c r="C1763">
        <v>0.065021770682147</v>
      </c>
      <c r="D1763">
        <v>-0.121408045977011</v>
      </c>
      <c r="E1763">
        <v>-0.219610762522599</v>
      </c>
      <c r="F1763">
        <v>-0.330718715797154</v>
      </c>
      <c r="G1763">
        <v>-0.39435457246616</v>
      </c>
      <c r="H1763">
        <v>-0.378030174605865</v>
      </c>
      <c r="I1763">
        <v>-0.018721583311045</v>
      </c>
    </row>
    <row r="1764" spans="1:9">
      <c r="A1764" s="8" t="s">
        <v>1776</v>
      </c>
      <c r="B1764">
        <f>HYPERLINK("https://www.suredividend.com/sure-analysis-research-database/","Mercantile Bank Corp.")</f>
        <v>0</v>
      </c>
      <c r="C1764">
        <v>-0.061011064075676</v>
      </c>
      <c r="D1764">
        <v>-0.004024943155544</v>
      </c>
      <c r="E1764">
        <v>0.012646958998926</v>
      </c>
      <c r="F1764">
        <v>-0.063588514038454</v>
      </c>
      <c r="G1764">
        <v>0.258213820303561</v>
      </c>
      <c r="H1764">
        <v>0.269190402967952</v>
      </c>
      <c r="I1764">
        <v>0.4846114315080221</v>
      </c>
    </row>
    <row r="1765" spans="1:9">
      <c r="A1765" s="8" t="s">
        <v>1777</v>
      </c>
      <c r="B1765">
        <f>HYPERLINK("https://www.suredividend.com/sure-analysis-research-database/","Moelis &amp; Co")</f>
        <v>0</v>
      </c>
      <c r="C1765">
        <v>0.039784739573323</v>
      </c>
      <c r="D1765">
        <v>0.048528861677529</v>
      </c>
      <c r="E1765">
        <v>0.048561377666224</v>
      </c>
      <c r="F1765">
        <v>-0.014394216807766</v>
      </c>
      <c r="G1765">
        <v>0.358664942175119</v>
      </c>
      <c r="H1765">
        <v>0.319016759558604</v>
      </c>
      <c r="I1765">
        <v>1.324602110618404</v>
      </c>
    </row>
    <row r="1766" spans="1:9">
      <c r="A1766" s="8" t="s">
        <v>1778</v>
      </c>
      <c r="B1766">
        <f>HYPERLINK("https://www.suredividend.com/sure-analysis-research-database/","Metropolitan Bank Holding Corp")</f>
        <v>0</v>
      </c>
      <c r="C1766">
        <v>-0.053030303030303</v>
      </c>
      <c r="D1766">
        <v>0.004268139593271001</v>
      </c>
      <c r="E1766">
        <v>-0.133073255309926</v>
      </c>
      <c r="F1766">
        <v>-0.277717587576742</v>
      </c>
      <c r="G1766">
        <v>0.112656467315716</v>
      </c>
      <c r="H1766">
        <v>-0.4899260392756951</v>
      </c>
      <c r="I1766">
        <v>0.030927835051546</v>
      </c>
    </row>
    <row r="1767" spans="1:9">
      <c r="A1767" s="8" t="s">
        <v>1779</v>
      </c>
      <c r="B1767">
        <f>HYPERLINK("https://www.suredividend.com/sure-analysis-research-database/","Macatawa Bank Corp.")</f>
        <v>0</v>
      </c>
      <c r="C1767">
        <v>-0.027717825880821</v>
      </c>
      <c r="D1767">
        <v>0.401140083415763</v>
      </c>
      <c r="E1767">
        <v>0.364760570934771</v>
      </c>
      <c r="F1767">
        <v>0.255861142340069</v>
      </c>
      <c r="G1767">
        <v>0.497139743938981</v>
      </c>
      <c r="H1767">
        <v>0.6634986742859911</v>
      </c>
      <c r="I1767">
        <v>0.664425627793727</v>
      </c>
    </row>
    <row r="1768" spans="1:9">
      <c r="A1768" s="8" t="s">
        <v>1780</v>
      </c>
      <c r="B1768">
        <f>HYPERLINK("https://www.suredividend.com/sure-analysis-MCD/","McDonald`s Corp")</f>
        <v>0</v>
      </c>
      <c r="C1768">
        <v>-0.035987274926676</v>
      </c>
      <c r="D1768">
        <v>-0.114171935213299</v>
      </c>
      <c r="E1768">
        <v>-0.09571238988028001</v>
      </c>
      <c r="F1768">
        <v>-0.125356270271432</v>
      </c>
      <c r="G1768">
        <v>-0.06953788852177001</v>
      </c>
      <c r="H1768">
        <v>0.07722955109619101</v>
      </c>
      <c r="I1768">
        <v>0.399721159330345</v>
      </c>
    </row>
    <row r="1769" spans="1:9">
      <c r="A1769" s="8" t="s">
        <v>1781</v>
      </c>
      <c r="B1769">
        <f>HYPERLINK("https://www.suredividend.com/sure-analysis-research-database/","Contango Oil &amp; Gas Company")</f>
        <v>0</v>
      </c>
      <c r="C1769">
        <v>-0.21654501216545</v>
      </c>
      <c r="D1769">
        <v>-0.125</v>
      </c>
      <c r="E1769">
        <v>-0.427046263345195</v>
      </c>
      <c r="F1769">
        <v>0.406113537117904</v>
      </c>
      <c r="G1769">
        <v>1</v>
      </c>
      <c r="H1769">
        <v>0.032051282051282</v>
      </c>
      <c r="I1769">
        <v>-0.655246252676659</v>
      </c>
    </row>
    <row r="1770" spans="1:9">
      <c r="A1770" s="8" t="s">
        <v>1782</v>
      </c>
      <c r="B1770">
        <f>HYPERLINK("https://www.suredividend.com/sure-analysis-research-database/","MasterCraft Boat Holdings Inc")</f>
        <v>0</v>
      </c>
      <c r="C1770">
        <v>0.027888446215139</v>
      </c>
      <c r="D1770">
        <v>-0.022264329701563</v>
      </c>
      <c r="E1770">
        <v>-0.017610661589719</v>
      </c>
      <c r="F1770">
        <v>-0.08833922261484001</v>
      </c>
      <c r="G1770">
        <v>-0.314968469963491</v>
      </c>
      <c r="H1770">
        <v>-0.14356846473029</v>
      </c>
      <c r="I1770">
        <v>-0.006259027443427</v>
      </c>
    </row>
    <row r="1771" spans="1:9">
      <c r="A1771" s="8" t="s">
        <v>1783</v>
      </c>
      <c r="B1771">
        <f>HYPERLINK("https://www.suredividend.com/sure-analysis-MCHP/","Microchip Technology, Inc.")</f>
        <v>0</v>
      </c>
      <c r="C1771">
        <v>0.018099919626576</v>
      </c>
      <c r="D1771">
        <v>0.004137674466893</v>
      </c>
      <c r="E1771">
        <v>0.09817325945156301</v>
      </c>
      <c r="F1771">
        <v>0.04495618724354401</v>
      </c>
      <c r="G1771">
        <v>0.187920441955021</v>
      </c>
      <c r="H1771">
        <v>0.392436005680718</v>
      </c>
      <c r="I1771">
        <v>3.901106905889246</v>
      </c>
    </row>
    <row r="1772" spans="1:9">
      <c r="A1772" s="8" t="s">
        <v>1784</v>
      </c>
      <c r="B1772">
        <f>HYPERLINK("https://www.suredividend.com/sure-analysis-research-database/","Marchex Inc")</f>
        <v>0</v>
      </c>
      <c r="C1772">
        <v>0.220149253731343</v>
      </c>
      <c r="D1772">
        <v>0.184782608695652</v>
      </c>
      <c r="E1772">
        <v>0.184696761104267</v>
      </c>
      <c r="F1772">
        <v>0.202205882352941</v>
      </c>
      <c r="G1772">
        <v>-0.186567164179104</v>
      </c>
      <c r="H1772">
        <v>-0.161538461538461</v>
      </c>
      <c r="I1772">
        <v>-0.622401847575057</v>
      </c>
    </row>
    <row r="1773" spans="1:9">
      <c r="A1773" s="8" t="s">
        <v>1785</v>
      </c>
      <c r="B1773">
        <f>HYPERLINK("https://www.suredividend.com/sure-analysis-MCK/","Mckesson Corporation")</f>
        <v>0</v>
      </c>
      <c r="C1773">
        <v>0.07657277487045401</v>
      </c>
      <c r="D1773">
        <v>0.111753693422316</v>
      </c>
      <c r="E1773">
        <v>0.290953799075326</v>
      </c>
      <c r="F1773">
        <v>0.270542951993652</v>
      </c>
      <c r="G1773">
        <v>0.53164774659359</v>
      </c>
      <c r="H1773">
        <v>0.8422044680599281</v>
      </c>
      <c r="I1773">
        <v>3.679510537071307</v>
      </c>
    </row>
    <row r="1774" spans="1:9">
      <c r="A1774" s="8" t="s">
        <v>1786</v>
      </c>
      <c r="B1774">
        <f>HYPERLINK("https://www.suredividend.com/sure-analysis-MCO/","Moody`s Corp.")</f>
        <v>0</v>
      </c>
      <c r="C1774">
        <v>0.026826706142392</v>
      </c>
      <c r="D1774">
        <v>0.033093805019858</v>
      </c>
      <c r="E1774">
        <v>0.08809235605012501</v>
      </c>
      <c r="F1774">
        <v>0.038139608561964</v>
      </c>
      <c r="G1774">
        <v>0.243622851731629</v>
      </c>
      <c r="H1774">
        <v>0.424885050919257</v>
      </c>
      <c r="I1774">
        <v>1.226071114066707</v>
      </c>
    </row>
    <row r="1775" spans="1:9">
      <c r="A1775" s="8" t="s">
        <v>1787</v>
      </c>
      <c r="B1775">
        <f>HYPERLINK("https://www.suredividend.com/sure-analysis-research-database/","Seres Therapeutics Inc")</f>
        <v>0</v>
      </c>
      <c r="C1775">
        <v>-0.4468468468468461</v>
      </c>
      <c r="D1775">
        <v>-0.373469387755102</v>
      </c>
      <c r="E1775">
        <v>-0.4418181818181811</v>
      </c>
      <c r="F1775">
        <v>-0.5614285714285711</v>
      </c>
      <c r="G1775">
        <v>-0.885447761194029</v>
      </c>
      <c r="H1775">
        <v>-0.852403846153846</v>
      </c>
      <c r="I1775">
        <v>-0.811076923076923</v>
      </c>
    </row>
    <row r="1776" spans="1:9">
      <c r="A1776" s="8" t="s">
        <v>1788</v>
      </c>
      <c r="B1776">
        <f>HYPERLINK("https://www.suredividend.com/sure-analysis-research-database/","Monarch Casino &amp; Resort, Inc.")</f>
        <v>0</v>
      </c>
      <c r="C1776">
        <v>-0.019150066673204</v>
      </c>
      <c r="D1776">
        <v>-0.033450600108756</v>
      </c>
      <c r="E1776">
        <v>0.06495747957414401</v>
      </c>
      <c r="F1776">
        <v>-0.013585464480391</v>
      </c>
      <c r="G1776">
        <v>-0.005263892311391001</v>
      </c>
      <c r="H1776">
        <v>0.093132400992481</v>
      </c>
      <c r="I1776">
        <v>0.7434130934199881</v>
      </c>
    </row>
    <row r="1777" spans="1:9">
      <c r="A1777" s="8" t="s">
        <v>1789</v>
      </c>
      <c r="B1777">
        <f>HYPERLINK("https://www.suredividend.com/sure-analysis-research-database/","Marcus Corp.")</f>
        <v>0</v>
      </c>
      <c r="C1777">
        <v>-0.07473309608540901</v>
      </c>
      <c r="D1777">
        <v>-0.279279279279279</v>
      </c>
      <c r="E1777">
        <v>-0.256239719659586</v>
      </c>
      <c r="F1777">
        <v>-0.283272687176094</v>
      </c>
      <c r="G1777">
        <v>-0.348109517601043</v>
      </c>
      <c r="H1777">
        <v>-0.310376839271386</v>
      </c>
      <c r="I1777">
        <v>-0.6846200733258331</v>
      </c>
    </row>
    <row r="1778" spans="1:9">
      <c r="A1778" s="8" t="s">
        <v>1790</v>
      </c>
      <c r="B1778">
        <f>HYPERLINK("https://www.suredividend.com/sure-analysis-MCY/","Mercury General Corp.")</f>
        <v>0</v>
      </c>
      <c r="C1778">
        <v>-0.012421242124212</v>
      </c>
      <c r="D1778">
        <v>0.154208674869136</v>
      </c>
      <c r="E1778">
        <v>0.423877327491785</v>
      </c>
      <c r="F1778">
        <v>0.4802702586020801</v>
      </c>
      <c r="G1778">
        <v>0.8182481050248741</v>
      </c>
      <c r="H1778">
        <v>0.229270347606104</v>
      </c>
      <c r="I1778">
        <v>0.146698382373535</v>
      </c>
    </row>
    <row r="1779" spans="1:9">
      <c r="A1779" s="8" t="s">
        <v>1791</v>
      </c>
      <c r="B1779">
        <f>HYPERLINK("https://www.suredividend.com/sure-analysis-research-database/","Pediatrix Medical Group Inc")</f>
        <v>0</v>
      </c>
      <c r="C1779">
        <v>-0.213259668508287</v>
      </c>
      <c r="D1779">
        <v>-0.191827468785471</v>
      </c>
      <c r="E1779">
        <v>-0.237687366167023</v>
      </c>
      <c r="F1779">
        <v>-0.234408602150537</v>
      </c>
      <c r="G1779">
        <v>-0.500350877192982</v>
      </c>
      <c r="H1779">
        <v>-0.6506378802747791</v>
      </c>
      <c r="I1779">
        <v>-0.7300985595147841</v>
      </c>
    </row>
    <row r="1780" spans="1:9">
      <c r="A1780" s="8" t="s">
        <v>1792</v>
      </c>
      <c r="B1780">
        <f>HYPERLINK("https://www.suredividend.com/sure-analysis-research-database/","MongoDB Inc")</f>
        <v>0</v>
      </c>
      <c r="C1780">
        <v>-0.3610649855056141</v>
      </c>
      <c r="D1780">
        <v>-0.4489939564573671</v>
      </c>
      <c r="E1780">
        <v>-0.409171351238809</v>
      </c>
      <c r="F1780">
        <v>-0.444735232970527</v>
      </c>
      <c r="G1780">
        <v>-0.38403516388105</v>
      </c>
      <c r="H1780">
        <v>-0.231976724517067</v>
      </c>
      <c r="I1780">
        <v>0.335647467200094</v>
      </c>
    </row>
    <row r="1781" spans="1:9">
      <c r="A1781" s="8" t="s">
        <v>1793</v>
      </c>
      <c r="B1781">
        <f>HYPERLINK("https://www.suredividend.com/sure-analysis-MDC/","M.D.C. Holdings, Inc.")</f>
        <v>0</v>
      </c>
      <c r="C1781">
        <v>0.003505417463352</v>
      </c>
      <c r="D1781">
        <v>0.011077219457376</v>
      </c>
      <c r="E1781">
        <v>0.6863966325620751</v>
      </c>
      <c r="F1781">
        <v>0.149975167255835</v>
      </c>
      <c r="G1781">
        <v>0.654377480712501</v>
      </c>
      <c r="H1781">
        <v>0.920092681514001</v>
      </c>
      <c r="I1781">
        <v>1.664083518045379</v>
      </c>
    </row>
    <row r="1782" spans="1:9">
      <c r="A1782" s="8" t="s">
        <v>1794</v>
      </c>
      <c r="B1782">
        <f>HYPERLINK("https://www.suredividend.com/sure-analysis-research-database/","Madrigal Pharmaceuticals Inc")</f>
        <v>0</v>
      </c>
      <c r="C1782">
        <v>0.121031381904936</v>
      </c>
      <c r="D1782">
        <v>-0.026650201171174</v>
      </c>
      <c r="E1782">
        <v>0.037052756674164</v>
      </c>
      <c r="F1782">
        <v>0.056011755553634</v>
      </c>
      <c r="G1782">
        <v>-0.116247106481481</v>
      </c>
      <c r="H1782">
        <v>2.335699658703072</v>
      </c>
      <c r="I1782">
        <v>1.568215261719571</v>
      </c>
    </row>
    <row r="1783" spans="1:9">
      <c r="A1783" s="8" t="s">
        <v>1795</v>
      </c>
      <c r="B1783">
        <f>HYPERLINK("https://www.suredividend.com/sure-analysis-research-database/","Medley Management Inc")</f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</row>
    <row r="1784" spans="1:9">
      <c r="A1784" s="8" t="s">
        <v>1796</v>
      </c>
      <c r="B1784">
        <f>HYPERLINK("https://www.suredividend.com/sure-analysis-MDLZ/","Mondelez International Inc.")</f>
        <v>0</v>
      </c>
      <c r="C1784">
        <v>-0.043447594865284</v>
      </c>
      <c r="D1784">
        <v>-0.03323168080249801</v>
      </c>
      <c r="E1784">
        <v>-0.030084404541053</v>
      </c>
      <c r="F1784">
        <v>-0.05231882113548401</v>
      </c>
      <c r="G1784">
        <v>-0.021736464661474</v>
      </c>
      <c r="H1784">
        <v>0.143372620432663</v>
      </c>
      <c r="I1784">
        <v>0.428108099000892</v>
      </c>
    </row>
    <row r="1785" spans="1:9">
      <c r="A1785" s="8" t="s">
        <v>1797</v>
      </c>
      <c r="B1785">
        <f>HYPERLINK("https://www.suredividend.com/sure-analysis-research-database/","Meredith Holdings Corp")</f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</row>
    <row r="1786" spans="1:9">
      <c r="A1786" s="8" t="s">
        <v>1798</v>
      </c>
      <c r="B1786">
        <f>HYPERLINK("https://www.suredividend.com/sure-analysis-research-database/","Veradigm Inc")</f>
        <v>0</v>
      </c>
      <c r="C1786">
        <v>0.25832223701731</v>
      </c>
      <c r="D1786">
        <v>0.26</v>
      </c>
      <c r="E1786">
        <v>0.5776293823038391</v>
      </c>
      <c r="F1786">
        <v>0.5776293823038391</v>
      </c>
      <c r="G1786">
        <v>0.5776293823038391</v>
      </c>
      <c r="H1786">
        <v>0.5776293823038391</v>
      </c>
      <c r="I1786">
        <v>0.5776293823038391</v>
      </c>
    </row>
    <row r="1787" spans="1:9">
      <c r="A1787" s="8" t="s">
        <v>1799</v>
      </c>
      <c r="B1787">
        <f>HYPERLINK("https://www.suredividend.com/sure-analysis-MDT/","Medtronic Plc")</f>
        <v>0</v>
      </c>
      <c r="C1787">
        <v>0.026495726495726</v>
      </c>
      <c r="D1787">
        <v>-0.004510313093170001</v>
      </c>
      <c r="E1787">
        <v>0.07449508827807201</v>
      </c>
      <c r="F1787">
        <v>0.028963228058494</v>
      </c>
      <c r="G1787">
        <v>0.048194243222957</v>
      </c>
      <c r="H1787">
        <v>-0.06913141446184601</v>
      </c>
      <c r="I1787">
        <v>-0.012245013053357</v>
      </c>
    </row>
    <row r="1788" spans="1:9">
      <c r="A1788" s="8" t="s">
        <v>1800</v>
      </c>
      <c r="B1788">
        <f>HYPERLINK("https://www.suredividend.com/sure-analysis-MDU/","MDU Resources Group Inc")</f>
        <v>0</v>
      </c>
      <c r="C1788">
        <v>-0.036614173228346</v>
      </c>
      <c r="D1788">
        <v>0.110793352489638</v>
      </c>
      <c r="E1788">
        <v>0.291817783479303</v>
      </c>
      <c r="F1788">
        <v>0.242630293366375</v>
      </c>
      <c r="G1788">
        <v>0.197308868501528</v>
      </c>
      <c r="H1788">
        <v>0.340381244522348</v>
      </c>
      <c r="I1788">
        <v>0.595124018121964</v>
      </c>
    </row>
    <row r="1789" spans="1:9">
      <c r="A1789" s="8" t="s">
        <v>1801</v>
      </c>
      <c r="B1789">
        <f>HYPERLINK("https://www.suredividend.com/sure-analysis-research-database/","Medifast Inc")</f>
        <v>0</v>
      </c>
      <c r="C1789">
        <v>-0.15876127009016</v>
      </c>
      <c r="D1789">
        <v>-0.436597532160672</v>
      </c>
      <c r="E1789">
        <v>-0.713713980789754</v>
      </c>
      <c r="F1789">
        <v>-0.680749776852127</v>
      </c>
      <c r="G1789">
        <v>-0.730861844085482</v>
      </c>
      <c r="H1789">
        <v>-0.8756769407953431</v>
      </c>
      <c r="I1789">
        <v>-0.8105880068491941</v>
      </c>
    </row>
    <row r="1790" spans="1:9">
      <c r="A1790" s="8" t="s">
        <v>1802</v>
      </c>
      <c r="B1790">
        <f>HYPERLINK("https://www.suredividend.com/sure-analysis-research-database/","Medpace Holdings Inc")</f>
        <v>0</v>
      </c>
      <c r="C1790">
        <v>-0.002263118627207</v>
      </c>
      <c r="D1790">
        <v>-0.020603959670922</v>
      </c>
      <c r="E1790">
        <v>0.4254396873334511</v>
      </c>
      <c r="F1790">
        <v>0.308811535575637</v>
      </c>
      <c r="G1790">
        <v>0.805129358830146</v>
      </c>
      <c r="H1790">
        <v>1.659176774706701</v>
      </c>
      <c r="I1790">
        <v>6.267934782608696</v>
      </c>
    </row>
    <row r="1791" spans="1:9">
      <c r="A1791" s="8" t="s">
        <v>1803</v>
      </c>
      <c r="B1791">
        <f>HYPERLINK("https://www.suredividend.com/sure-analysis-research-database/","Methode Electronics, Inc.")</f>
        <v>0</v>
      </c>
      <c r="C1791">
        <v>-0.003521126760563</v>
      </c>
      <c r="D1791">
        <v>-0.209723473027973</v>
      </c>
      <c r="E1791">
        <v>-0.479039628884767</v>
      </c>
      <c r="F1791">
        <v>-0.4927929098542451</v>
      </c>
      <c r="G1791">
        <v>-0.7485020095400381</v>
      </c>
      <c r="H1791">
        <v>-0.7441258575287351</v>
      </c>
      <c r="I1791">
        <v>-0.519712166726066</v>
      </c>
    </row>
    <row r="1792" spans="1:9">
      <c r="A1792" s="8" t="s">
        <v>1804</v>
      </c>
      <c r="B1792">
        <f>HYPERLINK("https://www.suredividend.com/sure-analysis-research-database/","MEI Pharma Inc")</f>
        <v>0</v>
      </c>
      <c r="C1792">
        <v>-0.083067092651757</v>
      </c>
      <c r="D1792">
        <v>-0.189265536723163</v>
      </c>
      <c r="E1792">
        <v>-0.5735512630014851</v>
      </c>
      <c r="F1792">
        <v>-0.5051724137931031</v>
      </c>
      <c r="G1792">
        <v>-0.345570630486831</v>
      </c>
      <c r="H1792">
        <v>-0.618482971313109</v>
      </c>
      <c r="I1792">
        <v>-0.9089978026298681</v>
      </c>
    </row>
    <row r="1793" spans="1:9">
      <c r="A1793" s="8" t="s">
        <v>1805</v>
      </c>
      <c r="B1793">
        <f>HYPERLINK("https://www.suredividend.com/sure-analysis-research-database/","Mercer International Inc.")</f>
        <v>0</v>
      </c>
      <c r="C1793">
        <v>-0.15047619047619</v>
      </c>
      <c r="D1793">
        <v>-0.08787860195922001</v>
      </c>
      <c r="E1793">
        <v>0.024027919684985</v>
      </c>
      <c r="F1793">
        <v>-0.04457916497075801</v>
      </c>
      <c r="G1793">
        <v>0.018229969293289</v>
      </c>
      <c r="H1793">
        <v>-0.39058550249368</v>
      </c>
      <c r="I1793">
        <v>-0.281641593918113</v>
      </c>
    </row>
    <row r="1794" spans="1:9">
      <c r="A1794" s="8" t="s">
        <v>1806</v>
      </c>
      <c r="B1794">
        <f>HYPERLINK("https://www.suredividend.com/sure-analysis-research-database/","Mesa Air Group Inc.")</f>
        <v>0</v>
      </c>
      <c r="C1794">
        <v>0.556352696135153</v>
      </c>
      <c r="D1794">
        <v>0.545977011494252</v>
      </c>
      <c r="E1794">
        <v>0.08467741935483801</v>
      </c>
      <c r="F1794">
        <v>0.331683168316831</v>
      </c>
      <c r="G1794">
        <v>-0.252777777777777</v>
      </c>
      <c r="H1794">
        <v>-0.6055718475073311</v>
      </c>
      <c r="I1794">
        <v>-0.867487684729064</v>
      </c>
    </row>
    <row r="1795" spans="1:9">
      <c r="A1795" s="8" t="s">
        <v>1807</v>
      </c>
      <c r="B1795">
        <f>HYPERLINK("https://www.suredividend.com/sure-analysis-MET/","Metlife Inc")</f>
        <v>0</v>
      </c>
      <c r="C1795">
        <v>-0.016980072972214</v>
      </c>
      <c r="D1795">
        <v>-0.010850287495904</v>
      </c>
      <c r="E1795">
        <v>0.121282600031053</v>
      </c>
      <c r="F1795">
        <v>0.07601207345452801</v>
      </c>
      <c r="G1795">
        <v>0.319427701766017</v>
      </c>
      <c r="H1795">
        <v>0.103304242641881</v>
      </c>
      <c r="I1795">
        <v>0.7292837728750541</v>
      </c>
    </row>
    <row r="1796" spans="1:9">
      <c r="A1796" s="8" t="s">
        <v>1808</v>
      </c>
      <c r="B1796">
        <f>HYPERLINK("https://www.suredividend.com/sure-analysis-research-database/","MFA Financial Inc")</f>
        <v>0</v>
      </c>
      <c r="C1796">
        <v>-0.015962441314553</v>
      </c>
      <c r="D1796">
        <v>-0.03453739785718801</v>
      </c>
      <c r="E1796">
        <v>0.014982615517224</v>
      </c>
      <c r="F1796">
        <v>-0.040539055919727</v>
      </c>
      <c r="G1796">
        <v>0.061222836543329</v>
      </c>
      <c r="H1796">
        <v>-0.005230135451965</v>
      </c>
      <c r="I1796">
        <v>-0.31095696768467</v>
      </c>
    </row>
    <row r="1797" spans="1:9">
      <c r="A1797" s="8" t="s">
        <v>1809</v>
      </c>
      <c r="B1797">
        <f>HYPERLINK("https://www.suredividend.com/sure-analysis-research-database/","Mackinac Financial Corp.")</f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</row>
    <row r="1798" spans="1:9">
      <c r="A1798" s="8" t="s">
        <v>1810</v>
      </c>
      <c r="B1798">
        <f>HYPERLINK("https://www.suredividend.com/sure-analysis-research-database/","Mistras Group Inc")</f>
        <v>0</v>
      </c>
      <c r="C1798">
        <v>-0.05568181818181801</v>
      </c>
      <c r="D1798">
        <v>-0.06942889137737901</v>
      </c>
      <c r="E1798">
        <v>0.261001517450683</v>
      </c>
      <c r="F1798">
        <v>0.135245901639344</v>
      </c>
      <c r="G1798">
        <v>0.141483516483516</v>
      </c>
      <c r="H1798">
        <v>0.325358851674641</v>
      </c>
      <c r="I1798">
        <v>-0.396952104499274</v>
      </c>
    </row>
    <row r="1799" spans="1:9">
      <c r="A1799" s="8" t="s">
        <v>1811</v>
      </c>
      <c r="B1799">
        <f>HYPERLINK("https://www.suredividend.com/sure-analysis-MGEE/","MGE Energy, Inc.")</f>
        <v>0</v>
      </c>
      <c r="C1799">
        <v>-0.024010978766689</v>
      </c>
      <c r="D1799">
        <v>-0.026819070552139</v>
      </c>
      <c r="E1799">
        <v>0.07294491658358701</v>
      </c>
      <c r="F1799">
        <v>0.09060295674579401</v>
      </c>
      <c r="G1799">
        <v>0.032231928228021</v>
      </c>
      <c r="H1799">
        <v>0.023764099207331</v>
      </c>
      <c r="I1799">
        <v>0.265789469355393</v>
      </c>
    </row>
    <row r="1800" spans="1:9">
      <c r="A1800" s="8" t="s">
        <v>1812</v>
      </c>
      <c r="B1800">
        <f>HYPERLINK("https://www.suredividend.com/sure-analysis-research-database/","Moneygram International Inc.")</f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</row>
    <row r="1801" spans="1:9">
      <c r="A1801" s="8" t="s">
        <v>1813</v>
      </c>
      <c r="B1801">
        <f>HYPERLINK("https://www.suredividend.com/sure-analysis-research-database/","Magellan Health Inc")</f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</row>
    <row r="1802" spans="1:9">
      <c r="A1802" s="8" t="s">
        <v>1814</v>
      </c>
      <c r="B1802">
        <f>HYPERLINK("https://www.suredividend.com/sure-analysis-research-database/","MGM Resorts International")</f>
        <v>0</v>
      </c>
      <c r="C1802">
        <v>0.001230314960629</v>
      </c>
      <c r="D1802">
        <v>-0.051736192029829</v>
      </c>
      <c r="E1802">
        <v>0.022104998744034</v>
      </c>
      <c r="F1802">
        <v>-0.08930170098478001</v>
      </c>
      <c r="G1802">
        <v>-0.020226342403082</v>
      </c>
      <c r="H1802">
        <v>0.146765720469866</v>
      </c>
      <c r="I1802">
        <v>0.5746416519612391</v>
      </c>
    </row>
    <row r="1803" spans="1:9">
      <c r="A1803" s="8" t="s">
        <v>1815</v>
      </c>
      <c r="B1803">
        <f>HYPERLINK("https://www.suredividend.com/sure-analysis-research-database/","Macrogenics Inc")</f>
        <v>0</v>
      </c>
      <c r="C1803">
        <v>-0.717757009345794</v>
      </c>
      <c r="D1803">
        <v>-0.779132130667966</v>
      </c>
      <c r="E1803">
        <v>-0.4927211646136611</v>
      </c>
      <c r="F1803">
        <v>-0.529106029106029</v>
      </c>
      <c r="G1803">
        <v>-0.137142857142857</v>
      </c>
      <c r="H1803">
        <v>0.385321100917431</v>
      </c>
      <c r="I1803">
        <v>-0.696177062374245</v>
      </c>
    </row>
    <row r="1804" spans="1:9">
      <c r="A1804" s="8" t="s">
        <v>1816</v>
      </c>
      <c r="B1804">
        <f>HYPERLINK("https://www.suredividend.com/sure-analysis-research-database/","MGP Ingredients, Inc.")</f>
        <v>0</v>
      </c>
      <c r="C1804">
        <v>-0.092087231126735</v>
      </c>
      <c r="D1804">
        <v>-0.124197720088131</v>
      </c>
      <c r="E1804">
        <v>-0.148920325025396</v>
      </c>
      <c r="F1804">
        <v>-0.253274962046071</v>
      </c>
      <c r="G1804">
        <v>-0.278028942017254</v>
      </c>
      <c r="H1804">
        <v>-0.244260658776557</v>
      </c>
      <c r="I1804">
        <v>0.189216083196347</v>
      </c>
    </row>
    <row r="1805" spans="1:9">
      <c r="A1805" s="8" t="s">
        <v>1817</v>
      </c>
      <c r="B1805">
        <f>HYPERLINK("https://www.suredividend.com/sure-analysis-MGRC/","McGrath Rentcorp")</f>
        <v>0</v>
      </c>
      <c r="C1805">
        <v>-0.04166666666666601</v>
      </c>
      <c r="D1805">
        <v>-0.134347835376526</v>
      </c>
      <c r="E1805">
        <v>0.058295675796233</v>
      </c>
      <c r="F1805">
        <v>-0.1044923302922</v>
      </c>
      <c r="G1805">
        <v>0.108353263139731</v>
      </c>
      <c r="H1805">
        <v>0.341779214013402</v>
      </c>
      <c r="I1805">
        <v>1.041468911881954</v>
      </c>
    </row>
    <row r="1806" spans="1:9">
      <c r="A1806" s="8" t="s">
        <v>1818</v>
      </c>
      <c r="B1806">
        <f>HYPERLINK("https://www.suredividend.com/sure-analysis-research-database/","Magnolia Oil &amp; Gas Corp")</f>
        <v>0</v>
      </c>
      <c r="C1806">
        <v>-0.05544259817554301</v>
      </c>
      <c r="D1806">
        <v>0.025222589564291</v>
      </c>
      <c r="E1806">
        <v>0.199301684957047</v>
      </c>
      <c r="F1806">
        <v>0.151980694228695</v>
      </c>
      <c r="G1806">
        <v>0.17892996912905</v>
      </c>
      <c r="H1806">
        <v>-0.150208155198273</v>
      </c>
      <c r="I1806">
        <v>1.197911757241779</v>
      </c>
    </row>
    <row r="1807" spans="1:9">
      <c r="A1807" s="8" t="s">
        <v>1819</v>
      </c>
      <c r="B1807">
        <f>HYPERLINK("https://www.suredividend.com/sure-analysis-research-database/","Magyar Bancorp Inc.")</f>
        <v>0</v>
      </c>
      <c r="C1807">
        <v>0.007339449541284001</v>
      </c>
      <c r="D1807">
        <v>-0.04070453175372801</v>
      </c>
      <c r="E1807">
        <v>0.10799410684373</v>
      </c>
      <c r="F1807">
        <v>-0.012936110536772</v>
      </c>
      <c r="G1807">
        <v>0.093930578248914</v>
      </c>
      <c r="H1807">
        <v>-0.035640886015914</v>
      </c>
      <c r="I1807">
        <v>0.06704502385788201</v>
      </c>
    </row>
    <row r="1808" spans="1:9">
      <c r="A1808" s="8" t="s">
        <v>1820</v>
      </c>
      <c r="B1808">
        <f>HYPERLINK("https://www.suredividend.com/sure-analysis-research-database/","Mastech Digital Inc")</f>
        <v>0</v>
      </c>
      <c r="C1808">
        <v>-0.123399301513387</v>
      </c>
      <c r="D1808">
        <v>-0.148190045248868</v>
      </c>
      <c r="E1808">
        <v>-0.052830188679245</v>
      </c>
      <c r="F1808">
        <v>-0.106549596582819</v>
      </c>
      <c r="G1808">
        <v>-0.28148854961832</v>
      </c>
      <c r="H1808">
        <v>-0.5493716337522441</v>
      </c>
      <c r="I1808">
        <v>0.453667953667953</v>
      </c>
    </row>
    <row r="1809" spans="1:9">
      <c r="A1809" s="8" t="s">
        <v>1821</v>
      </c>
      <c r="B1809">
        <f>HYPERLINK("https://www.suredividend.com/sure-analysis-research-database/","Mohawk Industries, Inc.")</f>
        <v>0</v>
      </c>
      <c r="C1809">
        <v>-0.039624079248158</v>
      </c>
      <c r="D1809">
        <v>-0.066880552813425</v>
      </c>
      <c r="E1809">
        <v>0.225210628645495</v>
      </c>
      <c r="F1809">
        <v>0.09594202898550701</v>
      </c>
      <c r="G1809">
        <v>0.120739057405394</v>
      </c>
      <c r="H1809">
        <v>-0.197807637906647</v>
      </c>
      <c r="I1809">
        <v>-0.228104797550186</v>
      </c>
    </row>
    <row r="1810" spans="1:9">
      <c r="A1810" s="8" t="s">
        <v>1822</v>
      </c>
      <c r="B1810">
        <f>HYPERLINK("https://www.suredividend.com/sure-analysis-research-database/","Maiden Holdings Ltd")</f>
        <v>0</v>
      </c>
      <c r="C1810">
        <v>-0.037558685446009</v>
      </c>
      <c r="D1810">
        <v>0.453900709219858</v>
      </c>
      <c r="E1810">
        <v>-0.08071748878923701</v>
      </c>
      <c r="F1810">
        <v>-0.104803493449781</v>
      </c>
      <c r="G1810">
        <v>-0.023809523809523</v>
      </c>
      <c r="H1810">
        <v>-0.18</v>
      </c>
      <c r="I1810">
        <v>2.504872627799624</v>
      </c>
    </row>
    <row r="1811" spans="1:9">
      <c r="A1811" s="8" t="s">
        <v>1823</v>
      </c>
      <c r="B1811">
        <f>HYPERLINK("https://www.suredividend.com/sure-analysis-research-database/","MI Homes Inc.")</f>
        <v>0</v>
      </c>
      <c r="C1811">
        <v>-0.007893880208333001</v>
      </c>
      <c r="D1811">
        <v>-0.039776307498424</v>
      </c>
      <c r="E1811">
        <v>0.07267927848658101</v>
      </c>
      <c r="F1811">
        <v>-0.114926673442718</v>
      </c>
      <c r="G1811">
        <v>0.6083113456464381</v>
      </c>
      <c r="H1811">
        <v>1.649641382308194</v>
      </c>
      <c r="I1811">
        <v>3.249215754618333</v>
      </c>
    </row>
    <row r="1812" spans="1:9">
      <c r="A1812" s="8" t="s">
        <v>1824</v>
      </c>
      <c r="B1812">
        <f>HYPERLINK("https://www.suredividend.com/sure-analysis-research-database/","Macquarie Infrastructure Holdings LLC")</f>
        <v>0</v>
      </c>
      <c r="C1812">
        <v>0.076315789473684</v>
      </c>
      <c r="D1812">
        <v>0.09066666666666601</v>
      </c>
      <c r="E1812">
        <v>0.139275766016713</v>
      </c>
      <c r="F1812">
        <v>0.120547945205479</v>
      </c>
      <c r="G1812">
        <v>0.247635897748764</v>
      </c>
      <c r="H1812">
        <v>0.247635897748764</v>
      </c>
      <c r="I1812">
        <v>0.247635897748764</v>
      </c>
    </row>
    <row r="1813" spans="1:9">
      <c r="A1813" s="8" t="s">
        <v>1825</v>
      </c>
      <c r="B1813">
        <f>HYPERLINK("https://www.suredividend.com/sure-analysis-research-database/","Micron Solutions Inc")</f>
        <v>0</v>
      </c>
      <c r="C1813">
        <v>0.284482758620689</v>
      </c>
      <c r="D1813">
        <v>0.191999999999999</v>
      </c>
      <c r="E1813">
        <v>-0.026143790849673</v>
      </c>
      <c r="F1813">
        <v>0.182539682539682</v>
      </c>
      <c r="G1813">
        <v>-0.337777777777777</v>
      </c>
      <c r="H1813">
        <v>-0.404</v>
      </c>
      <c r="I1813">
        <v>-0.038709677419354</v>
      </c>
    </row>
    <row r="1814" spans="1:9">
      <c r="A1814" s="8" t="s">
        <v>1826</v>
      </c>
      <c r="B1814">
        <f>HYPERLINK("https://www.suredividend.com/sure-analysis-research-database/","MICT Inc")</f>
        <v>0</v>
      </c>
      <c r="C1814">
        <v>-0.158090909090909</v>
      </c>
      <c r="D1814">
        <v>-0.287615384615384</v>
      </c>
      <c r="E1814">
        <v>0.08952941176470501</v>
      </c>
      <c r="F1814">
        <v>0.11578313253012</v>
      </c>
      <c r="G1814">
        <v>0.432482598607888</v>
      </c>
      <c r="H1814">
        <v>-0.6396498054474701</v>
      </c>
      <c r="I1814">
        <v>-0.237777777777777</v>
      </c>
    </row>
    <row r="1815" spans="1:9">
      <c r="A1815" s="8" t="s">
        <v>1827</v>
      </c>
      <c r="B1815">
        <f>HYPERLINK("https://www.suredividend.com/sure-analysis-research-database/","Middleby Corp.")</f>
        <v>0</v>
      </c>
      <c r="C1815">
        <v>-0.112388070224917</v>
      </c>
      <c r="D1815">
        <v>-0.185863027872987</v>
      </c>
      <c r="E1815">
        <v>-0.06359714370723001</v>
      </c>
      <c r="F1815">
        <v>-0.144594686417068</v>
      </c>
      <c r="G1815">
        <v>-0.126855319739214</v>
      </c>
      <c r="H1815">
        <v>-0.153396099529253</v>
      </c>
      <c r="I1815">
        <v>-0.058484780495101</v>
      </c>
    </row>
    <row r="1816" spans="1:9">
      <c r="A1816" s="8" t="s">
        <v>1828</v>
      </c>
      <c r="B1816">
        <f>HYPERLINK("https://www.suredividend.com/sure-analysis-research-database/","Michaels Companies Inc")</f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</row>
    <row r="1817" spans="1:9">
      <c r="A1817" s="8" t="s">
        <v>1829</v>
      </c>
      <c r="B1817">
        <f>HYPERLINK("https://www.suredividend.com/sure-analysis-research-database/","MIND Technology Inc")</f>
        <v>0</v>
      </c>
      <c r="C1817">
        <v>-0.100519930675909</v>
      </c>
      <c r="D1817">
        <v>-0.174880763116057</v>
      </c>
      <c r="E1817">
        <v>-0.029924674305153</v>
      </c>
      <c r="F1817">
        <v>-0.212443095599392</v>
      </c>
      <c r="G1817">
        <v>-0.9135000000000001</v>
      </c>
      <c r="H1817">
        <v>-0.9496116504854361</v>
      </c>
      <c r="I1817">
        <v>-0.9866923076923071</v>
      </c>
    </row>
    <row r="1818" spans="1:9">
      <c r="A1818" s="8" t="s">
        <v>1830</v>
      </c>
      <c r="B1818">
        <f>HYPERLINK("https://www.suredividend.com/sure-analysis-research-database/","Mitek Systems Inc")</f>
        <v>0</v>
      </c>
      <c r="C1818">
        <v>-0.08283582089552201</v>
      </c>
      <c r="D1818">
        <v>0.07430069930069901</v>
      </c>
      <c r="E1818">
        <v>0.150749063670411</v>
      </c>
      <c r="F1818">
        <v>-0.057515337423312</v>
      </c>
      <c r="G1818">
        <v>0.174952198852772</v>
      </c>
      <c r="H1818">
        <v>0.320085929108485</v>
      </c>
      <c r="I1818">
        <v>0.289611752360965</v>
      </c>
    </row>
    <row r="1819" spans="1:9">
      <c r="A1819" s="8" t="s">
        <v>1831</v>
      </c>
      <c r="B1819">
        <f>HYPERLINK("https://www.suredividend.com/sure-analysis-research-database/","AG Mortgage Investment Trust Inc")</f>
        <v>0</v>
      </c>
      <c r="C1819">
        <v>0</v>
      </c>
      <c r="D1819">
        <v>0.162154771670768</v>
      </c>
      <c r="E1819">
        <v>0.232553924234185</v>
      </c>
      <c r="F1819">
        <v>0.103591541295421</v>
      </c>
      <c r="G1819">
        <v>0.295139417949108</v>
      </c>
      <c r="H1819">
        <v>0.076289965178854</v>
      </c>
      <c r="I1819">
        <v>-0.773715000698821</v>
      </c>
    </row>
    <row r="1820" spans="1:9">
      <c r="A1820" s="8" t="s">
        <v>1832</v>
      </c>
      <c r="B1820">
        <f>HYPERLINK("https://www.suredividend.com/sure-analysis-MKC/","McCormick &amp; Co., Inc.")</f>
        <v>0</v>
      </c>
      <c r="C1820">
        <v>-0.09976371751115701</v>
      </c>
      <c r="D1820">
        <v>0.008320333577890001</v>
      </c>
      <c r="E1820">
        <v>0.024453639663594</v>
      </c>
      <c r="F1820">
        <v>0.007878737109425001</v>
      </c>
      <c r="G1820">
        <v>-0.227309396224204</v>
      </c>
      <c r="H1820">
        <v>-0.20291682696275</v>
      </c>
      <c r="I1820">
        <v>-0.049776576951054</v>
      </c>
    </row>
    <row r="1821" spans="1:9">
      <c r="A1821" s="8" t="s">
        <v>1833</v>
      </c>
      <c r="B1821">
        <f>HYPERLINK("https://www.suredividend.com/sure-analysis-research-database/","Markel Group Inc")</f>
        <v>0</v>
      </c>
      <c r="C1821">
        <v>-0.008494567068074001</v>
      </c>
      <c r="D1821">
        <v>0.06742786298466201</v>
      </c>
      <c r="E1821">
        <v>0.172195464726463</v>
      </c>
      <c r="F1821">
        <v>0.12784703148109</v>
      </c>
      <c r="G1821">
        <v>0.176622288837947</v>
      </c>
      <c r="H1821">
        <v>0.136838294277581</v>
      </c>
      <c r="I1821">
        <v>0.469201834862385</v>
      </c>
    </row>
    <row r="1822" spans="1:9">
      <c r="A1822" s="8" t="s">
        <v>1834</v>
      </c>
      <c r="B1822">
        <f>HYPERLINK("https://www.suredividend.com/sure-analysis-research-database/","MKS Instruments, Inc.")</f>
        <v>0</v>
      </c>
      <c r="C1822">
        <v>0.043141466907516</v>
      </c>
      <c r="D1822">
        <v>-0.035391065403796</v>
      </c>
      <c r="E1822">
        <v>0.5578500696900941</v>
      </c>
      <c r="F1822">
        <v>0.254972903549165</v>
      </c>
      <c r="G1822">
        <v>0.302366405854756</v>
      </c>
      <c r="H1822">
        <v>0.08568621805186201</v>
      </c>
      <c r="I1822">
        <v>0.825266991569886</v>
      </c>
    </row>
    <row r="1823" spans="1:9">
      <c r="A1823" s="8" t="s">
        <v>1835</v>
      </c>
      <c r="B1823">
        <f>HYPERLINK("https://www.suredividend.com/sure-analysis-MKTX/","MarketAxess Holdings Inc.")</f>
        <v>0</v>
      </c>
      <c r="C1823">
        <v>-0.003780681384742</v>
      </c>
      <c r="D1823">
        <v>-0.042804127365419</v>
      </c>
      <c r="E1823">
        <v>-0.227837026838451</v>
      </c>
      <c r="F1823">
        <v>-0.312132744952346</v>
      </c>
      <c r="G1823">
        <v>-0.249312140136457</v>
      </c>
      <c r="H1823">
        <v>-0.274536849301418</v>
      </c>
      <c r="I1823">
        <v>-0.371808036723123</v>
      </c>
    </row>
    <row r="1824" spans="1:9">
      <c r="A1824" s="8" t="s">
        <v>1836</v>
      </c>
      <c r="B1824">
        <f>HYPERLINK("https://www.suredividend.com/sure-analysis-research-database/","Mesa Laboratories, Inc.")</f>
        <v>0</v>
      </c>
      <c r="C1824">
        <v>-0.08747524950760201</v>
      </c>
      <c r="D1824">
        <v>-0.078837612607267</v>
      </c>
      <c r="E1824">
        <v>0.050105461450207</v>
      </c>
      <c r="F1824">
        <v>0.006204286353450001</v>
      </c>
      <c r="G1824">
        <v>-0.227429211727152</v>
      </c>
      <c r="H1824">
        <v>-0.490561534381992</v>
      </c>
      <c r="I1824">
        <v>-0.467074835812774</v>
      </c>
    </row>
    <row r="1825" spans="1:9">
      <c r="A1825" s="8" t="s">
        <v>1837</v>
      </c>
      <c r="B1825">
        <f>HYPERLINK("https://www.suredividend.com/sure-analysis-research-database/","Herman Miller Inc.")</f>
        <v>0</v>
      </c>
      <c r="C1825">
        <v>-0.012895069532237</v>
      </c>
      <c r="D1825">
        <v>-0.09137034571682601</v>
      </c>
      <c r="E1825">
        <v>-0.05145792180844901</v>
      </c>
      <c r="F1825">
        <v>0.170169081039604</v>
      </c>
      <c r="G1825">
        <v>0.304346373456016</v>
      </c>
      <c r="H1825">
        <v>-0.133941762907684</v>
      </c>
      <c r="I1825">
        <v>0.552990222208078</v>
      </c>
    </row>
    <row r="1826" spans="1:9">
      <c r="A1826" s="8" t="s">
        <v>1838</v>
      </c>
      <c r="B1826">
        <f>HYPERLINK("https://www.suredividend.com/sure-analysis-MLI/","Mueller Industries, Inc.")</f>
        <v>0</v>
      </c>
      <c r="C1826">
        <v>-0.053229935250715</v>
      </c>
      <c r="D1826">
        <v>0.075287624378109</v>
      </c>
      <c r="E1826">
        <v>0.31469209402674</v>
      </c>
      <c r="F1826">
        <v>0.182247274079233</v>
      </c>
      <c r="G1826">
        <v>0.307997626550484</v>
      </c>
      <c r="H1826">
        <v>0.9129971787354091</v>
      </c>
      <c r="I1826">
        <v>3.215105206222479</v>
      </c>
    </row>
    <row r="1827" spans="1:9">
      <c r="A1827" s="8" t="s">
        <v>1839</v>
      </c>
      <c r="B1827">
        <f>HYPERLINK("https://www.suredividend.com/sure-analysis-MLM/","Martin Marietta Materials, Inc.")</f>
        <v>0</v>
      </c>
      <c r="C1827">
        <v>-0.07886723762506301</v>
      </c>
      <c r="D1827">
        <v>-0.098587262535825</v>
      </c>
      <c r="E1827">
        <v>0.186880134306388</v>
      </c>
      <c r="F1827">
        <v>0.106995127268167</v>
      </c>
      <c r="G1827">
        <v>0.308865008015423</v>
      </c>
      <c r="H1827">
        <v>0.588048827737623</v>
      </c>
      <c r="I1827">
        <v>1.478388838049682</v>
      </c>
    </row>
    <row r="1828" spans="1:9">
      <c r="A1828" s="8" t="s">
        <v>1840</v>
      </c>
      <c r="B1828">
        <f>HYPERLINK("https://www.suredividend.com/sure-analysis-research-database/","Maui Land &amp; Pineapple Co., Inc.")</f>
        <v>0</v>
      </c>
      <c r="C1828">
        <v>0.009313725490196</v>
      </c>
      <c r="D1828">
        <v>0.031046569854782</v>
      </c>
      <c r="E1828">
        <v>0.369015957446808</v>
      </c>
      <c r="F1828">
        <v>0.295783511642542</v>
      </c>
      <c r="G1828">
        <v>0.552790346907994</v>
      </c>
      <c r="H1828">
        <v>0.9874517374517371</v>
      </c>
      <c r="I1828">
        <v>1.028571428571428</v>
      </c>
    </row>
    <row r="1829" spans="1:9">
      <c r="A1829" s="8" t="s">
        <v>1841</v>
      </c>
      <c r="B1829">
        <f>HYPERLINK("https://www.suredividend.com/sure-analysis-research-database/","Miller Industries Inc.")</f>
        <v>0</v>
      </c>
      <c r="C1829">
        <v>0.037225892204667</v>
      </c>
      <c r="D1829">
        <v>0.153358349649052</v>
      </c>
      <c r="E1829">
        <v>0.4298891835882711</v>
      </c>
      <c r="F1829">
        <v>0.36226803338033</v>
      </c>
      <c r="G1829">
        <v>0.6031210412439321</v>
      </c>
      <c r="H1829">
        <v>1.372449720241724</v>
      </c>
      <c r="I1829">
        <v>1.320637445026858</v>
      </c>
    </row>
    <row r="1830" spans="1:9">
      <c r="A1830" s="8" t="s">
        <v>1842</v>
      </c>
      <c r="B1830">
        <f>HYPERLINK("https://www.suredividend.com/sure-analysis-research-database/","Milestone Scientific Inc.")</f>
        <v>0</v>
      </c>
      <c r="C1830">
        <v>0.110266159695817</v>
      </c>
      <c r="D1830">
        <v>-0.009632342965676001</v>
      </c>
      <c r="E1830">
        <v>-0.070773930753564</v>
      </c>
      <c r="F1830">
        <v>0.058124365850123</v>
      </c>
      <c r="G1830">
        <v>-0.317757009345794</v>
      </c>
      <c r="H1830">
        <v>-0.255102040816326</v>
      </c>
      <c r="I1830">
        <v>1.115942028985507</v>
      </c>
    </row>
    <row r="1831" spans="1:9">
      <c r="A1831" s="8" t="s">
        <v>1843</v>
      </c>
      <c r="B1831">
        <f>HYPERLINK("https://www.suredividend.com/sure-analysis-research-database/","Malvern Bancorp Inc")</f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</row>
    <row r="1832" spans="1:9">
      <c r="A1832" s="8" t="s">
        <v>1844</v>
      </c>
      <c r="B1832">
        <f>HYPERLINK("https://www.suredividend.com/sure-analysis-research-database/","MMA Capital Holdings Inc")</f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</row>
    <row r="1833" spans="1:9">
      <c r="A1833" s="8" t="s">
        <v>1845</v>
      </c>
      <c r="B1833">
        <f>HYPERLINK("https://www.suredividend.com/sure-analysis-MMC/","Marsh &amp; McLennan Cos., Inc.")</f>
        <v>0</v>
      </c>
      <c r="C1833">
        <v>0.030828138039369</v>
      </c>
      <c r="D1833">
        <v>0.031507674291345</v>
      </c>
      <c r="E1833">
        <v>0.082019990498381</v>
      </c>
      <c r="F1833">
        <v>0.116170142196217</v>
      </c>
      <c r="G1833">
        <v>0.218202671007542</v>
      </c>
      <c r="H1833">
        <v>0.362404537931473</v>
      </c>
      <c r="I1833">
        <v>1.287106530871418</v>
      </c>
    </row>
    <row r="1834" spans="1:9">
      <c r="A1834" s="8" t="s">
        <v>1846</v>
      </c>
      <c r="B1834">
        <f>HYPERLINK("https://www.suredividend.com/sure-analysis-research-database/","Marcus &amp; Millichap Inc")</f>
        <v>0</v>
      </c>
      <c r="C1834">
        <v>-0.08308338332333501</v>
      </c>
      <c r="D1834">
        <v>-0.119200394155662</v>
      </c>
      <c r="E1834">
        <v>-0.150779077552177</v>
      </c>
      <c r="F1834">
        <v>-0.295037358177289</v>
      </c>
      <c r="G1834">
        <v>-0.04841059355272401</v>
      </c>
      <c r="H1834">
        <v>-0.222689235885974</v>
      </c>
      <c r="I1834">
        <v>0.020299180957085</v>
      </c>
    </row>
    <row r="1835" spans="1:9">
      <c r="A1835" s="8" t="s">
        <v>1847</v>
      </c>
      <c r="B1835">
        <f>HYPERLINK("https://www.suredividend.com/sure-analysis-MMM/","3M Co.")</f>
        <v>0</v>
      </c>
      <c r="C1835">
        <v>0.06301577765833</v>
      </c>
      <c r="D1835">
        <v>0.09652842102516601</v>
      </c>
      <c r="E1835">
        <v>-0.000316179990663</v>
      </c>
      <c r="F1835">
        <v>-0.055549000769719</v>
      </c>
      <c r="G1835">
        <v>0.05386673799719301</v>
      </c>
      <c r="H1835">
        <v>-0.238047176710201</v>
      </c>
      <c r="I1835">
        <v>-0.253804222376107</v>
      </c>
    </row>
    <row r="1836" spans="1:9">
      <c r="A1836" s="8" t="s">
        <v>1848</v>
      </c>
      <c r="B1836">
        <f>HYPERLINK("https://www.suredividend.com/sure-analysis-MMS/","Maximus Inc.")</f>
        <v>0</v>
      </c>
      <c r="C1836">
        <v>0.013416935068895</v>
      </c>
      <c r="D1836">
        <v>-0.002798914190072</v>
      </c>
      <c r="E1836">
        <v>0.009263444093709002</v>
      </c>
      <c r="F1836">
        <v>0.02190096640987</v>
      </c>
      <c r="G1836">
        <v>0.024565240167099</v>
      </c>
      <c r="H1836">
        <v>0.3818777164909271</v>
      </c>
      <c r="I1836">
        <v>0.227174383383816</v>
      </c>
    </row>
    <row r="1837" spans="1:9">
      <c r="A1837" s="8" t="s">
        <v>1849</v>
      </c>
      <c r="B1837">
        <f>HYPERLINK("https://www.suredividend.com/sure-analysis-research-database/","Merit Medical Systems, Inc.")</f>
        <v>0</v>
      </c>
      <c r="C1837">
        <v>0.024117354549975</v>
      </c>
      <c r="D1837">
        <v>0.09300782804829401</v>
      </c>
      <c r="E1837">
        <v>0.183450653641718</v>
      </c>
      <c r="F1837">
        <v>0.08451816745655601</v>
      </c>
      <c r="G1837">
        <v>-0.03355232285312</v>
      </c>
      <c r="H1837">
        <v>0.346078431372548</v>
      </c>
      <c r="I1837">
        <v>0.493202827623708</v>
      </c>
    </row>
    <row r="1838" spans="1:9">
      <c r="A1838" s="8" t="s">
        <v>1850</v>
      </c>
      <c r="B1838">
        <f>HYPERLINK("https://www.suredividend.com/sure-analysis-research-database/","Manning &amp; Napier Inc")</f>
        <v>0</v>
      </c>
      <c r="C1838">
        <v>0.037964458804523</v>
      </c>
      <c r="D1838">
        <v>0.016589796128256</v>
      </c>
      <c r="E1838">
        <v>0.014182773888542</v>
      </c>
      <c r="F1838">
        <v>0.5681440984086691</v>
      </c>
      <c r="G1838">
        <v>0.363916190799668</v>
      </c>
      <c r="H1838">
        <v>2.231728786278356</v>
      </c>
      <c r="I1838">
        <v>3.144225497468314</v>
      </c>
    </row>
    <row r="1839" spans="1:9">
      <c r="A1839" s="8" t="s">
        <v>1851</v>
      </c>
      <c r="B1839">
        <f>HYPERLINK("https://www.suredividend.com/sure-analysis-research-database/","Mallinckrodt Plc")</f>
        <v>0</v>
      </c>
      <c r="C1839">
        <v>-0.6850000000000001</v>
      </c>
      <c r="D1839">
        <v>-0.8866000000000001</v>
      </c>
      <c r="E1839">
        <v>-0.9641517386722861</v>
      </c>
      <c r="F1839">
        <v>-0.9561032258064511</v>
      </c>
      <c r="G1839">
        <v>-0.978603773584905</v>
      </c>
      <c r="H1839">
        <v>-0.978603773584905</v>
      </c>
      <c r="I1839">
        <v>-0.978603773584905</v>
      </c>
    </row>
    <row r="1840" spans="1:9">
      <c r="A1840" s="8" t="s">
        <v>1852</v>
      </c>
      <c r="B1840">
        <f>HYPERLINK("https://www.suredividend.com/sure-analysis-research-database/","Mannkind Corp")</f>
        <v>0</v>
      </c>
      <c r="C1840">
        <v>0.044742729306487</v>
      </c>
      <c r="D1840">
        <v>-0.09320388349514501</v>
      </c>
      <c r="E1840">
        <v>0.272479564032697</v>
      </c>
      <c r="F1840">
        <v>0.282967032967032</v>
      </c>
      <c r="G1840">
        <v>0.109263657957244</v>
      </c>
      <c r="H1840">
        <v>0.033185840707964</v>
      </c>
      <c r="I1840">
        <v>2.92436974789916</v>
      </c>
    </row>
    <row r="1841" spans="1:9">
      <c r="A1841" s="8" t="s">
        <v>1853</v>
      </c>
      <c r="B1841">
        <f>HYPERLINK("https://www.suredividend.com/sure-analysis-research-database/","Medicinova Inc")</f>
        <v>0</v>
      </c>
      <c r="C1841">
        <v>0.030075187969924</v>
      </c>
      <c r="D1841">
        <v>0.030075187969924</v>
      </c>
      <c r="E1841">
        <v>-0.217142857142857</v>
      </c>
      <c r="F1841">
        <v>-0.086666666666666</v>
      </c>
      <c r="G1841">
        <v>-0.368663594470046</v>
      </c>
      <c r="H1841">
        <v>-0.417021276595744</v>
      </c>
      <c r="I1841">
        <v>-0.855026455026455</v>
      </c>
    </row>
    <row r="1842" spans="1:9">
      <c r="A1842" s="8" t="s">
        <v>1854</v>
      </c>
      <c r="B1842">
        <f>HYPERLINK("https://www.suredividend.com/sure-analysis-research-database/","Mach Natural Resources LP")</f>
        <v>0</v>
      </c>
      <c r="C1842">
        <v>-0.009666925342145001</v>
      </c>
      <c r="D1842">
        <v>0.05339689064789</v>
      </c>
      <c r="E1842">
        <v>0.238089730986938</v>
      </c>
      <c r="F1842">
        <v>0.275635169665435</v>
      </c>
      <c r="G1842">
        <v>0.488030888030888</v>
      </c>
      <c r="H1842">
        <v>0.488030888030888</v>
      </c>
      <c r="I1842">
        <v>0.488030888030888</v>
      </c>
    </row>
    <row r="1843" spans="1:9">
      <c r="A1843" s="8" t="s">
        <v>1855</v>
      </c>
      <c r="B1843">
        <f>HYPERLINK("https://www.suredividend.com/sure-analysis-research-database/","Brigham Minerals Inc")</f>
        <v>0</v>
      </c>
      <c r="C1843">
        <v>-0.05797101449275301</v>
      </c>
      <c r="D1843">
        <v>0.275179898456443</v>
      </c>
      <c r="E1843">
        <v>0.24438114054232</v>
      </c>
      <c r="F1843">
        <v>0.5957420691619161</v>
      </c>
      <c r="G1843">
        <v>0.570420051123212</v>
      </c>
      <c r="H1843">
        <v>2.260302556077204</v>
      </c>
      <c r="I1843">
        <v>0.9750835612275901</v>
      </c>
    </row>
    <row r="1844" spans="1:9">
      <c r="A1844" s="8" t="s">
        <v>1856</v>
      </c>
      <c r="B1844">
        <f>HYPERLINK("https://www.suredividend.com/sure-analysis-research-database/","Monro Inc")</f>
        <v>0</v>
      </c>
      <c r="C1844">
        <v>-0.03291554771271001</v>
      </c>
      <c r="D1844">
        <v>-0.215271872342554</v>
      </c>
      <c r="E1844">
        <v>-0.155538957914887</v>
      </c>
      <c r="F1844">
        <v>-0.119560832734096</v>
      </c>
      <c r="G1844">
        <v>-0.389644875448647</v>
      </c>
      <c r="H1844">
        <v>-0.392344509191091</v>
      </c>
      <c r="I1844">
        <v>-0.671157355790709</v>
      </c>
    </row>
    <row r="1845" spans="1:9">
      <c r="A1845" s="8" t="s">
        <v>1857</v>
      </c>
      <c r="B1845">
        <f>HYPERLINK("https://www.suredividend.com/sure-analysis-research-database/","MainStreet Bancshares Inc")</f>
        <v>0</v>
      </c>
      <c r="C1845">
        <v>-0.0006056935190790001</v>
      </c>
      <c r="D1845">
        <v>-0.086206705581338</v>
      </c>
      <c r="E1845">
        <v>-0.240991954514717</v>
      </c>
      <c r="F1845">
        <v>-0.319309738821209</v>
      </c>
      <c r="G1845">
        <v>-0.252304262318853</v>
      </c>
      <c r="H1845">
        <v>-0.289151591654208</v>
      </c>
      <c r="I1845">
        <v>-0.271230383951167</v>
      </c>
    </row>
    <row r="1846" spans="1:9">
      <c r="A1846" s="8" t="s">
        <v>1858</v>
      </c>
      <c r="B1846">
        <f>HYPERLINK("https://www.suredividend.com/sure-analysis-research-database/","Monster Beverage Corp.")</f>
        <v>0</v>
      </c>
      <c r="C1846">
        <v>-0.036217303822937</v>
      </c>
      <c r="D1846">
        <v>-0.112664196699225</v>
      </c>
      <c r="E1846">
        <v>-0.029650092081031</v>
      </c>
      <c r="F1846">
        <v>-0.08540183995834001</v>
      </c>
      <c r="G1846">
        <v>-0.07398945518453401</v>
      </c>
      <c r="H1846">
        <v>0.159933957072096</v>
      </c>
      <c r="I1846">
        <v>0.5986043689320381</v>
      </c>
    </row>
    <row r="1847" spans="1:9">
      <c r="A1847" s="8" t="s">
        <v>1859</v>
      </c>
      <c r="B1847">
        <f>HYPERLINK("https://www.suredividend.com/sure-analysis-research-database/","Manitex International Inc")</f>
        <v>0</v>
      </c>
      <c r="C1847">
        <v>-0.130298273155415</v>
      </c>
      <c r="D1847">
        <v>-0.143740340030911</v>
      </c>
      <c r="E1847">
        <v>-0.253369272237196</v>
      </c>
      <c r="F1847">
        <v>-0.366132723112128</v>
      </c>
      <c r="G1847">
        <v>0.061302681992337</v>
      </c>
      <c r="H1847">
        <v>-0.21418439716312</v>
      </c>
      <c r="I1847">
        <v>0.010948905109488</v>
      </c>
    </row>
    <row r="1848" spans="1:9">
      <c r="A1848" s="8" t="s">
        <v>1860</v>
      </c>
      <c r="B1848">
        <f>HYPERLINK("https://www.suredividend.com/sure-analysis-MO/","Altria Group Inc.")</f>
        <v>0</v>
      </c>
      <c r="C1848">
        <v>0.064994298745724</v>
      </c>
      <c r="D1848">
        <v>0.148998255589372</v>
      </c>
      <c r="E1848">
        <v>0.182703655491341</v>
      </c>
      <c r="F1848">
        <v>0.183461942955613</v>
      </c>
      <c r="G1848">
        <v>0.131071029807475</v>
      </c>
      <c r="H1848">
        <v>0.026089478518036</v>
      </c>
      <c r="I1848">
        <v>0.356028665342578</v>
      </c>
    </row>
    <row r="1849" spans="1:9">
      <c r="A1849" s="8" t="s">
        <v>1861</v>
      </c>
      <c r="B1849">
        <f>HYPERLINK("https://www.suredividend.com/sure-analysis-research-database/","Mobile Iron Inc")</f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</row>
    <row r="1850" spans="1:9">
      <c r="A1850" s="8" t="s">
        <v>1862</v>
      </c>
      <c r="B1850">
        <f>HYPERLINK("https://www.suredividend.com/sure-analysis-research-database/","Modine Manufacturing Co.")</f>
        <v>0</v>
      </c>
      <c r="C1850">
        <v>-0.122174535050071</v>
      </c>
      <c r="D1850">
        <v>0.040940963582899</v>
      </c>
      <c r="E1850">
        <v>0.759510609826037</v>
      </c>
      <c r="F1850">
        <v>0.5417085427135671</v>
      </c>
      <c r="G1850">
        <v>1.826781326781326</v>
      </c>
      <c r="H1850">
        <v>6.464720194647202</v>
      </c>
      <c r="I1850">
        <v>5.555555555555556</v>
      </c>
    </row>
    <row r="1851" spans="1:9">
      <c r="A1851" s="8" t="s">
        <v>1863</v>
      </c>
      <c r="B1851">
        <f>HYPERLINK("https://www.suredividend.com/sure-analysis-research-database/","Model N Inc")</f>
        <v>0</v>
      </c>
      <c r="C1851">
        <v>0.004366812227074001</v>
      </c>
      <c r="D1851">
        <v>0.202735317779565</v>
      </c>
      <c r="E1851">
        <v>0.314863676341248</v>
      </c>
      <c r="F1851">
        <v>0.110285926476048</v>
      </c>
      <c r="G1851">
        <v>-0.092013361676283</v>
      </c>
      <c r="H1851">
        <v>0.203703703703703</v>
      </c>
      <c r="I1851">
        <v>0.6365626710454291</v>
      </c>
    </row>
    <row r="1852" spans="1:9">
      <c r="A1852" s="8" t="s">
        <v>1864</v>
      </c>
      <c r="B1852">
        <f>HYPERLINK("https://www.suredividend.com/sure-analysis-research-database/","MidWestOne Financial Group Inc")</f>
        <v>0</v>
      </c>
      <c r="C1852">
        <v>0.003596057439859</v>
      </c>
      <c r="D1852">
        <v>-0.043593277404197</v>
      </c>
      <c r="E1852">
        <v>-0.091583973573352</v>
      </c>
      <c r="F1852">
        <v>-0.196908797887419</v>
      </c>
      <c r="G1852">
        <v>0.01415799875437</v>
      </c>
      <c r="H1852">
        <v>-0.225998660094392</v>
      </c>
      <c r="I1852">
        <v>-0.06636568848758401</v>
      </c>
    </row>
    <row r="1853" spans="1:9">
      <c r="A1853" s="8" t="s">
        <v>1865</v>
      </c>
      <c r="B1853">
        <f>HYPERLINK("https://www.suredividend.com/sure-analysis-research-database/","Molina Healthcare Inc")</f>
        <v>0</v>
      </c>
      <c r="C1853">
        <v>-0.115087759419129</v>
      </c>
      <c r="D1853">
        <v>-0.210003827995406</v>
      </c>
      <c r="E1853">
        <v>-0.148226618606058</v>
      </c>
      <c r="F1853">
        <v>-0.143228806288228</v>
      </c>
      <c r="G1853">
        <v>0.08976976695064401</v>
      </c>
      <c r="H1853">
        <v>0.07448802499132201</v>
      </c>
      <c r="I1853">
        <v>1.01366031353672</v>
      </c>
    </row>
    <row r="1854" spans="1:9">
      <c r="A1854" s="8" t="s">
        <v>1866</v>
      </c>
      <c r="B1854">
        <f>HYPERLINK("https://www.suredividend.com/sure-analysis-MORN/","Morningstar Inc")</f>
        <v>0</v>
      </c>
      <c r="C1854">
        <v>-0.03991862869339</v>
      </c>
      <c r="D1854">
        <v>-0.072299060698368</v>
      </c>
      <c r="E1854">
        <v>0.05138604080425201</v>
      </c>
      <c r="F1854">
        <v>0.010100301286299</v>
      </c>
      <c r="G1854">
        <v>0.4142849212536721</v>
      </c>
      <c r="H1854">
        <v>0.187727244785514</v>
      </c>
      <c r="I1854">
        <v>1.019125903430669</v>
      </c>
    </row>
    <row r="1855" spans="1:9">
      <c r="A1855" s="8" t="s">
        <v>1867</v>
      </c>
      <c r="B1855">
        <f>HYPERLINK("https://www.suredividend.com/sure-analysis-research-database/","Mosaic Company")</f>
        <v>0</v>
      </c>
      <c r="C1855">
        <v>-0.046678375308025</v>
      </c>
      <c r="D1855">
        <v>-0.107883621083978</v>
      </c>
      <c r="E1855">
        <v>-0.201391634379694</v>
      </c>
      <c r="F1855">
        <v>-0.197368458396837</v>
      </c>
      <c r="G1855">
        <v>-0.20096065550611</v>
      </c>
      <c r="H1855">
        <v>-0.48245129222469</v>
      </c>
      <c r="I1855">
        <v>0.376865925976416</v>
      </c>
    </row>
    <row r="1856" spans="1:9">
      <c r="A1856" s="8" t="s">
        <v>1868</v>
      </c>
      <c r="B1856">
        <f>HYPERLINK("https://www.suredividend.com/sure-analysis-research-database/","Motus GI Holdings Inc")</f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</row>
    <row r="1857" spans="1:9">
      <c r="A1857" s="8" t="s">
        <v>1869</v>
      </c>
      <c r="B1857">
        <f>HYPERLINK("https://www.suredividend.com/sure-analysis-research-database/","Movado Group, Inc.")</f>
        <v>0</v>
      </c>
      <c r="C1857">
        <v>0.005758157389635</v>
      </c>
      <c r="D1857">
        <v>-0.041374566423229</v>
      </c>
      <c r="E1857">
        <v>-0.040676067064798</v>
      </c>
      <c r="F1857">
        <v>-0.119907556702139</v>
      </c>
      <c r="G1857">
        <v>-0.024223102821559</v>
      </c>
      <c r="H1857">
        <v>-0.173788275361861</v>
      </c>
      <c r="I1857">
        <v>0.227218009190082</v>
      </c>
    </row>
    <row r="1858" spans="1:9">
      <c r="A1858" s="8" t="s">
        <v>1870</v>
      </c>
      <c r="B1858">
        <f>HYPERLINK("https://www.suredividend.com/sure-analysis-research-database/","Motorcar Parts of America Inc.")</f>
        <v>0</v>
      </c>
      <c r="C1858">
        <v>-0.03415559772296</v>
      </c>
      <c r="D1858">
        <v>-0.421590909090909</v>
      </c>
      <c r="E1858">
        <v>-0.485338725985844</v>
      </c>
      <c r="F1858">
        <v>-0.4550321199143461</v>
      </c>
      <c r="G1858">
        <v>-0.154485049833887</v>
      </c>
      <c r="H1858">
        <v>-0.6796727501573311</v>
      </c>
      <c r="I1858">
        <v>-0.7143658810325471</v>
      </c>
    </row>
    <row r="1859" spans="1:9">
      <c r="A1859" s="8" t="s">
        <v>1871</v>
      </c>
      <c r="B1859">
        <f>HYPERLINK("https://www.suredividend.com/sure-analysis-research-database/","Mid Penn Bancorp, Inc.")</f>
        <v>0</v>
      </c>
      <c r="C1859">
        <v>0.008328204339129001</v>
      </c>
      <c r="D1859">
        <v>0.04583834142108301</v>
      </c>
      <c r="E1859">
        <v>-0.042767347274146</v>
      </c>
      <c r="F1859">
        <v>-0.102691924227318</v>
      </c>
      <c r="G1859">
        <v>-0.127943243535468</v>
      </c>
      <c r="H1859">
        <v>-0.16697122336453</v>
      </c>
      <c r="I1859">
        <v>0.06398632090070901</v>
      </c>
    </row>
    <row r="1860" spans="1:9">
      <c r="A1860" s="8" t="s">
        <v>1872</v>
      </c>
      <c r="B1860">
        <f>HYPERLINK("https://www.suredividend.com/sure-analysis-MPC/","Marathon Petroleum Corp")</f>
        <v>0</v>
      </c>
      <c r="C1860">
        <v>-0.027571756152094</v>
      </c>
      <c r="D1860">
        <v>-0.01697638553838</v>
      </c>
      <c r="E1860">
        <v>0.248690515157933</v>
      </c>
      <c r="F1860">
        <v>0.191625817243662</v>
      </c>
      <c r="G1860">
        <v>0.5655888751096401</v>
      </c>
      <c r="H1860">
        <v>0.6118045583416171</v>
      </c>
      <c r="I1860">
        <v>3.434168675675128</v>
      </c>
    </row>
    <row r="1861" spans="1:9">
      <c r="A1861" s="8" t="s">
        <v>1873</v>
      </c>
      <c r="B1861">
        <f>HYPERLINK("https://www.suredividend.com/sure-analysis-MPW/","Medical Properties Trust Inc")</f>
        <v>0</v>
      </c>
      <c r="C1861">
        <v>0.254672897196261</v>
      </c>
      <c r="D1861">
        <v>0.24695228143504</v>
      </c>
      <c r="E1861">
        <v>0.158251191683023</v>
      </c>
      <c r="F1861">
        <v>0.127582731395934</v>
      </c>
      <c r="G1861">
        <v>-0.352184717832412</v>
      </c>
      <c r="H1861">
        <v>-0.618705444630634</v>
      </c>
      <c r="I1861">
        <v>-0.574063057703747</v>
      </c>
    </row>
    <row r="1862" spans="1:9">
      <c r="A1862" s="8" t="s">
        <v>1874</v>
      </c>
      <c r="B1862">
        <f>HYPERLINK("https://www.suredividend.com/sure-analysis-MPWR/","Monolithic Power System Inc")</f>
        <v>0</v>
      </c>
      <c r="C1862">
        <v>0.07037680498988901</v>
      </c>
      <c r="D1862">
        <v>-0.017106356090896</v>
      </c>
      <c r="E1862">
        <v>0.331309670840751</v>
      </c>
      <c r="F1862">
        <v>0.196089143045189</v>
      </c>
      <c r="G1862">
        <v>0.54310063781931</v>
      </c>
      <c r="H1862">
        <v>0.6251377001719961</v>
      </c>
      <c r="I1862">
        <v>5.298127923286918</v>
      </c>
    </row>
    <row r="1863" spans="1:9">
      <c r="A1863" s="8" t="s">
        <v>1875</v>
      </c>
      <c r="B1863">
        <f>HYPERLINK("https://www.suredividend.com/sure-analysis-research-database/","Marine Products Corp")</f>
        <v>0</v>
      </c>
      <c r="C1863">
        <v>-0.154402864846365</v>
      </c>
      <c r="D1863">
        <v>-0.026719574177803</v>
      </c>
      <c r="E1863">
        <v>-0.009048667155783001</v>
      </c>
      <c r="F1863">
        <v>-0.08902058471748801</v>
      </c>
      <c r="G1863">
        <v>-0.353108336792362</v>
      </c>
      <c r="H1863">
        <v>0.012898710128987</v>
      </c>
      <c r="I1863">
        <v>-0.132267155498068</v>
      </c>
    </row>
    <row r="1864" spans="1:9">
      <c r="A1864" s="8" t="s">
        <v>1876</v>
      </c>
      <c r="B1864">
        <f>HYPERLINK("https://www.suredividend.com/sure-analysis-research-database/","Everspin Technologies Inc")</f>
        <v>0</v>
      </c>
      <c r="C1864">
        <v>-0.052969502407704</v>
      </c>
      <c r="D1864">
        <v>-0.289156626506024</v>
      </c>
      <c r="E1864">
        <v>-0.330306469920544</v>
      </c>
      <c r="F1864">
        <v>-0.347345132743362</v>
      </c>
      <c r="G1864">
        <v>-0.301775147928994</v>
      </c>
      <c r="H1864">
        <v>-0.045307443365695</v>
      </c>
      <c r="I1864">
        <v>-0.039087947882736</v>
      </c>
    </row>
    <row r="1865" spans="1:9">
      <c r="A1865" s="8" t="s">
        <v>1877</v>
      </c>
      <c r="B1865">
        <f>HYPERLINK("https://www.suredividend.com/sure-analysis-research-database/","Meridian Corp")</f>
        <v>0</v>
      </c>
      <c r="C1865">
        <v>0.193621763205661</v>
      </c>
      <c r="D1865">
        <v>0.05250362146337501</v>
      </c>
      <c r="E1865">
        <v>-0.163021500439031</v>
      </c>
      <c r="F1865">
        <v>-0.212998030601424</v>
      </c>
      <c r="G1865">
        <v>0.130884353741496</v>
      </c>
      <c r="H1865">
        <v>-0.239479713359245</v>
      </c>
      <c r="I1865">
        <v>0.586453307274171</v>
      </c>
    </row>
    <row r="1866" spans="1:9">
      <c r="A1866" s="8" t="s">
        <v>1878</v>
      </c>
      <c r="B1866">
        <f>HYPERLINK("https://www.suredividend.com/sure-analysis-research-database/","MRC Global Inc")</f>
        <v>0</v>
      </c>
      <c r="C1866">
        <v>0.08404802744425301</v>
      </c>
      <c r="D1866">
        <v>0.045492142266335</v>
      </c>
      <c r="E1866">
        <v>0.229571984435797</v>
      </c>
      <c r="F1866">
        <v>0.148047229791099</v>
      </c>
      <c r="G1866">
        <v>0.272910372608257</v>
      </c>
      <c r="H1866">
        <v>0.051580698835274</v>
      </c>
      <c r="I1866">
        <v>-0.189743589743589</v>
      </c>
    </row>
    <row r="1867" spans="1:9">
      <c r="A1867" s="8" t="s">
        <v>1879</v>
      </c>
      <c r="B1867">
        <f>HYPERLINK("https://www.suredividend.com/sure-analysis-research-database/","Mercury Systems Inc")</f>
        <v>0</v>
      </c>
      <c r="C1867">
        <v>0.038474750944692</v>
      </c>
      <c r="D1867">
        <v>-0.015950520833333</v>
      </c>
      <c r="E1867">
        <v>-0.162603878116343</v>
      </c>
      <c r="F1867">
        <v>-0.173366147115121</v>
      </c>
      <c r="G1867">
        <v>-0.289207618151892</v>
      </c>
      <c r="H1867">
        <v>-0.522960391352374</v>
      </c>
      <c r="I1867">
        <v>-0.5588149445417391</v>
      </c>
    </row>
    <row r="1868" spans="1:9">
      <c r="A1868" s="8" t="s">
        <v>1880</v>
      </c>
      <c r="B1868">
        <f>HYPERLINK("https://www.suredividend.com/sure-analysis-research-database/","Marin Software Inc")</f>
        <v>0</v>
      </c>
      <c r="C1868">
        <v>-0.011999999999999</v>
      </c>
      <c r="D1868">
        <v>0.351943076081007</v>
      </c>
      <c r="E1868">
        <v>0.127853881278539</v>
      </c>
      <c r="F1868">
        <v>0.123237835379718</v>
      </c>
      <c r="G1868">
        <v>-0.424081328110427</v>
      </c>
      <c r="H1868">
        <v>-0.7888888888888881</v>
      </c>
      <c r="I1868">
        <v>-0.8319727891156461</v>
      </c>
    </row>
    <row r="1869" spans="1:9">
      <c r="A1869" s="8" t="s">
        <v>1881</v>
      </c>
      <c r="B1869">
        <f>HYPERLINK("https://www.suredividend.com/sure-analysis-MRK/","Merck &amp; Co Inc")</f>
        <v>0</v>
      </c>
      <c r="C1869">
        <v>0.002224267525694</v>
      </c>
      <c r="D1869">
        <v>0.06055994513365501</v>
      </c>
      <c r="E1869">
        <v>0.275039494316623</v>
      </c>
      <c r="F1869">
        <v>0.206190553553494</v>
      </c>
      <c r="G1869">
        <v>0.236027647215177</v>
      </c>
      <c r="H1869">
        <v>0.5284435305209131</v>
      </c>
      <c r="I1869">
        <v>0.8458926169945861</v>
      </c>
    </row>
    <row r="1870" spans="1:9">
      <c r="A1870" s="8" t="s">
        <v>1882</v>
      </c>
      <c r="B1870">
        <f>HYPERLINK("https://www.suredividend.com/sure-analysis-research-database/","Marker Therapeutics Inc")</f>
        <v>0</v>
      </c>
      <c r="C1870">
        <v>-0.136815920398009</v>
      </c>
      <c r="D1870">
        <v>-0.123737373737373</v>
      </c>
      <c r="E1870">
        <v>0.230496453900709</v>
      </c>
      <c r="F1870">
        <v>-0.369090909090909</v>
      </c>
      <c r="G1870">
        <v>0.779487179487179</v>
      </c>
      <c r="H1870">
        <v>0.162479061976549</v>
      </c>
      <c r="I1870">
        <v>-0.9370235934664241</v>
      </c>
    </row>
    <row r="1871" spans="1:9">
      <c r="A1871" s="8" t="s">
        <v>1883</v>
      </c>
      <c r="B1871">
        <f>HYPERLINK("https://www.suredividend.com/sure-analysis-research-database/","Marlin Business Services Corp")</f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</row>
    <row r="1872" spans="1:9">
      <c r="A1872" s="8" t="s">
        <v>1884</v>
      </c>
      <c r="B1872">
        <f>HYPERLINK("https://www.suredividend.com/sure-analysis-research-database/","Marinus Pharmaceuticals Inc")</f>
        <v>0</v>
      </c>
      <c r="C1872">
        <v>-0.031847133757961</v>
      </c>
      <c r="D1872">
        <v>-0.8262857142857141</v>
      </c>
      <c r="E1872">
        <v>-0.820543093270366</v>
      </c>
      <c r="F1872">
        <v>-0.8601655933762651</v>
      </c>
      <c r="G1872">
        <v>-0.8132678132678131</v>
      </c>
      <c r="H1872">
        <v>-0.729537366548042</v>
      </c>
      <c r="I1872">
        <v>-0.909738717339667</v>
      </c>
    </row>
    <row r="1873" spans="1:9">
      <c r="A1873" s="8" t="s">
        <v>1885</v>
      </c>
      <c r="B1873">
        <f>HYPERLINK("https://www.suredividend.com/sure-analysis-research-database/","Marathon Oil Corporation")</f>
        <v>0</v>
      </c>
      <c r="C1873">
        <v>0.034597965699012</v>
      </c>
      <c r="D1873">
        <v>0.134869023817183</v>
      </c>
      <c r="E1873">
        <v>0.188425325782902</v>
      </c>
      <c r="F1873">
        <v>0.16383468285818</v>
      </c>
      <c r="G1873">
        <v>0.166157579815054</v>
      </c>
      <c r="H1873">
        <v>-0.106088986965</v>
      </c>
      <c r="I1873">
        <v>1.246529848941624</v>
      </c>
    </row>
    <row r="1874" spans="1:9">
      <c r="A1874" s="8" t="s">
        <v>1886</v>
      </c>
      <c r="B1874">
        <f>HYPERLINK("https://www.suredividend.com/sure-analysis-research-database/","Mersana Therapeutics Inc")</f>
        <v>0</v>
      </c>
      <c r="C1874">
        <v>-0.392907801418439</v>
      </c>
      <c r="D1874">
        <v>-0.634188034188034</v>
      </c>
      <c r="E1874">
        <v>0.049019607843137</v>
      </c>
      <c r="F1874">
        <v>-0.077586206896551</v>
      </c>
      <c r="G1874">
        <v>-0.75</v>
      </c>
      <c r="H1874">
        <v>-0.3705882352941171</v>
      </c>
      <c r="I1874">
        <v>-0.5034802784222731</v>
      </c>
    </row>
    <row r="1875" spans="1:9">
      <c r="A1875" s="8" t="s">
        <v>1887</v>
      </c>
      <c r="B1875">
        <f>HYPERLINK("https://www.suredividend.com/sure-analysis-research-database/","Marten Transport, Ltd.")</f>
        <v>0</v>
      </c>
      <c r="C1875">
        <v>0.013683010262257</v>
      </c>
      <c r="D1875">
        <v>-0.046224325034733</v>
      </c>
      <c r="E1875">
        <v>-0.07100684466273001</v>
      </c>
      <c r="F1875">
        <v>-0.14714812665186</v>
      </c>
      <c r="G1875">
        <v>-0.184220306399144</v>
      </c>
      <c r="H1875">
        <v>0.028179520838272</v>
      </c>
      <c r="I1875">
        <v>0.6992564558365351</v>
      </c>
    </row>
    <row r="1876" spans="1:9">
      <c r="A1876" s="8" t="s">
        <v>1888</v>
      </c>
      <c r="B1876">
        <f>HYPERLINK("https://www.suredividend.com/sure-analysis-research-database/","Mirati Therapeutics Inc")</f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</row>
    <row r="1877" spans="1:9">
      <c r="A1877" s="8" t="s">
        <v>1889</v>
      </c>
      <c r="B1877">
        <f>HYPERLINK("https://www.suredividend.com/sure-analysis-research-database/","Marvell Technology Inc")</f>
        <v>0</v>
      </c>
      <c r="C1877">
        <v>-0.010046592894583</v>
      </c>
      <c r="D1877">
        <v>-0.199619527917963</v>
      </c>
      <c r="E1877">
        <v>0.307693639250427</v>
      </c>
      <c r="F1877">
        <v>0.131629536546191</v>
      </c>
      <c r="G1877">
        <v>0.155233552916629</v>
      </c>
      <c r="H1877">
        <v>0.129698492295319</v>
      </c>
      <c r="I1877">
        <v>0.4555769642474841</v>
      </c>
    </row>
    <row r="1878" spans="1:9">
      <c r="A1878" s="8" t="s">
        <v>1890</v>
      </c>
      <c r="B1878">
        <f>HYPERLINK("https://www.suredividend.com/sure-analysis-MS/","Morgan Stanley")</f>
        <v>0</v>
      </c>
      <c r="C1878">
        <v>0.014093329157532</v>
      </c>
      <c r="D1878">
        <v>0.1381197474438</v>
      </c>
      <c r="E1878">
        <v>0.232085984736542</v>
      </c>
      <c r="F1878">
        <v>0.06164166479052401</v>
      </c>
      <c r="G1878">
        <v>0.169188031770524</v>
      </c>
      <c r="H1878">
        <v>0.228351474932222</v>
      </c>
      <c r="I1878">
        <v>1.669715466705509</v>
      </c>
    </row>
    <row r="1879" spans="1:9">
      <c r="A1879" s="8" t="s">
        <v>1891</v>
      </c>
      <c r="B1879">
        <f>HYPERLINK("https://www.suredividend.com/sure-analysis-MSA/","MSA Safety Inc")</f>
        <v>0</v>
      </c>
      <c r="C1879">
        <v>-0.08664083536385001</v>
      </c>
      <c r="D1879">
        <v>-0.07647118469281801</v>
      </c>
      <c r="E1879">
        <v>0.004876789183035001</v>
      </c>
      <c r="F1879">
        <v>0.019697193465552</v>
      </c>
      <c r="G1879">
        <v>0.176247534743712</v>
      </c>
      <c r="H1879">
        <v>0.354154556936097</v>
      </c>
      <c r="I1879">
        <v>0.773237299807898</v>
      </c>
    </row>
    <row r="1880" spans="1:9">
      <c r="A1880" s="8" t="s">
        <v>1892</v>
      </c>
      <c r="B1880">
        <f>HYPERLINK("https://www.suredividend.com/sure-analysis-research-database/","Midland States Bancorp Inc")</f>
        <v>0</v>
      </c>
      <c r="C1880">
        <v>-0.023236909844985</v>
      </c>
      <c r="D1880">
        <v>-0.061204430611036</v>
      </c>
      <c r="E1880">
        <v>-0.055008244894507</v>
      </c>
      <c r="F1880">
        <v>-0.145870753238812</v>
      </c>
      <c r="G1880">
        <v>0.103251506789809</v>
      </c>
      <c r="H1880">
        <v>0.007174144239955001</v>
      </c>
      <c r="I1880">
        <v>0.254229869189716</v>
      </c>
    </row>
    <row r="1881" spans="1:9">
      <c r="A1881" s="8" t="s">
        <v>1893</v>
      </c>
      <c r="B1881">
        <f>HYPERLINK("https://www.suredividend.com/sure-analysis-research-database/","MSCI Inc")</f>
        <v>0</v>
      </c>
      <c r="C1881">
        <v>0.046458643398503</v>
      </c>
      <c r="D1881">
        <v>-0.103366919310681</v>
      </c>
      <c r="E1881">
        <v>-0.027058494820766</v>
      </c>
      <c r="F1881">
        <v>-0.125462023167457</v>
      </c>
      <c r="G1881">
        <v>0.052541671179893</v>
      </c>
      <c r="H1881">
        <v>0.126047775901629</v>
      </c>
      <c r="I1881">
        <v>1.145173196700283</v>
      </c>
    </row>
    <row r="1882" spans="1:9">
      <c r="A1882" s="8" t="s">
        <v>1894</v>
      </c>
      <c r="B1882">
        <f>HYPERLINK("https://www.suredividend.com/sure-analysis-MSEX/","Middlesex Water Co.")</f>
        <v>0</v>
      </c>
      <c r="C1882">
        <v>-0.023244840826805</v>
      </c>
      <c r="D1882">
        <v>0.03251499287175801</v>
      </c>
      <c r="E1882">
        <v>-0.21145534329737</v>
      </c>
      <c r="F1882">
        <v>-0.179850975584266</v>
      </c>
      <c r="G1882">
        <v>-0.344959125349758</v>
      </c>
      <c r="H1882">
        <v>-0.365572728073467</v>
      </c>
      <c r="I1882">
        <v>-0.018229414653364</v>
      </c>
    </row>
    <row r="1883" spans="1:9">
      <c r="A1883" s="8" t="s">
        <v>1895</v>
      </c>
      <c r="B1883">
        <f>HYPERLINK("https://www.suredividend.com/sure-analysis-MSFT/","Microsoft Corporation")</f>
        <v>0</v>
      </c>
      <c r="C1883">
        <v>0.039186029377692</v>
      </c>
      <c r="D1883">
        <v>0.039694064778201</v>
      </c>
      <c r="E1883">
        <v>0.15097657178159</v>
      </c>
      <c r="F1883">
        <v>0.135397147912366</v>
      </c>
      <c r="G1883">
        <v>0.328458089082698</v>
      </c>
      <c r="H1883">
        <v>0.5917407488636051</v>
      </c>
      <c r="I1883">
        <v>2.401510676819168</v>
      </c>
    </row>
    <row r="1884" spans="1:9">
      <c r="A1884" s="8" t="s">
        <v>1896</v>
      </c>
      <c r="B1884">
        <f>HYPERLINK("https://www.suredividend.com/sure-analysis-research-database/","MSG Networks Inc")</f>
        <v>0</v>
      </c>
      <c r="C1884">
        <v>-0.092248558616271</v>
      </c>
      <c r="D1884">
        <v>-0.114375</v>
      </c>
      <c r="E1884">
        <v>0.037335285505124</v>
      </c>
      <c r="F1884">
        <v>0</v>
      </c>
      <c r="G1884">
        <v>0.48844537815126</v>
      </c>
      <c r="H1884">
        <v>-0.307090464547677</v>
      </c>
      <c r="I1884">
        <v>-0.09974587039390001</v>
      </c>
    </row>
    <row r="1885" spans="1:9">
      <c r="A1885" s="8" t="s">
        <v>1897</v>
      </c>
      <c r="B1885">
        <f>HYPERLINK("https://www.suredividend.com/sure-analysis-MSI/","Motorola Solutions Inc")</f>
        <v>0</v>
      </c>
      <c r="C1885">
        <v>0.03598849708239001</v>
      </c>
      <c r="D1885">
        <v>0.113468388312572</v>
      </c>
      <c r="E1885">
        <v>0.154255090810566</v>
      </c>
      <c r="F1885">
        <v>0.188543651256321</v>
      </c>
      <c r="G1885">
        <v>0.337309775018696</v>
      </c>
      <c r="H1885">
        <v>0.715613861582982</v>
      </c>
      <c r="I1885">
        <v>1.434895132703294</v>
      </c>
    </row>
    <row r="1886" spans="1:9">
      <c r="A1886" s="8" t="s">
        <v>1898</v>
      </c>
      <c r="B1886">
        <f>HYPERLINK("https://www.suredividend.com/sure-analysis-MSM/","MSC Industrial Direct Co., Inc.")</f>
        <v>0</v>
      </c>
      <c r="C1886">
        <v>-0.072701586611606</v>
      </c>
      <c r="D1886">
        <v>-0.140685658926828</v>
      </c>
      <c r="E1886">
        <v>-0.115973905016664</v>
      </c>
      <c r="F1886">
        <v>-0.142513752137937</v>
      </c>
      <c r="G1886">
        <v>-0.07163116786470801</v>
      </c>
      <c r="H1886">
        <v>0.06572845593644301</v>
      </c>
      <c r="I1886">
        <v>0.581025470944742</v>
      </c>
    </row>
    <row r="1887" spans="1:9">
      <c r="A1887" s="8" t="s">
        <v>1899</v>
      </c>
      <c r="B1887">
        <f>HYPERLINK("https://www.suredividend.com/sure-analysis-research-database/","Emerson Radio Corp.")</f>
        <v>0</v>
      </c>
      <c r="C1887">
        <v>-0.020181818181818</v>
      </c>
      <c r="D1887">
        <v>0.04437984496124001</v>
      </c>
      <c r="E1887">
        <v>-0.028133453561767</v>
      </c>
      <c r="F1887">
        <v>-0.021604938271604</v>
      </c>
      <c r="G1887">
        <v>-0.024438812454742</v>
      </c>
      <c r="H1887">
        <v>-0.195671641791044</v>
      </c>
      <c r="I1887">
        <v>-0.505596330275229</v>
      </c>
    </row>
    <row r="1888" spans="1:9">
      <c r="A1888" s="8" t="s">
        <v>1900</v>
      </c>
      <c r="B1888">
        <f>HYPERLINK("https://www.suredividend.com/sure-analysis-research-database/","Misonix Inc")</f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</row>
    <row r="1889" spans="1:9">
      <c r="A1889" s="8" t="s">
        <v>1901</v>
      </c>
      <c r="B1889">
        <f>HYPERLINK("https://www.suredividend.com/sure-analysis-research-database/","Microstrategy Inc.")</f>
        <v>0</v>
      </c>
      <c r="C1889">
        <v>0.26939440932045</v>
      </c>
      <c r="D1889">
        <v>0.227827264195935</v>
      </c>
      <c r="E1889">
        <v>1.795006041079339</v>
      </c>
      <c r="F1889">
        <v>1.527152401760552</v>
      </c>
      <c r="G1889">
        <v>4.488807124926928</v>
      </c>
      <c r="H1889">
        <v>5.650833333333334</v>
      </c>
      <c r="I1889">
        <v>10.63920081668368</v>
      </c>
    </row>
    <row r="1890" spans="1:9">
      <c r="A1890" s="8" t="s">
        <v>1902</v>
      </c>
      <c r="B1890">
        <f>HYPERLINK("https://www.suredividend.com/sure-analysis-MTB/","M &amp; T Bank Corp")</f>
        <v>0</v>
      </c>
      <c r="C1890">
        <v>-0.001151784517648</v>
      </c>
      <c r="D1890">
        <v>0.033264763363226</v>
      </c>
      <c r="E1890">
        <v>0.126150829962883</v>
      </c>
      <c r="F1890">
        <v>0.09082479787570701</v>
      </c>
      <c r="G1890">
        <v>0.174404039143601</v>
      </c>
      <c r="H1890">
        <v>-0.126790786637674</v>
      </c>
      <c r="I1890">
        <v>0.045198685279299</v>
      </c>
    </row>
    <row r="1891" spans="1:9">
      <c r="A1891" s="8" t="s">
        <v>1903</v>
      </c>
      <c r="B1891">
        <f>HYPERLINK("https://www.suredividend.com/sure-analysis-research-database/","Match Group Inc.")</f>
        <v>0</v>
      </c>
      <c r="C1891">
        <v>0.01618533798794</v>
      </c>
      <c r="D1891">
        <v>-0.06127235414834301</v>
      </c>
      <c r="E1891">
        <v>-0.00682382133995</v>
      </c>
      <c r="F1891">
        <v>-0.122739726027397</v>
      </c>
      <c r="G1891">
        <v>-0.185656154628687</v>
      </c>
      <c r="H1891">
        <v>-0.620166073546856</v>
      </c>
      <c r="I1891">
        <v>-0.6763040841083701</v>
      </c>
    </row>
    <row r="1892" spans="1:9">
      <c r="A1892" s="8" t="s">
        <v>1904</v>
      </c>
      <c r="B1892">
        <f>HYPERLINK("https://www.suredividend.com/sure-analysis-research-database/","Mettler-Toledo International, Inc.")</f>
        <v>0</v>
      </c>
      <c r="C1892">
        <v>0.152948530943946</v>
      </c>
      <c r="D1892">
        <v>0.06525184011373801</v>
      </c>
      <c r="E1892">
        <v>0.3077762222505041</v>
      </c>
      <c r="F1892">
        <v>0.18600778261443</v>
      </c>
      <c r="G1892">
        <v>0.083561808924105</v>
      </c>
      <c r="H1892">
        <v>0.09371935133162501</v>
      </c>
      <c r="I1892">
        <v>0.818961157191988</v>
      </c>
    </row>
    <row r="1893" spans="1:9">
      <c r="A1893" s="8" t="s">
        <v>1905</v>
      </c>
      <c r="B1893">
        <f>HYPERLINK("https://www.suredividend.com/sure-analysis-research-database/","Matador Resources Co")</f>
        <v>0</v>
      </c>
      <c r="C1893">
        <v>-0.09151375249422901</v>
      </c>
      <c r="D1893">
        <v>-0.095887338684808</v>
      </c>
      <c r="E1893">
        <v>0.106781011794224</v>
      </c>
      <c r="F1893">
        <v>0.027557298931552</v>
      </c>
      <c r="G1893">
        <v>0.136437049609735</v>
      </c>
      <c r="H1893">
        <v>-0.108540048128087</v>
      </c>
      <c r="I1893">
        <v>2.554850641159108</v>
      </c>
    </row>
    <row r="1894" spans="1:9">
      <c r="A1894" s="8" t="s">
        <v>1906</v>
      </c>
      <c r="B1894">
        <f>HYPERLINK("https://www.suredividend.com/sure-analysis-research-database/","Molecular Templates Inc")</f>
        <v>0</v>
      </c>
      <c r="C1894">
        <v>-0.267080745341614</v>
      </c>
      <c r="D1894">
        <v>-0.652941176470588</v>
      </c>
      <c r="E1894">
        <v>-0.751578947368421</v>
      </c>
      <c r="F1894">
        <v>-0.6836461126005361</v>
      </c>
      <c r="G1894">
        <v>-0.8426666666666661</v>
      </c>
      <c r="H1894">
        <v>-0.928484848484848</v>
      </c>
      <c r="I1894">
        <v>-0.9894830659536541</v>
      </c>
    </row>
    <row r="1895" spans="1:9">
      <c r="A1895" s="8" t="s">
        <v>1907</v>
      </c>
      <c r="B1895">
        <f>HYPERLINK("https://www.suredividend.com/sure-analysis-research-database/","Mannatech Inc")</f>
        <v>0</v>
      </c>
      <c r="C1895">
        <v>0.015255570117955</v>
      </c>
      <c r="D1895">
        <v>-0.125589795688</v>
      </c>
      <c r="E1895">
        <v>-0.07780952380952301</v>
      </c>
      <c r="F1895">
        <v>-0.043654320987654</v>
      </c>
      <c r="G1895">
        <v>-0.366684380492989</v>
      </c>
      <c r="H1895">
        <v>-0.6747697139162491</v>
      </c>
      <c r="I1895">
        <v>-0.461954672056566</v>
      </c>
    </row>
    <row r="1896" spans="1:9">
      <c r="A1896" s="8" t="s">
        <v>1908</v>
      </c>
      <c r="B1896">
        <f>HYPERLINK("https://www.suredividend.com/sure-analysis-research-database/","MGIC Investment Corp")</f>
        <v>0</v>
      </c>
      <c r="C1896">
        <v>-0.005934013766911</v>
      </c>
      <c r="D1896">
        <v>0.06658245385273601</v>
      </c>
      <c r="E1896">
        <v>0.193325582985707</v>
      </c>
      <c r="F1896">
        <v>0.09805402174084001</v>
      </c>
      <c r="G1896">
        <v>0.341929199456563</v>
      </c>
      <c r="H1896">
        <v>0.5467230006721671</v>
      </c>
      <c r="I1896">
        <v>0.664851284416069</v>
      </c>
    </row>
    <row r="1897" spans="1:9">
      <c r="A1897" s="8" t="s">
        <v>1909</v>
      </c>
      <c r="B1897">
        <f>HYPERLINK("https://www.suredividend.com/sure-analysis-research-database/","Meritage Homes Corp.")</f>
        <v>0</v>
      </c>
      <c r="C1897">
        <v>-0.06279765201018901</v>
      </c>
      <c r="D1897">
        <v>0.06682669487331901</v>
      </c>
      <c r="E1897">
        <v>0.109394388918641</v>
      </c>
      <c r="F1897">
        <v>-0.023933357094823</v>
      </c>
      <c r="G1897">
        <v>0.311987819692376</v>
      </c>
      <c r="H1897">
        <v>1.012454769115883</v>
      </c>
      <c r="I1897">
        <v>2.300505099752325</v>
      </c>
    </row>
    <row r="1898" spans="1:9">
      <c r="A1898" s="8" t="s">
        <v>1910</v>
      </c>
      <c r="B1898">
        <f>HYPERLINK("https://www.suredividend.com/sure-analysis-research-database/","Vail Resorts Inc.")</f>
        <v>0</v>
      </c>
      <c r="C1898">
        <v>-0.119246544128816</v>
      </c>
      <c r="D1898">
        <v>-0.222737150295394</v>
      </c>
      <c r="E1898">
        <v>-0.182416838622038</v>
      </c>
      <c r="F1898">
        <v>-0.176823078484813</v>
      </c>
      <c r="G1898">
        <v>-0.294901391996153</v>
      </c>
      <c r="H1898">
        <v>-0.274174568652553</v>
      </c>
      <c r="I1898">
        <v>-0.172805001405289</v>
      </c>
    </row>
    <row r="1899" spans="1:9">
      <c r="A1899" s="8" t="s">
        <v>1911</v>
      </c>
      <c r="B1899">
        <f>HYPERLINK("https://www.suredividend.com/sure-analysis-research-database/","Matinas Biopharma Holdings Inc")</f>
        <v>0</v>
      </c>
      <c r="C1899">
        <v>-0.07076023391812801</v>
      </c>
      <c r="D1899">
        <v>-0.386486486486486</v>
      </c>
      <c r="E1899">
        <v>-0.330383480825958</v>
      </c>
      <c r="F1899">
        <v>-0.265032377428307</v>
      </c>
      <c r="G1899">
        <v>-0.5708884688090731</v>
      </c>
      <c r="H1899">
        <v>-0.8076271186440671</v>
      </c>
      <c r="I1899">
        <v>-0.8130588235294111</v>
      </c>
    </row>
    <row r="1900" spans="1:9">
      <c r="A1900" s="8" t="s">
        <v>1912</v>
      </c>
      <c r="B1900">
        <f>HYPERLINK("https://www.suredividend.com/sure-analysis-research-database/","Meritor Inc")</f>
        <v>0</v>
      </c>
      <c r="C1900">
        <v>0.006063947078279001</v>
      </c>
      <c r="D1900">
        <v>0.015581524763494</v>
      </c>
      <c r="E1900">
        <v>0.5316827528325641</v>
      </c>
      <c r="F1900">
        <v>0.472962066182405</v>
      </c>
      <c r="G1900">
        <v>0.5323257766582701</v>
      </c>
      <c r="H1900">
        <v>0.604395604395604</v>
      </c>
      <c r="I1900">
        <v>1.005494505494505</v>
      </c>
    </row>
    <row r="1901" spans="1:9">
      <c r="A1901" s="8" t="s">
        <v>1913</v>
      </c>
      <c r="B1901">
        <f>HYPERLINK("https://www.suredividend.com/sure-analysis-research-database/","Materion Corp")</f>
        <v>0</v>
      </c>
      <c r="C1901">
        <v>0.008400439556819001</v>
      </c>
      <c r="D1901">
        <v>-0.177371559941182</v>
      </c>
      <c r="E1901">
        <v>-0.03597448275801701</v>
      </c>
      <c r="F1901">
        <v>-0.151245561193724</v>
      </c>
      <c r="G1901">
        <v>0.001223707770953</v>
      </c>
      <c r="H1901">
        <v>0.3077859602573561</v>
      </c>
      <c r="I1901">
        <v>0.8132251419846921</v>
      </c>
    </row>
    <row r="1902" spans="1:9">
      <c r="A1902" s="8" t="s">
        <v>1914</v>
      </c>
      <c r="B1902">
        <f>HYPERLINK("https://www.suredividend.com/sure-analysis-research-database/","Matrix Service Co.")</f>
        <v>0</v>
      </c>
      <c r="C1902">
        <v>-0.09136630343671401</v>
      </c>
      <c r="D1902">
        <v>-0.162934362934362</v>
      </c>
      <c r="E1902">
        <v>0.13152400835073</v>
      </c>
      <c r="F1902">
        <v>0.108384458077709</v>
      </c>
      <c r="G1902">
        <v>0.83728813559322</v>
      </c>
      <c r="H1902">
        <v>0.63499245852187</v>
      </c>
      <c r="I1902">
        <v>-0.433054393305439</v>
      </c>
    </row>
    <row r="1903" spans="1:9">
      <c r="A1903" s="8" t="s">
        <v>1915</v>
      </c>
      <c r="B1903">
        <f>HYPERLINK("https://www.suredividend.com/sure-analysis-research-database/","MTS Systems Corp.")</f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</row>
    <row r="1904" spans="1:9">
      <c r="A1904" s="8" t="s">
        <v>1916</v>
      </c>
      <c r="B1904">
        <f>HYPERLINK("https://www.suredividend.com/sure-analysis-research-database/","MACOM Technology Solutions Holdings Inc")</f>
        <v>0</v>
      </c>
      <c r="C1904">
        <v>-0.015533980582524</v>
      </c>
      <c r="D1904">
        <v>0.029337123134707</v>
      </c>
      <c r="E1904">
        <v>0.195613724796604</v>
      </c>
      <c r="F1904">
        <v>0.09090909090909001</v>
      </c>
      <c r="G1904">
        <v>0.679364027823782</v>
      </c>
      <c r="H1904">
        <v>0.827027027027027</v>
      </c>
      <c r="I1904">
        <v>5.697490092470278</v>
      </c>
    </row>
    <row r="1905" spans="1:9">
      <c r="A1905" s="8" t="s">
        <v>1917</v>
      </c>
      <c r="B1905">
        <f>HYPERLINK("https://www.suredividend.com/sure-analysis-research-database/","Manitowoc Co., Inc.")</f>
        <v>0</v>
      </c>
      <c r="C1905">
        <v>-0.06571654790182101</v>
      </c>
      <c r="D1905">
        <v>-0.124629080118694</v>
      </c>
      <c r="E1905">
        <v>-0.242618741976893</v>
      </c>
      <c r="F1905">
        <v>-0.292989814260036</v>
      </c>
      <c r="G1905">
        <v>-0.344808439755691</v>
      </c>
      <c r="H1905">
        <v>-0.134262655906089</v>
      </c>
      <c r="I1905">
        <v>-0.222148978246539</v>
      </c>
    </row>
    <row r="1906" spans="1:9">
      <c r="A1906" s="8" t="s">
        <v>1918</v>
      </c>
      <c r="B1906">
        <f>HYPERLINK("https://www.suredividend.com/sure-analysis-research-database/","Minerals Technologies, Inc.")</f>
        <v>0</v>
      </c>
      <c r="C1906">
        <v>0.06525391269392801</v>
      </c>
      <c r="D1906">
        <v>0.159380013042509</v>
      </c>
      <c r="E1906">
        <v>0.320360055465463</v>
      </c>
      <c r="F1906">
        <v>0.184823794894867</v>
      </c>
      <c r="G1906">
        <v>0.4622135695917881</v>
      </c>
      <c r="H1906">
        <v>0.231265104073826</v>
      </c>
      <c r="I1906">
        <v>0.5056360852389771</v>
      </c>
    </row>
    <row r="1907" spans="1:9">
      <c r="A1907" s="8" t="s">
        <v>1919</v>
      </c>
      <c r="B1907">
        <f>HYPERLINK("https://www.suredividend.com/sure-analysis-research-database/","Mastec Inc.")</f>
        <v>0</v>
      </c>
      <c r="C1907">
        <v>0.013440605773781</v>
      </c>
      <c r="D1907">
        <v>0.170419763882815</v>
      </c>
      <c r="E1907">
        <v>0.651804998457266</v>
      </c>
      <c r="F1907">
        <v>0.414025356576862</v>
      </c>
      <c r="G1907">
        <v>-0.02111903455842</v>
      </c>
      <c r="H1907">
        <v>0.228430472693896</v>
      </c>
      <c r="I1907">
        <v>1.156495468277945</v>
      </c>
    </row>
    <row r="1908" spans="1:9">
      <c r="A1908" s="8" t="s">
        <v>1920</v>
      </c>
      <c r="B1908">
        <f>HYPERLINK("https://www.suredividend.com/sure-analysis-MU/","Micron Technology Inc.")</f>
        <v>0</v>
      </c>
      <c r="C1908">
        <v>0.098397785420686</v>
      </c>
      <c r="D1908">
        <v>0.324171128943363</v>
      </c>
      <c r="E1908">
        <v>0.784353992720315</v>
      </c>
      <c r="F1908">
        <v>0.535814360462456</v>
      </c>
      <c r="G1908">
        <v>0.9736524779934881</v>
      </c>
      <c r="H1908">
        <v>0.88995698738489</v>
      </c>
      <c r="I1908">
        <v>2.949579071514105</v>
      </c>
    </row>
    <row r="1909" spans="1:9">
      <c r="A1909" s="8" t="s">
        <v>1921</v>
      </c>
      <c r="B1909">
        <f>HYPERLINK("https://www.suredividend.com/sure-analysis-research-database/","Murphy Oil Corp.")</f>
        <v>0</v>
      </c>
      <c r="C1909">
        <v>-0.107122761054616</v>
      </c>
      <c r="D1909">
        <v>-0.02089755582266</v>
      </c>
      <c r="E1909">
        <v>-0.007587564699436</v>
      </c>
      <c r="F1909">
        <v>-0.056442213923839</v>
      </c>
      <c r="G1909">
        <v>0.040306296383709</v>
      </c>
      <c r="H1909">
        <v>-0.070350581177352</v>
      </c>
      <c r="I1909">
        <v>0.9547264269946381</v>
      </c>
    </row>
    <row r="1910" spans="1:9">
      <c r="A1910" s="8" t="s">
        <v>1922</v>
      </c>
      <c r="B1910">
        <f>HYPERLINK("https://www.suredividend.com/sure-analysis-research-database/","Murphy USA Inc")</f>
        <v>0</v>
      </c>
      <c r="C1910">
        <v>0.08085542797596</v>
      </c>
      <c r="D1910">
        <v>0.06648648959147001</v>
      </c>
      <c r="E1910">
        <v>0.240958912922331</v>
      </c>
      <c r="F1910">
        <v>0.252235231034997</v>
      </c>
      <c r="G1910">
        <v>0.5875979310882941</v>
      </c>
      <c r="H1910">
        <v>0.82791005627431</v>
      </c>
      <c r="I1910">
        <v>4.434243085392461</v>
      </c>
    </row>
    <row r="1911" spans="1:9">
      <c r="A1911" s="8" t="s">
        <v>1923</v>
      </c>
      <c r="B1911">
        <f>HYPERLINK("https://www.suredividend.com/sure-analysis-research-database/","McEwen Mining Inc")</f>
        <v>0</v>
      </c>
      <c r="C1911">
        <v>-0.120760959470636</v>
      </c>
      <c r="D1911">
        <v>0.318858560794044</v>
      </c>
      <c r="E1911">
        <v>0.398684210526316</v>
      </c>
      <c r="F1911">
        <v>0.474341192787794</v>
      </c>
      <c r="G1911">
        <v>0.3823146944083221</v>
      </c>
      <c r="H1911">
        <v>-0.8225079312072131</v>
      </c>
      <c r="I1911">
        <v>-0.9300657894736841</v>
      </c>
    </row>
    <row r="1912" spans="1:9">
      <c r="A1912" s="8" t="s">
        <v>1924</v>
      </c>
      <c r="B1912">
        <f>HYPERLINK("https://www.suredividend.com/sure-analysis-research-database/","MVB Financial Corp.")</f>
        <v>0</v>
      </c>
      <c r="C1912">
        <v>-0.002868460592815</v>
      </c>
      <c r="D1912">
        <v>-0.10469434510231</v>
      </c>
      <c r="E1912">
        <v>-0.08964842970589401</v>
      </c>
      <c r="F1912">
        <v>-0.162686560316389</v>
      </c>
      <c r="G1912">
        <v>-0.06885854813363501</v>
      </c>
      <c r="H1912">
        <v>-0.4325001710273451</v>
      </c>
      <c r="I1912">
        <v>0.331572495914078</v>
      </c>
    </row>
    <row r="1913" spans="1:9">
      <c r="A1913" s="8" t="s">
        <v>1925</v>
      </c>
      <c r="B1913">
        <f>HYPERLINK("https://www.suredividend.com/sure-analysis-research-database/","Microvision Inc.")</f>
        <v>0</v>
      </c>
      <c r="C1913">
        <v>-0.339506172839506</v>
      </c>
      <c r="D1913">
        <v>-0.550420168067226</v>
      </c>
      <c r="E1913">
        <v>-0.5852713178294571</v>
      </c>
      <c r="F1913">
        <v>-0.597744360902255</v>
      </c>
      <c r="G1913">
        <v>-0.858652575957727</v>
      </c>
      <c r="H1913">
        <v>-0.7249357326478151</v>
      </c>
      <c r="I1913">
        <v>0.496712826968807</v>
      </c>
    </row>
    <row r="1914" spans="1:9">
      <c r="A1914" s="8" t="s">
        <v>1926</v>
      </c>
      <c r="B1914">
        <f>HYPERLINK("https://www.suredividend.com/sure-analysis-MWA/","Mueller Water Products Inc")</f>
        <v>0</v>
      </c>
      <c r="C1914">
        <v>-0.02390649113326</v>
      </c>
      <c r="D1914">
        <v>0.116158173374021</v>
      </c>
      <c r="E1914">
        <v>0.300561943716548</v>
      </c>
      <c r="F1914">
        <v>0.226504252861493</v>
      </c>
      <c r="G1914">
        <v>0.15253300704545</v>
      </c>
      <c r="H1914">
        <v>0.459440547790013</v>
      </c>
      <c r="I1914">
        <v>0.9895525777878721</v>
      </c>
    </row>
    <row r="1915" spans="1:9">
      <c r="A1915" s="8" t="s">
        <v>1927</v>
      </c>
      <c r="B1915">
        <f>HYPERLINK("https://www.suredividend.com/sure-analysis-research-database/","Maxim Integrated Products, Inc.")</f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</row>
    <row r="1916" spans="1:9">
      <c r="A1916" s="8" t="s">
        <v>1928</v>
      </c>
      <c r="B1916">
        <f>HYPERLINK("https://www.suredividend.com/sure-analysis-research-database/","MaxLinear Inc")</f>
        <v>0</v>
      </c>
      <c r="C1916">
        <v>-0.155130093274423</v>
      </c>
      <c r="D1916">
        <v>-0.185132575757575</v>
      </c>
      <c r="E1916">
        <v>-0.110594315245478</v>
      </c>
      <c r="F1916">
        <v>-0.275978123685317</v>
      </c>
      <c r="G1916">
        <v>-0.405732044198894</v>
      </c>
      <c r="H1916">
        <v>-0.575166625524561</v>
      </c>
      <c r="I1916">
        <v>-0.206180811808118</v>
      </c>
    </row>
    <row r="1917" spans="1:9">
      <c r="A1917" s="8" t="s">
        <v>1929</v>
      </c>
      <c r="B1917">
        <f>HYPERLINK("https://www.suredividend.com/sure-analysis-research-database/","Myers Industries Inc.")</f>
        <v>0</v>
      </c>
      <c r="C1917">
        <v>-0.133918770581778</v>
      </c>
      <c r="D1917">
        <v>-0.259287075545207</v>
      </c>
      <c r="E1917">
        <v>-0.130765290102953</v>
      </c>
      <c r="F1917">
        <v>-0.187678242337509</v>
      </c>
      <c r="G1917">
        <v>-0.210581608252373</v>
      </c>
      <c r="H1917">
        <v>-0.342661595691059</v>
      </c>
      <c r="I1917">
        <v>-0.021025007909969</v>
      </c>
    </row>
    <row r="1918" spans="1:9">
      <c r="A1918" s="8" t="s">
        <v>1930</v>
      </c>
      <c r="B1918">
        <f>HYPERLINK("https://www.suredividend.com/sure-analysis-research-database/","Myriad Genetics, Inc.")</f>
        <v>0</v>
      </c>
      <c r="C1918">
        <v>0.119312436804853</v>
      </c>
      <c r="D1918">
        <v>-0.029373081981586</v>
      </c>
      <c r="E1918">
        <v>0.203260869565217</v>
      </c>
      <c r="F1918">
        <v>0.156739811912225</v>
      </c>
      <c r="G1918">
        <v>-0.045689655172413</v>
      </c>
      <c r="H1918">
        <v>0.18332442544094</v>
      </c>
      <c r="I1918">
        <v>-0.114754098360655</v>
      </c>
    </row>
    <row r="1919" spans="1:9">
      <c r="A1919" s="8" t="s">
        <v>1931</v>
      </c>
      <c r="B1919">
        <f>HYPERLINK("https://www.suredividend.com/sure-analysis-research-database/","MYR Group Inc")</f>
        <v>0</v>
      </c>
      <c r="C1919">
        <v>-0.03711179113223501</v>
      </c>
      <c r="D1919">
        <v>-0.084045584045584</v>
      </c>
      <c r="E1919">
        <v>0.137615384615384</v>
      </c>
      <c r="F1919">
        <v>0.022540275184954</v>
      </c>
      <c r="G1919">
        <v>0.05779271868965</v>
      </c>
      <c r="H1919">
        <v>0.580865847140566</v>
      </c>
      <c r="I1919">
        <v>3.414626865671641</v>
      </c>
    </row>
    <row r="1920" spans="1:9">
      <c r="A1920" s="8" t="s">
        <v>1932</v>
      </c>
      <c r="B1920">
        <f>HYPERLINK("https://www.suredividend.com/sure-analysis-research-database/","Natural Alternatives International, Inc.")</f>
        <v>0</v>
      </c>
      <c r="C1920">
        <v>0.023453124999999</v>
      </c>
      <c r="D1920">
        <v>0.100857142857142</v>
      </c>
      <c r="E1920">
        <v>0.025054773082942</v>
      </c>
      <c r="F1920">
        <v>0.003078101071975</v>
      </c>
      <c r="G1920">
        <v>-0.152639068564036</v>
      </c>
      <c r="H1920">
        <v>-0.360341796875</v>
      </c>
      <c r="I1920">
        <v>-0.46007501133413</v>
      </c>
    </row>
    <row r="1921" spans="1:9">
      <c r="A1921" s="8" t="s">
        <v>1933</v>
      </c>
      <c r="B1921">
        <f>HYPERLINK("https://www.suredividend.com/sure-analysis-research-database/","Nathan`s Famous, Inc.")</f>
        <v>0</v>
      </c>
      <c r="C1921">
        <v>0.025288044291485</v>
      </c>
      <c r="D1921">
        <v>-0.00796293615173</v>
      </c>
      <c r="E1921">
        <v>0.00311974339342</v>
      </c>
      <c r="F1921">
        <v>-0.10888114643767</v>
      </c>
      <c r="G1921">
        <v>-0.109514625689437</v>
      </c>
      <c r="H1921">
        <v>0.391215364280362</v>
      </c>
      <c r="I1921">
        <v>0.236387914001389</v>
      </c>
    </row>
    <row r="1922" spans="1:9">
      <c r="A1922" s="8" t="s">
        <v>1934</v>
      </c>
      <c r="B1922">
        <f>HYPERLINK("https://www.suredividend.com/sure-analysis-research-database/","National Instruments Corp.")</f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</row>
    <row r="1923" spans="1:9">
      <c r="A1923" s="8" t="s">
        <v>1935</v>
      </c>
      <c r="B1923">
        <f>HYPERLINK("https://www.suredividend.com/sure-analysis-research-database/","Nature`s Sunshine Products, Inc.")</f>
        <v>0</v>
      </c>
      <c r="C1923">
        <v>-0.213389121338912</v>
      </c>
      <c r="D1923">
        <v>-0.160245672808486</v>
      </c>
      <c r="E1923">
        <v>-0.111111111111111</v>
      </c>
      <c r="F1923">
        <v>-0.130133024869867</v>
      </c>
      <c r="G1923">
        <v>0.24297520661157</v>
      </c>
      <c r="H1923">
        <v>0.187993680884676</v>
      </c>
      <c r="I1923">
        <v>0.737503032543524</v>
      </c>
    </row>
    <row r="1924" spans="1:9">
      <c r="A1924" s="8" t="s">
        <v>1936</v>
      </c>
      <c r="B1924">
        <f>HYPERLINK("https://www.suredividend.com/sure-analysis-research-database/","Navistar International Corp.")</f>
        <v>0</v>
      </c>
      <c r="C1924">
        <v>0.006104453990504</v>
      </c>
      <c r="D1924">
        <v>0.010674540086304</v>
      </c>
      <c r="E1924">
        <v>0.012283894449499</v>
      </c>
      <c r="F1924">
        <v>0</v>
      </c>
      <c r="G1924">
        <v>0.578014184397163</v>
      </c>
      <c r="H1924">
        <v>0.291727140783744</v>
      </c>
      <c r="I1924">
        <v>2.806672369546621</v>
      </c>
    </row>
    <row r="1925" spans="1:9">
      <c r="A1925" s="8" t="s">
        <v>1937</v>
      </c>
      <c r="B1925">
        <f>HYPERLINK("https://www.suredividend.com/sure-analysis-research-database/","Navidea Biopharmaceuticals Inc")</f>
        <v>0</v>
      </c>
      <c r="C1925">
        <v>-0.9975000000000001</v>
      </c>
      <c r="D1925">
        <v>-0.9974937343358391</v>
      </c>
      <c r="E1925">
        <v>-0.99830220713073</v>
      </c>
      <c r="F1925">
        <v>-0.9981884057971011</v>
      </c>
      <c r="G1925">
        <v>-0.997955010224948</v>
      </c>
      <c r="H1925">
        <v>-0.997955010224948</v>
      </c>
      <c r="I1925">
        <v>-0.997955010224948</v>
      </c>
    </row>
    <row r="1926" spans="1:9">
      <c r="A1926" s="8" t="s">
        <v>1938</v>
      </c>
      <c r="B1926">
        <f>HYPERLINK("https://www.suredividend.com/sure-analysis-NAVI/","Navient Corp")</f>
        <v>0</v>
      </c>
      <c r="C1926">
        <v>-0.049129414874285</v>
      </c>
      <c r="D1926">
        <v>-0.10577795453698</v>
      </c>
      <c r="E1926">
        <v>-0.172807854588933</v>
      </c>
      <c r="F1926">
        <v>-0.193683951004673</v>
      </c>
      <c r="G1926">
        <v>-0.124738455549608</v>
      </c>
      <c r="H1926">
        <v>0.028246407568579</v>
      </c>
      <c r="I1926">
        <v>0.444460059023107</v>
      </c>
    </row>
    <row r="1927" spans="1:9">
      <c r="A1927" s="8" t="s">
        <v>1939</v>
      </c>
      <c r="B1927">
        <f>HYPERLINK("https://www.suredividend.com/sure-analysis-research-database/","NewAge Inc")</f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</row>
    <row r="1928" spans="1:9">
      <c r="A1928" s="8" t="s">
        <v>1940</v>
      </c>
      <c r="B1928">
        <f>HYPERLINK("https://www.suredividend.com/sure-analysis-research-database/","National Bank Holdings Corp")</f>
        <v>0</v>
      </c>
      <c r="C1928">
        <v>0.06254709871891401</v>
      </c>
      <c r="D1928">
        <v>0.06714949407915401</v>
      </c>
      <c r="E1928">
        <v>0.036319229290576</v>
      </c>
      <c r="F1928">
        <v>0.001486111414646</v>
      </c>
      <c r="G1928">
        <v>0.09316666467872901</v>
      </c>
      <c r="H1928">
        <v>-0.055144898401014</v>
      </c>
      <c r="I1928">
        <v>0.176923817779061</v>
      </c>
    </row>
    <row r="1929" spans="1:9">
      <c r="A1929" s="8" t="s">
        <v>1941</v>
      </c>
      <c r="B1929">
        <f>HYPERLINK("https://www.suredividend.com/sure-analysis-research-database/","Neurocrine Biosciences, Inc.")</f>
        <v>0</v>
      </c>
      <c r="C1929">
        <v>-0.057406243452755</v>
      </c>
      <c r="D1929">
        <v>-0.002660164043449</v>
      </c>
      <c r="E1929">
        <v>0.124749999999999</v>
      </c>
      <c r="F1929">
        <v>0.024362477231329</v>
      </c>
      <c r="G1929">
        <v>0.448175965665236</v>
      </c>
      <c r="H1929">
        <v>0.4137425369225931</v>
      </c>
      <c r="I1929">
        <v>0.637786676374226</v>
      </c>
    </row>
    <row r="1930" spans="1:9">
      <c r="A1930" s="8" t="s">
        <v>1942</v>
      </c>
      <c r="B1930">
        <f>HYPERLINK("https://www.suredividend.com/sure-analysis-research-database/","Northeast Bank")</f>
        <v>0</v>
      </c>
      <c r="C1930">
        <v>0.04019814709494701</v>
      </c>
      <c r="D1930">
        <v>0.047766196058234</v>
      </c>
      <c r="E1930">
        <v>0.05842745766290101</v>
      </c>
      <c r="F1930">
        <v>0.018152673942726</v>
      </c>
      <c r="G1930">
        <v>0.3492828255400131</v>
      </c>
      <c r="H1930">
        <v>0.4747596785207751</v>
      </c>
      <c r="I1930">
        <v>1.615435494464034</v>
      </c>
    </row>
    <row r="1931" spans="1:9">
      <c r="A1931" s="8" t="s">
        <v>1943</v>
      </c>
      <c r="B1931">
        <f>HYPERLINK("https://www.suredividend.com/sure-analysis-research-database/","Nabors Industries Ltd")</f>
        <v>0</v>
      </c>
      <c r="C1931">
        <v>-0.111125880632726</v>
      </c>
      <c r="D1931">
        <v>-0.211996229083195</v>
      </c>
      <c r="E1931">
        <v>-0.162659654395191</v>
      </c>
      <c r="F1931">
        <v>-0.180815876515986</v>
      </c>
      <c r="G1931">
        <v>-0.360707456978967</v>
      </c>
      <c r="H1931">
        <v>-0.648311770274534</v>
      </c>
      <c r="I1931">
        <v>-0.410085968479694</v>
      </c>
    </row>
    <row r="1932" spans="1:9">
      <c r="A1932" s="8" t="s">
        <v>1944</v>
      </c>
      <c r="B1932">
        <f>HYPERLINK("https://www.suredividend.com/sure-analysis-research-database/","NeuBase Therapeutics Inc")</f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</row>
    <row r="1933" spans="1:9">
      <c r="A1933" s="8" t="s">
        <v>1945</v>
      </c>
      <c r="B1933">
        <f>HYPERLINK("https://www.suredividend.com/sure-analysis-research-database/","NBT Bancorp. Inc.")</f>
        <v>0</v>
      </c>
      <c r="C1933">
        <v>-0.013592638488571</v>
      </c>
      <c r="D1933">
        <v>0.036805138394713</v>
      </c>
      <c r="E1933">
        <v>-0.03503183857345901</v>
      </c>
      <c r="F1933">
        <v>-0.111704957379158</v>
      </c>
      <c r="G1933">
        <v>0.048864217369074</v>
      </c>
      <c r="H1933">
        <v>0.057770784901279</v>
      </c>
      <c r="I1933">
        <v>0.193690398606142</v>
      </c>
    </row>
    <row r="1934" spans="1:9">
      <c r="A1934" s="8" t="s">
        <v>1946</v>
      </c>
      <c r="B1934">
        <f>HYPERLINK("https://www.suredividend.com/sure-analysis-research-database/","Novabay Pharmaceuticals Inc")</f>
        <v>0</v>
      </c>
      <c r="C1934">
        <v>-0.10487200660611</v>
      </c>
      <c r="D1934">
        <v>-0.455495278280088</v>
      </c>
      <c r="E1934">
        <v>-0.7392099311937641</v>
      </c>
      <c r="F1934">
        <v>-0.620448179271708</v>
      </c>
      <c r="G1934">
        <v>-0.8901254839952151</v>
      </c>
      <c r="H1934">
        <v>-0.9896381971992541</v>
      </c>
      <c r="I1934">
        <v>-0.9930432550378641</v>
      </c>
    </row>
    <row r="1935" spans="1:9">
      <c r="A1935" s="8" t="s">
        <v>1947</v>
      </c>
      <c r="B1935">
        <f>HYPERLINK("https://www.suredividend.com/sure-analysis-NC/","Nacco Industries Inc.")</f>
        <v>0</v>
      </c>
      <c r="C1935">
        <v>0.042865914498426</v>
      </c>
      <c r="D1935">
        <v>0.078840370663217</v>
      </c>
      <c r="E1935">
        <v>-0.04764407997336501</v>
      </c>
      <c r="F1935">
        <v>-0.09435031229778401</v>
      </c>
      <c r="G1935">
        <v>-0.06710760446049001</v>
      </c>
      <c r="H1935">
        <v>-0.3664061179405571</v>
      </c>
      <c r="I1935">
        <v>-0.261502087994709</v>
      </c>
    </row>
    <row r="1936" spans="1:9">
      <c r="A1936" s="8" t="s">
        <v>1948</v>
      </c>
      <c r="B1936">
        <f>HYPERLINK("https://www.suredividend.com/sure-analysis-research-database/","Nicolet Bankshares Inc.")</f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</row>
    <row r="1937" spans="1:9">
      <c r="A1937" s="8" t="s">
        <v>1949</v>
      </c>
      <c r="B1937">
        <f>HYPERLINK("https://www.suredividend.com/sure-analysis-research-database/","Neo Concept International Group Holdings Ltd")</f>
        <v>0</v>
      </c>
      <c r="C1937">
        <v>-0.258392675483214</v>
      </c>
      <c r="D1937">
        <v>-0.9232631578947361</v>
      </c>
      <c r="E1937">
        <v>-0.9232631578947361</v>
      </c>
      <c r="F1937">
        <v>-0.9232631578947361</v>
      </c>
      <c r="G1937">
        <v>-0.9232631578947361</v>
      </c>
      <c r="H1937">
        <v>-0.9232631578947361</v>
      </c>
      <c r="I1937">
        <v>-0.9232631578947361</v>
      </c>
    </row>
    <row r="1938" spans="1:9">
      <c r="A1938" s="8" t="s">
        <v>1950</v>
      </c>
      <c r="B1938">
        <f>HYPERLINK("https://www.suredividend.com/sure-analysis-research-database/","Norwegian Cruise Line Holdings Ltd")</f>
        <v>0</v>
      </c>
      <c r="C1938">
        <v>0.140384615384615</v>
      </c>
      <c r="D1938">
        <v>-0.09373408048904701</v>
      </c>
      <c r="E1938">
        <v>-0.052210974960042</v>
      </c>
      <c r="F1938">
        <v>-0.112275449101796</v>
      </c>
      <c r="G1938">
        <v>0.04524089306698</v>
      </c>
      <c r="H1938">
        <v>0.119572057898049</v>
      </c>
      <c r="I1938">
        <v>-0.6617227609811751</v>
      </c>
    </row>
    <row r="1939" spans="1:9">
      <c r="A1939" s="8" t="s">
        <v>1951</v>
      </c>
      <c r="B1939">
        <f>HYPERLINK("https://www.suredividend.com/sure-analysis-research-database/","National Cinemedia Inc")</f>
        <v>0</v>
      </c>
      <c r="C1939">
        <v>0.06507592190889301</v>
      </c>
      <c r="D1939">
        <v>0.144522144522144</v>
      </c>
      <c r="E1939">
        <v>0.233668341708542</v>
      </c>
      <c r="F1939">
        <v>0.185990338164251</v>
      </c>
      <c r="G1939">
        <v>0.426910781749491</v>
      </c>
      <c r="H1939">
        <v>-0.6241551144757691</v>
      </c>
      <c r="I1939">
        <v>-0.902469255965564</v>
      </c>
    </row>
    <row r="1940" spans="1:9">
      <c r="A1940" s="8" t="s">
        <v>1952</v>
      </c>
      <c r="B1940">
        <f>HYPERLINK("https://www.suredividend.com/sure-analysis-research-database/","NCS Multistage Holdings Inc")</f>
        <v>0</v>
      </c>
      <c r="C1940">
        <v>-0.003368893879842</v>
      </c>
      <c r="D1940">
        <v>0.156351791530944</v>
      </c>
      <c r="E1940">
        <v>0.265146115466856</v>
      </c>
      <c r="F1940">
        <v>-0.005602240896358</v>
      </c>
      <c r="G1940">
        <v>0.044123788963464</v>
      </c>
      <c r="H1940">
        <v>-0.530919661733615</v>
      </c>
      <c r="I1940">
        <v>-0.686395759717314</v>
      </c>
    </row>
    <row r="1941" spans="1:9">
      <c r="A1941" s="8" t="s">
        <v>1953</v>
      </c>
      <c r="B1941">
        <f>HYPERLINK("https://www.suredividend.com/sure-analysis-NDAQ/","Nasdaq Inc")</f>
        <v>0</v>
      </c>
      <c r="C1941">
        <v>-0.034811165845648</v>
      </c>
      <c r="D1941">
        <v>0.001443045695311</v>
      </c>
      <c r="E1941">
        <v>0.093945704709103</v>
      </c>
      <c r="F1941">
        <v>0.018495094658705</v>
      </c>
      <c r="G1941">
        <v>0.06438843840200401</v>
      </c>
      <c r="H1941">
        <v>0.193616446645669</v>
      </c>
      <c r="I1941">
        <v>1.011319231058765</v>
      </c>
    </row>
    <row r="1942" spans="1:9">
      <c r="A1942" s="8" t="s">
        <v>1954</v>
      </c>
      <c r="B1942">
        <f>HYPERLINK("https://www.suredividend.com/sure-analysis-research-database/","Noodles &amp; Company")</f>
        <v>0</v>
      </c>
      <c r="C1942">
        <v>0.106741573033707</v>
      </c>
      <c r="D1942">
        <v>-0.195918367346938</v>
      </c>
      <c r="E1942">
        <v>-0.403030303030302</v>
      </c>
      <c r="F1942">
        <v>-0.374603174603174</v>
      </c>
      <c r="G1942">
        <v>-0.4527777777777771</v>
      </c>
      <c r="H1942">
        <v>-0.6973886328725031</v>
      </c>
      <c r="I1942">
        <v>-0.7248603351955301</v>
      </c>
    </row>
    <row r="1943" spans="1:9">
      <c r="A1943" s="8" t="s">
        <v>1955</v>
      </c>
      <c r="B1943">
        <f>HYPERLINK("https://www.suredividend.com/sure-analysis-NDSN/","Nordson Corp.")</f>
        <v>0</v>
      </c>
      <c r="C1943">
        <v>-0.164572093937338</v>
      </c>
      <c r="D1943">
        <v>-0.149981394684517</v>
      </c>
      <c r="E1943">
        <v>-0.047225431139445</v>
      </c>
      <c r="F1943">
        <v>-0.1351581629941</v>
      </c>
      <c r="G1943">
        <v>-0.009620454501661001</v>
      </c>
      <c r="H1943">
        <v>0.055234269940264</v>
      </c>
      <c r="I1943">
        <v>0.8185707312640571</v>
      </c>
    </row>
    <row r="1944" spans="1:9">
      <c r="A1944" s="8" t="s">
        <v>1956</v>
      </c>
      <c r="B1944">
        <f>HYPERLINK("https://www.suredividend.com/sure-analysis-research-database/","Noble Corp Plc")</f>
        <v>0</v>
      </c>
      <c r="C1944">
        <v>-0.05778894472361801</v>
      </c>
      <c r="D1944">
        <v>-0.03581734849770801</v>
      </c>
      <c r="E1944">
        <v>0.037372185275646</v>
      </c>
      <c r="F1944">
        <v>-0.098759842769557</v>
      </c>
      <c r="G1944">
        <v>0.078006144128915</v>
      </c>
      <c r="H1944">
        <v>0.473910741903005</v>
      </c>
      <c r="I1944">
        <v>0.473910741903005</v>
      </c>
    </row>
    <row r="1945" spans="1:9">
      <c r="A1945" s="8" t="s">
        <v>1957</v>
      </c>
      <c r="B1945">
        <f>HYPERLINK("https://www.suredividend.com/sure-analysis-NEE/","NextEra Energy Inc")</f>
        <v>0</v>
      </c>
      <c r="C1945">
        <v>0.05459881460799</v>
      </c>
      <c r="D1945">
        <v>0.348947895791583</v>
      </c>
      <c r="E1945">
        <v>0.279412139056944</v>
      </c>
      <c r="F1945">
        <v>0.260666502791726</v>
      </c>
      <c r="G1945">
        <v>0.04799159271368501</v>
      </c>
      <c r="H1945">
        <v>-0.003306447241608</v>
      </c>
      <c r="I1945">
        <v>0.6557622238474561</v>
      </c>
    </row>
    <row r="1946" spans="1:9">
      <c r="A1946" s="8" t="s">
        <v>1958</v>
      </c>
      <c r="B1946">
        <f>HYPERLINK("https://www.suredividend.com/sure-analysis-NEM/","Newmont Corp")</f>
        <v>0</v>
      </c>
      <c r="C1946">
        <v>-0.020214746787659</v>
      </c>
      <c r="D1946">
        <v>0.198063388120886</v>
      </c>
      <c r="E1946">
        <v>0.030017507235132</v>
      </c>
      <c r="F1946">
        <v>-0.011293206927806</v>
      </c>
      <c r="G1946">
        <v>-0.003336206108887</v>
      </c>
      <c r="H1946">
        <v>-0.361552017059026</v>
      </c>
      <c r="I1946">
        <v>0.321311883295029</v>
      </c>
    </row>
    <row r="1947" spans="1:9">
      <c r="A1947" s="8" t="s">
        <v>1959</v>
      </c>
      <c r="B1947">
        <f>HYPERLINK("https://www.suredividend.com/sure-analysis-research-database/","Neogenomics Inc.")</f>
        <v>0</v>
      </c>
      <c r="C1947">
        <v>-0.164418754014129</v>
      </c>
      <c r="D1947">
        <v>-0.184837092731829</v>
      </c>
      <c r="E1947">
        <v>-0.274804905239687</v>
      </c>
      <c r="F1947">
        <v>-0.195920889987639</v>
      </c>
      <c r="G1947">
        <v>-0.25401376146789</v>
      </c>
      <c r="H1947">
        <v>0.5488095238095231</v>
      </c>
      <c r="I1947">
        <v>-0.442109777015437</v>
      </c>
    </row>
    <row r="1948" spans="1:9">
      <c r="A1948" s="8" t="s">
        <v>1960</v>
      </c>
      <c r="B1948">
        <f>HYPERLINK("https://www.suredividend.com/sure-analysis-research-database/","Neogen Corp.")</f>
        <v>0</v>
      </c>
      <c r="C1948">
        <v>0.298146655922642</v>
      </c>
      <c r="D1948">
        <v>-0.038782816229117</v>
      </c>
      <c r="E1948">
        <v>-0.122070844686648</v>
      </c>
      <c r="F1948">
        <v>-0.198906016907011</v>
      </c>
      <c r="G1948">
        <v>-0.168301497160557</v>
      </c>
      <c r="H1948">
        <v>-0.3801462100808</v>
      </c>
      <c r="I1948">
        <v>-0.431846235231881</v>
      </c>
    </row>
    <row r="1949" spans="1:9">
      <c r="A1949" s="8" t="s">
        <v>1961</v>
      </c>
      <c r="B1949">
        <f>HYPERLINK("https://www.suredividend.com/sure-analysis-research-database/","Neonode Inc.")</f>
        <v>0</v>
      </c>
      <c r="C1949">
        <v>-0.078512396694214</v>
      </c>
      <c r="D1949">
        <v>0.6277372262773721</v>
      </c>
      <c r="E1949">
        <v>0.368098159509202</v>
      </c>
      <c r="F1949">
        <v>-0.026200873362445</v>
      </c>
      <c r="G1949">
        <v>-0.727050183598531</v>
      </c>
      <c r="H1949">
        <v>-0.7215980024968781</v>
      </c>
      <c r="I1949">
        <v>-0.214788732394366</v>
      </c>
    </row>
    <row r="1950" spans="1:9">
      <c r="A1950" s="8" t="s">
        <v>1962</v>
      </c>
      <c r="B1950">
        <f>HYPERLINK("https://www.suredividend.com/sure-analysis-research-database/","Neos Therapeutics Inc")</f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</row>
    <row r="1951" spans="1:9">
      <c r="A1951" s="8" t="s">
        <v>1963</v>
      </c>
      <c r="B1951">
        <f>HYPERLINK("https://www.suredividend.com/sure-analysis-research-database/","Minerva Neurosciences Inc")</f>
        <v>0</v>
      </c>
      <c r="C1951">
        <v>0.293172690763052</v>
      </c>
      <c r="D1951">
        <v>0.2578125</v>
      </c>
      <c r="E1951">
        <v>-0.460274891049279</v>
      </c>
      <c r="F1951">
        <v>-0.476422764227642</v>
      </c>
      <c r="G1951">
        <v>-0.5292397660818711</v>
      </c>
      <c r="H1951">
        <v>7.254293770827994</v>
      </c>
      <c r="I1951">
        <v>-0.356</v>
      </c>
    </row>
    <row r="1952" spans="1:9">
      <c r="A1952" s="8" t="s">
        <v>1964</v>
      </c>
      <c r="B1952">
        <f>HYPERLINK("https://www.suredividend.com/sure-analysis-research-database/","Net Element Inc.")</f>
        <v>0</v>
      </c>
      <c r="C1952">
        <v>0.7022106631989591</v>
      </c>
      <c r="D1952">
        <v>0.169794459338695</v>
      </c>
      <c r="E1952">
        <v>0.288385826771653</v>
      </c>
      <c r="F1952">
        <v>-0.06164874551971301</v>
      </c>
      <c r="G1952">
        <v>1.121555915721231</v>
      </c>
      <c r="H1952">
        <v>1.968253968253968</v>
      </c>
      <c r="I1952">
        <v>0.20091743119266</v>
      </c>
    </row>
    <row r="1953" spans="1:9">
      <c r="A1953" s="8" t="s">
        <v>1965</v>
      </c>
      <c r="B1953">
        <f>HYPERLINK("https://www.suredividend.com/sure-analysis-NEU/","NewMarket Corp.")</f>
        <v>0</v>
      </c>
      <c r="C1953">
        <v>-0.048173702742113</v>
      </c>
      <c r="D1953">
        <v>-0.138176579688919</v>
      </c>
      <c r="E1953">
        <v>-0.010234938142688</v>
      </c>
      <c r="F1953">
        <v>-0.015383743723473</v>
      </c>
      <c r="G1953">
        <v>0.345643446345594</v>
      </c>
      <c r="H1953">
        <v>0.70326498634524</v>
      </c>
      <c r="I1953">
        <v>0.465489602210952</v>
      </c>
    </row>
    <row r="1954" spans="1:9">
      <c r="A1954" s="8" t="s">
        <v>1966</v>
      </c>
      <c r="B1954">
        <f>HYPERLINK("https://www.suredividend.com/sure-analysis-research-database/","New Relic Inc")</f>
        <v>0</v>
      </c>
      <c r="C1954">
        <v>0.012689173457508</v>
      </c>
      <c r="D1954">
        <v>0.030809337599241</v>
      </c>
      <c r="E1954">
        <v>0.202682151251209</v>
      </c>
      <c r="F1954">
        <v>0.5410097431355181</v>
      </c>
      <c r="G1954">
        <v>0.715102523659305</v>
      </c>
      <c r="H1954">
        <v>-0.002064930595388</v>
      </c>
      <c r="I1954">
        <v>-0.094891270419311</v>
      </c>
    </row>
    <row r="1955" spans="1:9">
      <c r="A1955" s="8" t="s">
        <v>1967</v>
      </c>
      <c r="B1955">
        <f>HYPERLINK("https://www.suredividend.com/sure-analysis-research-database/","Northfield Bancorp Inc")</f>
        <v>0</v>
      </c>
      <c r="C1955">
        <v>-0.09161147902869701</v>
      </c>
      <c r="D1955">
        <v>-0.151625106948839</v>
      </c>
      <c r="E1955">
        <v>-0.217732660374309</v>
      </c>
      <c r="F1955">
        <v>-0.319091901909521</v>
      </c>
      <c r="G1955">
        <v>-0.221108618911066</v>
      </c>
      <c r="H1955">
        <v>-0.278961985614284</v>
      </c>
      <c r="I1955">
        <v>-0.309986333872712</v>
      </c>
    </row>
    <row r="1956" spans="1:9">
      <c r="A1956" s="8" t="s">
        <v>1968</v>
      </c>
      <c r="B1956">
        <f>HYPERLINK("https://www.suredividend.com/sure-analysis-NFG/","National Fuel Gas Co.")</f>
        <v>0</v>
      </c>
      <c r="C1956">
        <v>0.005736823234134001</v>
      </c>
      <c r="D1956">
        <v>0.109882304994074</v>
      </c>
      <c r="E1956">
        <v>0.129561283229941</v>
      </c>
      <c r="F1956">
        <v>0.128906650890145</v>
      </c>
      <c r="G1956">
        <v>0.09118069252045201</v>
      </c>
      <c r="H1956">
        <v>-0.203229123466819</v>
      </c>
      <c r="I1956">
        <v>0.223880727260034</v>
      </c>
    </row>
    <row r="1957" spans="1:9">
      <c r="A1957" s="8" t="s">
        <v>1969</v>
      </c>
      <c r="B1957">
        <f>HYPERLINK("https://www.suredividend.com/sure-analysis-research-database/","Netflix Inc.")</f>
        <v>0</v>
      </c>
      <c r="C1957">
        <v>0.05853135313531301</v>
      </c>
      <c r="D1957">
        <v>0.05416509178156401</v>
      </c>
      <c r="E1957">
        <v>0.419181415929203</v>
      </c>
      <c r="F1957">
        <v>0.317511501807427</v>
      </c>
      <c r="G1957">
        <v>0.6045976436450961</v>
      </c>
      <c r="H1957">
        <v>2.229797089773928</v>
      </c>
      <c r="I1957">
        <v>0.7775653282345441</v>
      </c>
    </row>
    <row r="1958" spans="1:9">
      <c r="A1958" s="8" t="s">
        <v>1970</v>
      </c>
      <c r="B1958">
        <f>HYPERLINK("https://www.suredividend.com/sure-analysis-research-database/","National General Holdings Corp")</f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</row>
    <row r="1959" spans="1:9">
      <c r="A1959" s="8" t="s">
        <v>1971</v>
      </c>
      <c r="B1959">
        <f>HYPERLINK("https://www.suredividend.com/sure-analysis-research-database/","Natural Gas Services Group, Inc.")</f>
        <v>0</v>
      </c>
      <c r="C1959">
        <v>-0.13030303030303</v>
      </c>
      <c r="D1959">
        <v>0.13631221719457</v>
      </c>
      <c r="E1959">
        <v>0.512801204819277</v>
      </c>
      <c r="F1959">
        <v>0.249378109452736</v>
      </c>
      <c r="G1959">
        <v>0.8263636363636361</v>
      </c>
      <c r="H1959">
        <v>0.367597004765146</v>
      </c>
      <c r="I1959">
        <v>0.269109286165508</v>
      </c>
    </row>
    <row r="1960" spans="1:9">
      <c r="A1960" s="8" t="s">
        <v>1972</v>
      </c>
      <c r="B1960">
        <f>HYPERLINK("https://www.suredividend.com/sure-analysis-research-database/","Natural Grocers by Vitamin Cottage Inc")</f>
        <v>0</v>
      </c>
      <c r="C1960">
        <v>0.168175887192065</v>
      </c>
      <c r="D1960">
        <v>0.266291514147135</v>
      </c>
      <c r="E1960">
        <v>0.255023704666329</v>
      </c>
      <c r="F1960">
        <v>0.317776079142371</v>
      </c>
      <c r="G1960">
        <v>0.856978804091406</v>
      </c>
      <c r="H1960">
        <v>0.27055670605433</v>
      </c>
      <c r="I1960">
        <v>1.35193307250854</v>
      </c>
    </row>
    <row r="1961" spans="1:9">
      <c r="A1961" s="8" t="s">
        <v>1973</v>
      </c>
      <c r="B1961">
        <f>HYPERLINK("https://www.suredividend.com/sure-analysis-research-database/","Ingevity Corp")</f>
        <v>0</v>
      </c>
      <c r="C1961">
        <v>-0.105733432613551</v>
      </c>
      <c r="D1961">
        <v>0.049137366237169</v>
      </c>
      <c r="E1961">
        <v>0.162914548535463</v>
      </c>
      <c r="F1961">
        <v>0.017365523083439</v>
      </c>
      <c r="G1961">
        <v>-0.121594441396964</v>
      </c>
      <c r="H1961">
        <v>-0.351686909581646</v>
      </c>
      <c r="I1961">
        <v>-0.468348826914563</v>
      </c>
    </row>
    <row r="1962" spans="1:9">
      <c r="A1962" s="8" t="s">
        <v>1974</v>
      </c>
      <c r="B1962">
        <f>HYPERLINK("https://www.suredividend.com/sure-analysis-NHC/","National Healthcare Corp.")</f>
        <v>0</v>
      </c>
      <c r="C1962">
        <v>0.100597397055685</v>
      </c>
      <c r="D1962">
        <v>0.092862023124142</v>
      </c>
      <c r="E1962">
        <v>0.216072382061488</v>
      </c>
      <c r="F1962">
        <v>0.130820982390452</v>
      </c>
      <c r="G1962">
        <v>0.7212154780931661</v>
      </c>
      <c r="H1962">
        <v>0.5894437640098901</v>
      </c>
      <c r="I1962">
        <v>0.5473380146919871</v>
      </c>
    </row>
    <row r="1963" spans="1:9">
      <c r="A1963" s="8" t="s">
        <v>1975</v>
      </c>
      <c r="B1963">
        <f>HYPERLINK("https://www.suredividend.com/sure-analysis-NHI/","National Health Investors, Inc.")</f>
        <v>0</v>
      </c>
      <c r="C1963">
        <v>-0.0009139375476</v>
      </c>
      <c r="D1963">
        <v>0.141144171448256</v>
      </c>
      <c r="E1963">
        <v>0.224157656724468</v>
      </c>
      <c r="F1963">
        <v>0.191817362484009</v>
      </c>
      <c r="G1963">
        <v>0.275050494643388</v>
      </c>
      <c r="H1963">
        <v>0.224319894871632</v>
      </c>
      <c r="I1963">
        <v>0.145228766386601</v>
      </c>
    </row>
    <row r="1964" spans="1:9">
      <c r="A1964" s="8" t="s">
        <v>1976</v>
      </c>
      <c r="B1964">
        <f>HYPERLINK("https://www.suredividend.com/sure-analysis-research-database/","Natural Health Trends Corp.")</f>
        <v>0</v>
      </c>
      <c r="C1964">
        <v>0.013335738878114</v>
      </c>
      <c r="D1964">
        <v>0.159749466584073</v>
      </c>
      <c r="E1964">
        <v>0.399443544703293</v>
      </c>
      <c r="F1964">
        <v>0.299126847979028</v>
      </c>
      <c r="G1964">
        <v>0.6563859330072991</v>
      </c>
      <c r="H1964">
        <v>0.568426686524096</v>
      </c>
      <c r="I1964">
        <v>0.720265441551812</v>
      </c>
    </row>
    <row r="1965" spans="1:9">
      <c r="A1965" s="8" t="s">
        <v>1977</v>
      </c>
      <c r="B1965">
        <f>HYPERLINK("https://www.suredividend.com/sure-analysis-research-database/","NiSource Inc")</f>
        <v>0</v>
      </c>
      <c r="C1965">
        <v>-0.026506024096385</v>
      </c>
      <c r="D1965">
        <v>0.058613022287772</v>
      </c>
      <c r="E1965">
        <v>0.09121778052168501</v>
      </c>
      <c r="F1965">
        <v>0.08628431609798001</v>
      </c>
      <c r="G1965">
        <v>0.072739962977574</v>
      </c>
      <c r="H1965">
        <v>-0.04145341151747201</v>
      </c>
      <c r="I1965">
        <v>0.177347304965424</v>
      </c>
    </row>
    <row r="1966" spans="1:9">
      <c r="A1966" s="8" t="s">
        <v>1978</v>
      </c>
      <c r="B1966">
        <f>HYPERLINK("https://www.suredividend.com/sure-analysis-research-database/","Nicholas Financial, Inc.")</f>
        <v>0</v>
      </c>
      <c r="C1966">
        <v>-0.075912408759124</v>
      </c>
      <c r="D1966">
        <v>-0.093512816840899</v>
      </c>
      <c r="E1966">
        <v>-0.108450704225352</v>
      </c>
      <c r="F1966">
        <v>-0.08260869565217301</v>
      </c>
      <c r="G1966">
        <v>0.266</v>
      </c>
      <c r="H1966">
        <v>-0.364457831325301</v>
      </c>
      <c r="I1966">
        <v>-0.285553047404063</v>
      </c>
    </row>
    <row r="1967" spans="1:9">
      <c r="A1967" s="8" t="s">
        <v>1979</v>
      </c>
      <c r="B1967">
        <f>HYPERLINK("https://www.suredividend.com/sure-analysis-research-database/","Nine Energy Service Inc")</f>
        <v>0</v>
      </c>
      <c r="C1967">
        <v>-0.254807692307692</v>
      </c>
      <c r="D1967">
        <v>-0.217171717171717</v>
      </c>
      <c r="E1967">
        <v>-0.261904761904761</v>
      </c>
      <c r="F1967">
        <v>-0.4216417910447761</v>
      </c>
      <c r="G1967">
        <v>-0.581081081081081</v>
      </c>
      <c r="H1967">
        <v>-0.606598984771573</v>
      </c>
      <c r="I1967">
        <v>-0.9071300179748351</v>
      </c>
    </row>
    <row r="1968" spans="1:9">
      <c r="A1968" s="8" t="s">
        <v>1980</v>
      </c>
      <c r="B1968">
        <f>HYPERLINK("https://www.suredividend.com/sure-analysis-NJR/","New Jersey Resources Corporation")</f>
        <v>0</v>
      </c>
      <c r="C1968">
        <v>-0.034782608695652</v>
      </c>
      <c r="D1968">
        <v>0.017030384047024</v>
      </c>
      <c r="E1968">
        <v>-0.004230124281465001</v>
      </c>
      <c r="F1968">
        <v>-0.019472385995827</v>
      </c>
      <c r="G1968">
        <v>-0.108964080693398</v>
      </c>
      <c r="H1968">
        <v>-0.009701675203195001</v>
      </c>
      <c r="I1968">
        <v>0.053956536770398</v>
      </c>
    </row>
    <row r="1969" spans="1:9">
      <c r="A1969" s="8" t="s">
        <v>1981</v>
      </c>
      <c r="B1969">
        <f>HYPERLINK("https://www.suredividend.com/sure-analysis-NKE/","Nike, Inc.")</f>
        <v>0</v>
      </c>
      <c r="C1969">
        <v>0.033561027202298</v>
      </c>
      <c r="D1969">
        <v>-0.012859915057899</v>
      </c>
      <c r="E1969">
        <v>-0.152742420532855</v>
      </c>
      <c r="F1969">
        <v>-0.104047422848785</v>
      </c>
      <c r="G1969">
        <v>-0.085550081168677</v>
      </c>
      <c r="H1969">
        <v>-0.185359935065044</v>
      </c>
      <c r="I1969">
        <v>0.220733375647032</v>
      </c>
    </row>
    <row r="1970" spans="1:9">
      <c r="A1970" s="8" t="s">
        <v>1982</v>
      </c>
      <c r="B1970">
        <f>HYPERLINK("https://www.suredividend.com/sure-analysis-research-database/","National Bankshares Inc.")</f>
        <v>0</v>
      </c>
      <c r="C1970">
        <v>0.065607261159509</v>
      </c>
      <c r="D1970">
        <v>-0.10589661336533</v>
      </c>
      <c r="E1970">
        <v>0.051388833897841</v>
      </c>
      <c r="F1970">
        <v>-0.07438802186484901</v>
      </c>
      <c r="G1970">
        <v>0.04351988796719</v>
      </c>
      <c r="H1970">
        <v>0.049926314654397</v>
      </c>
      <c r="I1970">
        <v>0.05875530102577101</v>
      </c>
    </row>
    <row r="1971" spans="1:9">
      <c r="A1971" s="8" t="s">
        <v>1983</v>
      </c>
      <c r="B1971">
        <f>HYPERLINK("https://www.suredividend.com/sure-analysis-research-database/","Nektar Therapeutics")</f>
        <v>0</v>
      </c>
      <c r="C1971">
        <v>-0.16</v>
      </c>
      <c r="D1971">
        <v>0.318543323566345</v>
      </c>
      <c r="E1971">
        <v>1.483247930626724</v>
      </c>
      <c r="F1971">
        <v>1.230088495575221</v>
      </c>
      <c r="G1971">
        <v>1.093023255813953</v>
      </c>
      <c r="H1971">
        <v>-0.6538461538461531</v>
      </c>
      <c r="I1971">
        <v>-0.9618181818181811</v>
      </c>
    </row>
    <row r="1972" spans="1:9">
      <c r="A1972" s="8" t="s">
        <v>1984</v>
      </c>
      <c r="B1972">
        <f>HYPERLINK("https://www.suredividend.com/sure-analysis-research-database/","NL Industries, Inc.")</f>
        <v>0</v>
      </c>
      <c r="C1972">
        <v>-0.206313416009019</v>
      </c>
      <c r="D1972">
        <v>0.296500920810313</v>
      </c>
      <c r="E1972">
        <v>0.4062562422595981</v>
      </c>
      <c r="F1972">
        <v>0.273401465135208</v>
      </c>
      <c r="G1972">
        <v>0.214924239809477</v>
      </c>
      <c r="H1972">
        <v>-0.18816379717933</v>
      </c>
      <c r="I1972">
        <v>1.533741227280907</v>
      </c>
    </row>
    <row r="1973" spans="1:9">
      <c r="A1973" s="8" t="s">
        <v>1985</v>
      </c>
      <c r="B1973">
        <f>HYPERLINK("https://www.suredividend.com/sure-analysis-research-database/","Nielsen Holdings plc")</f>
        <v>0</v>
      </c>
      <c r="C1973">
        <v>0.004307250538406001</v>
      </c>
      <c r="D1973">
        <v>0.200899601703062</v>
      </c>
      <c r="E1973">
        <v>0.025802714454359</v>
      </c>
      <c r="F1973">
        <v>0.375134540057305</v>
      </c>
      <c r="G1973">
        <v>0.4392782004392931</v>
      </c>
      <c r="H1973">
        <v>1.079261631752212</v>
      </c>
      <c r="I1973">
        <v>-0.189640841174818</v>
      </c>
    </row>
    <row r="1974" spans="1:9">
      <c r="A1974" s="8" t="s">
        <v>1986</v>
      </c>
      <c r="B1974">
        <f>HYPERLINK("https://www.suredividend.com/sure-analysis-NLY/","Annaly Capital Management Inc")</f>
        <v>0</v>
      </c>
      <c r="C1974">
        <v>0.0050916496945</v>
      </c>
      <c r="D1974">
        <v>0.040392967070034</v>
      </c>
      <c r="E1974">
        <v>0.167860755973897</v>
      </c>
      <c r="F1974">
        <v>0.05381728495240701</v>
      </c>
      <c r="G1974">
        <v>0.13768658866924</v>
      </c>
      <c r="H1974">
        <v>-0.014182980423491</v>
      </c>
      <c r="I1974">
        <v>0.035584444199625</v>
      </c>
    </row>
    <row r="1975" spans="1:9">
      <c r="A1975" s="8" t="s">
        <v>1987</v>
      </c>
      <c r="B1975">
        <f>HYPERLINK("https://www.suredividend.com/sure-analysis-research-database/","NMI Holdings Inc")</f>
        <v>0</v>
      </c>
      <c r="C1975">
        <v>-0.023866348448687</v>
      </c>
      <c r="D1975">
        <v>-0.023866348448687</v>
      </c>
      <c r="E1975">
        <v>-0.023866348448687</v>
      </c>
      <c r="F1975">
        <v>-0.023866348448687</v>
      </c>
      <c r="G1975">
        <v>-0.023866348448687</v>
      </c>
      <c r="H1975">
        <v>-0.023866348448687</v>
      </c>
      <c r="I1975">
        <v>-0.023866348448687</v>
      </c>
    </row>
    <row r="1976" spans="1:9">
      <c r="A1976" s="8" t="s">
        <v>1988</v>
      </c>
      <c r="B1976">
        <f>HYPERLINK("https://www.suredividend.com/sure-analysis-research-database/","Newmark Group Inc")</f>
        <v>0</v>
      </c>
      <c r="C1976">
        <v>-0.005249791714764001</v>
      </c>
      <c r="D1976">
        <v>-0.08239891110102801</v>
      </c>
      <c r="E1976">
        <v>0.172961520707327</v>
      </c>
      <c r="F1976">
        <v>-0.08816547358348201</v>
      </c>
      <c r="G1976">
        <v>0.508050035000152</v>
      </c>
      <c r="H1976">
        <v>-0.020847742317952</v>
      </c>
      <c r="I1976">
        <v>0.288117087373593</v>
      </c>
    </row>
    <row r="1977" spans="1:9">
      <c r="A1977" s="8" t="s">
        <v>1989</v>
      </c>
      <c r="B1977">
        <f>HYPERLINK("https://www.suredividend.com/sure-analysis-research-database/","NN Inc")</f>
        <v>0</v>
      </c>
      <c r="C1977">
        <v>-0.116959064327485</v>
      </c>
      <c r="D1977">
        <v>-0.347732181425485</v>
      </c>
      <c r="E1977">
        <v>0.041379310344827</v>
      </c>
      <c r="F1977">
        <v>-0.245</v>
      </c>
      <c r="G1977">
        <v>0.4803921568627451</v>
      </c>
      <c r="H1977">
        <v>-0.098507462686567</v>
      </c>
      <c r="I1977">
        <v>-0.6192925396465211</v>
      </c>
    </row>
    <row r="1978" spans="1:9">
      <c r="A1978" s="8" t="s">
        <v>1990</v>
      </c>
      <c r="B1978">
        <f>HYPERLINK("https://www.suredividend.com/sure-analysis-research-database/","Nelnet Inc")</f>
        <v>0</v>
      </c>
      <c r="C1978">
        <v>0.048185948124737</v>
      </c>
      <c r="D1978">
        <v>0.150161861094167</v>
      </c>
      <c r="E1978">
        <v>0.191005653994464</v>
      </c>
      <c r="F1978">
        <v>0.148210233427981</v>
      </c>
      <c r="G1978">
        <v>0.012461450748963</v>
      </c>
      <c r="H1978">
        <v>0.18994157243883</v>
      </c>
      <c r="I1978">
        <v>0.808112713892964</v>
      </c>
    </row>
    <row r="1979" spans="1:9">
      <c r="A1979" s="8" t="s">
        <v>1991</v>
      </c>
      <c r="B1979">
        <f>HYPERLINK("https://www.suredividend.com/sure-analysis-NNN/","NNN REIT Inc")</f>
        <v>0</v>
      </c>
      <c r="C1979">
        <v>-0.01012717852096</v>
      </c>
      <c r="D1979">
        <v>0.011649737640206</v>
      </c>
      <c r="E1979">
        <v>0.046480360130666</v>
      </c>
      <c r="F1979">
        <v>0.002533167317848</v>
      </c>
      <c r="G1979">
        <v>0.018802888426176</v>
      </c>
      <c r="H1979">
        <v>0.05831696630911001</v>
      </c>
      <c r="I1979">
        <v>-0.007724778786133001</v>
      </c>
    </row>
    <row r="1980" spans="1:9">
      <c r="A1980" s="8" t="s">
        <v>1992</v>
      </c>
      <c r="B1980">
        <f>HYPERLINK("https://www.suredividend.com/sure-analysis-research-database/","NanoViricides Inc")</f>
        <v>0</v>
      </c>
      <c r="C1980">
        <v>0.5892857142857141</v>
      </c>
      <c r="D1980">
        <v>1.36283185840708</v>
      </c>
      <c r="E1980">
        <v>1.311688311688311</v>
      </c>
      <c r="F1980">
        <v>1.617647058823529</v>
      </c>
      <c r="G1980">
        <v>1.427272727272726</v>
      </c>
      <c r="H1980">
        <v>0.355329949238578</v>
      </c>
      <c r="I1980">
        <v>-0.466</v>
      </c>
    </row>
    <row r="1981" spans="1:9">
      <c r="A1981" s="8" t="s">
        <v>1993</v>
      </c>
      <c r="B1981">
        <f>HYPERLINK("https://www.suredividend.com/sure-analysis-NOC/","Northrop Grumman Corp.")</f>
        <v>0</v>
      </c>
      <c r="C1981">
        <v>-0.067042190453656</v>
      </c>
      <c r="D1981">
        <v>-0.031575898731413</v>
      </c>
      <c r="E1981">
        <v>-0.070527260963982</v>
      </c>
      <c r="F1981">
        <v>-0.051983221628329</v>
      </c>
      <c r="G1981">
        <v>-0.012885606982033</v>
      </c>
      <c r="H1981">
        <v>-0.07699568429829201</v>
      </c>
      <c r="I1981">
        <v>0.499216560203575</v>
      </c>
    </row>
    <row r="1982" spans="1:9">
      <c r="A1982" s="8" t="s">
        <v>1994</v>
      </c>
      <c r="B1982">
        <f>HYPERLINK("https://www.suredividend.com/sure-analysis-research-database/","NI Holdings Inc")</f>
        <v>0</v>
      </c>
      <c r="C1982">
        <v>0.036834924965893</v>
      </c>
      <c r="D1982">
        <v>0.074964639321074</v>
      </c>
      <c r="E1982">
        <v>0.162968630451415</v>
      </c>
      <c r="F1982">
        <v>0.170130869899922</v>
      </c>
      <c r="G1982">
        <v>0.040383299110198</v>
      </c>
      <c r="H1982">
        <v>-0.131428571428571</v>
      </c>
      <c r="I1982">
        <v>-0.136363636363636</v>
      </c>
    </row>
    <row r="1983" spans="1:9">
      <c r="A1983" s="8" t="s">
        <v>1995</v>
      </c>
      <c r="B1983">
        <f>HYPERLINK("https://www.suredividend.com/sure-analysis-research-database/","Northern Oil and Gas Inc.")</f>
        <v>0</v>
      </c>
      <c r="C1983">
        <v>-0.07784872298624701</v>
      </c>
      <c r="D1983">
        <v>0.052442760286892</v>
      </c>
      <c r="E1983">
        <v>0.08109819999309001</v>
      </c>
      <c r="F1983">
        <v>0.023484262055581</v>
      </c>
      <c r="G1983">
        <v>0.183307020114643</v>
      </c>
      <c r="H1983">
        <v>0.134595337734737</v>
      </c>
      <c r="I1983">
        <v>1.048163198516376</v>
      </c>
    </row>
    <row r="1984" spans="1:9">
      <c r="A1984" s="8" t="s">
        <v>1996</v>
      </c>
      <c r="B1984">
        <f>HYPERLINK("https://www.suredividend.com/sure-analysis-research-database/","NOV Inc")</f>
        <v>0</v>
      </c>
      <c r="C1984">
        <v>-0.08649789029535801</v>
      </c>
      <c r="D1984">
        <v>-0.017059577993938</v>
      </c>
      <c r="E1984">
        <v>-0.05861379250369501</v>
      </c>
      <c r="F1984">
        <v>-0.143562128831595</v>
      </c>
      <c r="G1984">
        <v>0.105769537709167</v>
      </c>
      <c r="H1984">
        <v>-0.181397107477077</v>
      </c>
      <c r="I1984">
        <v>-0.135629338696557</v>
      </c>
    </row>
    <row r="1985" spans="1:9">
      <c r="A1985" s="8" t="s">
        <v>1997</v>
      </c>
      <c r="B1985">
        <f>HYPERLINK("https://www.suredividend.com/sure-analysis-research-database/","Novanta Inc")</f>
        <v>0</v>
      </c>
      <c r="C1985">
        <v>-0.005622837370242001</v>
      </c>
      <c r="D1985">
        <v>-0.09782486825877301</v>
      </c>
      <c r="E1985">
        <v>0.06252475901228001</v>
      </c>
      <c r="F1985">
        <v>-0.044415414761593</v>
      </c>
      <c r="G1985">
        <v>-0.05954885460495501</v>
      </c>
      <c r="H1985">
        <v>0.296776792908944</v>
      </c>
      <c r="I1985">
        <v>0.9501938923897241</v>
      </c>
    </row>
    <row r="1986" spans="1:9">
      <c r="A1986" s="8" t="s">
        <v>1998</v>
      </c>
      <c r="B1986">
        <f>HYPERLINK("https://www.suredividend.com/sure-analysis-research-database/","ServiceNow Inc")</f>
        <v>0</v>
      </c>
      <c r="C1986">
        <v>-0.020355235304837</v>
      </c>
      <c r="D1986">
        <v>-0.09018591813352701</v>
      </c>
      <c r="E1986">
        <v>0.016184853420195</v>
      </c>
      <c r="F1986">
        <v>-0.010870642188849</v>
      </c>
      <c r="G1986">
        <v>0.322702150211992</v>
      </c>
      <c r="H1986">
        <v>0.379874809944118</v>
      </c>
      <c r="I1986">
        <v>1.545292296485157</v>
      </c>
    </row>
    <row r="1987" spans="1:9">
      <c r="A1987" s="8" t="s">
        <v>1999</v>
      </c>
      <c r="B1987">
        <f>HYPERLINK("https://www.suredividend.com/sure-analysis-research-database/","Neenah Inc")</f>
        <v>0</v>
      </c>
      <c r="C1987">
        <v>-0.160765801206399</v>
      </c>
      <c r="D1987">
        <v>-0.207023786808345</v>
      </c>
      <c r="E1987">
        <v>-0.308257674016428</v>
      </c>
      <c r="F1987">
        <v>-0.292861436198423</v>
      </c>
      <c r="G1987">
        <v>-0.331461425324241</v>
      </c>
      <c r="H1987">
        <v>-0.299431663937369</v>
      </c>
      <c r="I1987">
        <v>-0.528915740691669</v>
      </c>
    </row>
    <row r="1988" spans="1:9">
      <c r="A1988" s="8" t="s">
        <v>2000</v>
      </c>
      <c r="B1988">
        <f>HYPERLINK("https://www.suredividend.com/sure-analysis-research-database/","National Presto Industries, Inc.")</f>
        <v>0</v>
      </c>
      <c r="C1988">
        <v>-0.126119754832626</v>
      </c>
      <c r="D1988">
        <v>-0.021512471954599</v>
      </c>
      <c r="E1988">
        <v>-0.040949167977481</v>
      </c>
      <c r="F1988">
        <v>-0.06472260838192201</v>
      </c>
      <c r="G1988">
        <v>-0.08131490676226001</v>
      </c>
      <c r="H1988">
        <v>0.08605689860002001</v>
      </c>
      <c r="I1988">
        <v>-0.119560041278787</v>
      </c>
    </row>
    <row r="1989" spans="1:9">
      <c r="A1989" s="8" t="s">
        <v>2001</v>
      </c>
      <c r="B1989">
        <f>HYPERLINK("https://www.suredividend.com/sure-analysis-research-database/","Enpro Inc")</f>
        <v>0</v>
      </c>
      <c r="C1989">
        <v>0.025464589307395</v>
      </c>
      <c r="D1989">
        <v>-0.037144359075948</v>
      </c>
      <c r="E1989">
        <v>0.107985571529247</v>
      </c>
      <c r="F1989">
        <v>-0.04731890700133801</v>
      </c>
      <c r="G1989">
        <v>0.269573263587754</v>
      </c>
      <c r="H1989">
        <v>0.5313445314124851</v>
      </c>
      <c r="I1989">
        <v>1.57850099166447</v>
      </c>
    </row>
    <row r="1990" spans="1:9">
      <c r="A1990" s="8" t="s">
        <v>2002</v>
      </c>
      <c r="B1990">
        <f>HYPERLINK("https://www.suredividend.com/sure-analysis-research-database/","NeoPhotonics Corporation")</f>
        <v>0</v>
      </c>
      <c r="C1990">
        <v>0.019745222929936</v>
      </c>
      <c r="D1990">
        <v>0.056068601583113</v>
      </c>
      <c r="E1990">
        <v>0.04983606557377</v>
      </c>
      <c r="F1990">
        <v>0.0416395575797</v>
      </c>
      <c r="G1990">
        <v>0.7535596933187291</v>
      </c>
      <c r="H1990">
        <v>0.7574094401756311</v>
      </c>
      <c r="I1990">
        <v>1.090078328981723</v>
      </c>
    </row>
    <row r="1991" spans="1:9">
      <c r="A1991" s="8" t="s">
        <v>2003</v>
      </c>
      <c r="B1991">
        <f>HYPERLINK("https://www.suredividend.com/sure-analysis-research-database/","Newpark Resources, Inc.")</f>
        <v>0</v>
      </c>
      <c r="C1991">
        <v>0.105834464043419</v>
      </c>
      <c r="D1991">
        <v>0.221889055472263</v>
      </c>
      <c r="E1991">
        <v>0.176046176046176</v>
      </c>
      <c r="F1991">
        <v>0.227409638554217</v>
      </c>
      <c r="G1991">
        <v>0.8522727272727271</v>
      </c>
      <c r="H1991">
        <v>0.719409282700421</v>
      </c>
      <c r="I1991">
        <v>0.147887323943662</v>
      </c>
    </row>
    <row r="1992" spans="1:9">
      <c r="A1992" s="8" t="s">
        <v>2004</v>
      </c>
      <c r="B1992">
        <f>HYPERLINK("https://www.suredividend.com/sure-analysis-research-database/","National Research Corp")</f>
        <v>0</v>
      </c>
      <c r="C1992">
        <v>-0.278978388998035</v>
      </c>
      <c r="D1992">
        <v>-0.360576252961908</v>
      </c>
      <c r="E1992">
        <v>-0.372830295543652</v>
      </c>
      <c r="F1992">
        <v>-0.346676160927724</v>
      </c>
      <c r="G1992">
        <v>-0.4117269900298141</v>
      </c>
      <c r="H1992">
        <v>-0.203354037652297</v>
      </c>
      <c r="I1992">
        <v>-0.437032686728083</v>
      </c>
    </row>
    <row r="1993" spans="1:9">
      <c r="A1993" s="8" t="s">
        <v>2005</v>
      </c>
      <c r="B1993">
        <f>HYPERLINK("https://www.suredividend.com/sure-analysis-NRG/","NRG Energy Inc.")</f>
        <v>0</v>
      </c>
      <c r="C1993">
        <v>0.06117166212534</v>
      </c>
      <c r="D1993">
        <v>0.292008094748366</v>
      </c>
      <c r="E1993">
        <v>0.6624548582356501</v>
      </c>
      <c r="F1993">
        <v>0.5264378087807891</v>
      </c>
      <c r="G1993">
        <v>1.360832429090159</v>
      </c>
      <c r="H1993">
        <v>0.813841926319221</v>
      </c>
      <c r="I1993">
        <v>1.631098920401573</v>
      </c>
    </row>
    <row r="1994" spans="1:9">
      <c r="A1994" s="8" t="s">
        <v>2006</v>
      </c>
      <c r="B1994">
        <f>HYPERLINK("https://www.suredividend.com/sure-analysis-NRIM/","Northrim Bancorp, Inc.")</f>
        <v>0</v>
      </c>
      <c r="C1994">
        <v>0.08852541550529501</v>
      </c>
      <c r="D1994">
        <v>0.103419324037337</v>
      </c>
      <c r="E1994">
        <v>0.048990723024974</v>
      </c>
      <c r="F1994">
        <v>-0.029467130031856</v>
      </c>
      <c r="G1994">
        <v>0.401324489465238</v>
      </c>
      <c r="H1994">
        <v>0.419705362154605</v>
      </c>
      <c r="I1994">
        <v>1.029461636286562</v>
      </c>
    </row>
    <row r="1995" spans="1:9">
      <c r="A1995" s="8" t="s">
        <v>2007</v>
      </c>
      <c r="B1995">
        <f>HYPERLINK("https://www.suredividend.com/sure-analysis-NSA/","National Storage Affiliates Trust")</f>
        <v>0</v>
      </c>
      <c r="C1995">
        <v>0.059224890829694</v>
      </c>
      <c r="D1995">
        <v>0.057389465883455</v>
      </c>
      <c r="E1995">
        <v>0.09517372937554501</v>
      </c>
      <c r="F1995">
        <v>-0.05021083312735301</v>
      </c>
      <c r="G1995">
        <v>0.08931789220777001</v>
      </c>
      <c r="H1995">
        <v>-0.166816944465912</v>
      </c>
      <c r="I1995">
        <v>0.613520143017503</v>
      </c>
    </row>
    <row r="1996" spans="1:9">
      <c r="A1996" s="8" t="s">
        <v>2008</v>
      </c>
      <c r="B1996">
        <f>HYPERLINK("https://www.suredividend.com/sure-analysis-NSC/","Norfolk Southern Corp.")</f>
        <v>0</v>
      </c>
      <c r="C1996">
        <v>-0.035511363636363</v>
      </c>
      <c r="D1996">
        <v>-0.117365181244039</v>
      </c>
      <c r="E1996">
        <v>-0.003076150976101</v>
      </c>
      <c r="F1996">
        <v>-0.040990826347735</v>
      </c>
      <c r="G1996">
        <v>0.052703781361594</v>
      </c>
      <c r="H1996">
        <v>-0.05812535545710901</v>
      </c>
      <c r="I1996">
        <v>0.221156466292441</v>
      </c>
    </row>
    <row r="1997" spans="1:9">
      <c r="A1997" s="8" t="s">
        <v>2009</v>
      </c>
      <c r="B1997">
        <f>HYPERLINK("https://www.suredividend.com/sure-analysis-research-database/","National Security Group, Inc.")</f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</row>
    <row r="1998" spans="1:9">
      <c r="A1998" s="8" t="s">
        <v>2010</v>
      </c>
      <c r="B1998">
        <f>HYPERLINK("https://www.suredividend.com/sure-analysis-research-database/","Insight Enterprises Inc.")</f>
        <v>0</v>
      </c>
      <c r="C1998">
        <v>-0.002648278618897</v>
      </c>
      <c r="D1998">
        <v>0.067379679144385</v>
      </c>
      <c r="E1998">
        <v>0.17404858537733</v>
      </c>
      <c r="F1998">
        <v>0.126474406004853</v>
      </c>
      <c r="G1998">
        <v>0.414599574769666</v>
      </c>
      <c r="H1998">
        <v>0.9433356051017421</v>
      </c>
      <c r="I1998">
        <v>2.760361718161266</v>
      </c>
    </row>
    <row r="1999" spans="1:9">
      <c r="A1999" s="8" t="s">
        <v>2011</v>
      </c>
      <c r="B1999">
        <f>HYPERLINK("https://www.suredividend.com/sure-analysis-NSP/","Insperity Inc")</f>
        <v>0</v>
      </c>
      <c r="C1999">
        <v>-0.07388856132638001</v>
      </c>
      <c r="D1999">
        <v>-0.027025184882254</v>
      </c>
      <c r="E1999">
        <v>-0.160146634746413</v>
      </c>
      <c r="F1999">
        <v>-0.161722669844642</v>
      </c>
      <c r="G1999">
        <v>-0.198532969382919</v>
      </c>
      <c r="H1999">
        <v>0.024498463305075</v>
      </c>
      <c r="I1999">
        <v>-0.089974153278464</v>
      </c>
    </row>
    <row r="2000" spans="1:9">
      <c r="A2000" s="8" t="s">
        <v>2012</v>
      </c>
      <c r="B2000">
        <f>HYPERLINK("https://www.suredividend.com/sure-analysis-research-database/","NAPCO Security Technologies Inc")</f>
        <v>0</v>
      </c>
      <c r="C2000">
        <v>0.102379488980595</v>
      </c>
      <c r="D2000">
        <v>0.233134031503603</v>
      </c>
      <c r="E2000">
        <v>0.612048958523925</v>
      </c>
      <c r="F2000">
        <v>0.478846487960446</v>
      </c>
      <c r="G2000">
        <v>0.341217190654744</v>
      </c>
      <c r="H2000">
        <v>1.544459644322845</v>
      </c>
      <c r="I2000">
        <v>2.314785845824835</v>
      </c>
    </row>
    <row r="2001" spans="1:9">
      <c r="A2001" s="8" t="s">
        <v>2013</v>
      </c>
      <c r="B2001">
        <f>HYPERLINK("https://www.suredividend.com/sure-analysis-research-database/","Nanostring Technologies Inc")</f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</row>
    <row r="2002" spans="1:9">
      <c r="A2002" s="8" t="s">
        <v>2014</v>
      </c>
      <c r="B2002">
        <f>HYPERLINK("https://www.suredividend.com/sure-analysis-research-database/","Netapp Inc")</f>
        <v>0</v>
      </c>
      <c r="C2002">
        <v>0.126862891207153</v>
      </c>
      <c r="D2002">
        <v>0.165954288963526</v>
      </c>
      <c r="E2002">
        <v>0.380457703086346</v>
      </c>
      <c r="F2002">
        <v>0.394863517136021</v>
      </c>
      <c r="G2002">
        <v>0.779183058200669</v>
      </c>
      <c r="H2002">
        <v>0.8234324178490791</v>
      </c>
      <c r="I2002">
        <v>1.325854123690529</v>
      </c>
    </row>
    <row r="2003" spans="1:9">
      <c r="A2003" s="8" t="s">
        <v>2015</v>
      </c>
      <c r="B2003">
        <f>HYPERLINK("https://www.suredividend.com/sure-analysis-research-database/","Netscout Systems Inc")</f>
        <v>0</v>
      </c>
      <c r="C2003">
        <v>-0.0625</v>
      </c>
      <c r="D2003">
        <v>-0.128312412831241</v>
      </c>
      <c r="E2003">
        <v>-0.122191011235955</v>
      </c>
      <c r="F2003">
        <v>-0.145785876993166</v>
      </c>
      <c r="G2003">
        <v>-0.389051808406647</v>
      </c>
      <c r="H2003">
        <v>-0.470338983050847</v>
      </c>
      <c r="I2003">
        <v>-0.263839811542991</v>
      </c>
    </row>
    <row r="2004" spans="1:9">
      <c r="A2004" s="8" t="s">
        <v>2016</v>
      </c>
      <c r="B2004">
        <f>HYPERLINK("https://www.suredividend.com/sure-analysis-research-database/","Netgear Inc")</f>
        <v>0</v>
      </c>
      <c r="C2004">
        <v>0.226283724978241</v>
      </c>
      <c r="D2004">
        <v>-0.033607681755829</v>
      </c>
      <c r="E2004">
        <v>0.006428571428571001</v>
      </c>
      <c r="F2004">
        <v>-0.033607681755829</v>
      </c>
      <c r="G2004">
        <v>0.006428571428571001</v>
      </c>
      <c r="H2004">
        <v>-0.286943319838056</v>
      </c>
      <c r="I2004">
        <v>-0.458076923076923</v>
      </c>
    </row>
    <row r="2005" spans="1:9">
      <c r="A2005" s="8" t="s">
        <v>2017</v>
      </c>
      <c r="B2005">
        <f>HYPERLINK("https://www.suredividend.com/sure-analysis-research-database/","Northern Technologies International Corp.")</f>
        <v>0</v>
      </c>
      <c r="C2005">
        <v>-0.041865394806571</v>
      </c>
      <c r="D2005">
        <v>0.28832738337003</v>
      </c>
      <c r="E2005">
        <v>0.705016974726518</v>
      </c>
      <c r="F2005">
        <v>0.5560585587523991</v>
      </c>
      <c r="G2005">
        <v>0.672865893151242</v>
      </c>
      <c r="H2005">
        <v>0.6616577977519821</v>
      </c>
      <c r="I2005">
        <v>0.7001908953272961</v>
      </c>
    </row>
    <row r="2006" spans="1:9">
      <c r="A2006" s="8" t="s">
        <v>2018</v>
      </c>
      <c r="B2006">
        <f>HYPERLINK("https://www.suredividend.com/sure-analysis-research-database/","Network-1 Technologies Inc")</f>
        <v>0</v>
      </c>
      <c r="C2006">
        <v>-0.133507853403141</v>
      </c>
      <c r="D2006">
        <v>-0.173821884984025</v>
      </c>
      <c r="E2006">
        <v>-0.214970116687221</v>
      </c>
      <c r="F2006">
        <v>-0.204135609521519</v>
      </c>
      <c r="G2006">
        <v>-0.195352003111629</v>
      </c>
      <c r="H2006">
        <v>-0.250418950133611</v>
      </c>
      <c r="I2006">
        <v>-0.10896952729622</v>
      </c>
    </row>
    <row r="2007" spans="1:9">
      <c r="A2007" s="8" t="s">
        <v>2019</v>
      </c>
      <c r="B2007">
        <f>HYPERLINK("https://www.suredividend.com/sure-analysis-research-database/","Intellia Therapeutics Inc")</f>
        <v>0</v>
      </c>
      <c r="C2007">
        <v>-0.048157453936348</v>
      </c>
      <c r="D2007">
        <v>-0.242838107928047</v>
      </c>
      <c r="E2007">
        <v>-0.2367360644728</v>
      </c>
      <c r="F2007">
        <v>-0.254509675303378</v>
      </c>
      <c r="G2007">
        <v>-0.476990335941095</v>
      </c>
      <c r="H2007">
        <v>-0.527442827442827</v>
      </c>
      <c r="I2007">
        <v>0.509296148738379</v>
      </c>
    </row>
    <row r="2008" spans="1:9">
      <c r="A2008" s="8" t="s">
        <v>2020</v>
      </c>
      <c r="B2008">
        <f>HYPERLINK("https://www.suredividend.com/sure-analysis-research-database/","Nutanix Inc")</f>
        <v>0</v>
      </c>
      <c r="C2008">
        <v>-0.198254745866503</v>
      </c>
      <c r="D2008">
        <v>-0.197394636015325</v>
      </c>
      <c r="E2008">
        <v>0.16455414720925</v>
      </c>
      <c r="F2008">
        <v>0.098133780666806</v>
      </c>
      <c r="G2008">
        <v>0.806484994825801</v>
      </c>
      <c r="H2008">
        <v>2.258867454884878</v>
      </c>
      <c r="I2008">
        <v>0.869022127052105</v>
      </c>
    </row>
    <row r="2009" spans="1:9">
      <c r="A2009" s="8" t="s">
        <v>2021</v>
      </c>
      <c r="B2009">
        <f>HYPERLINK("https://www.suredividend.com/sure-analysis-research-database/","Natera Inc")</f>
        <v>0</v>
      </c>
      <c r="C2009">
        <v>0.144518785383427</v>
      </c>
      <c r="D2009">
        <v>0.21307004145756</v>
      </c>
      <c r="E2009">
        <v>0.9190541939937861</v>
      </c>
      <c r="F2009">
        <v>0.775063856960408</v>
      </c>
      <c r="G2009">
        <v>1.243543179983858</v>
      </c>
      <c r="H2009">
        <v>1.99300134589502</v>
      </c>
      <c r="I2009">
        <v>3.571957236842105</v>
      </c>
    </row>
    <row r="2010" spans="1:9">
      <c r="A2010" s="8" t="s">
        <v>2022</v>
      </c>
      <c r="B2010">
        <f>HYPERLINK("https://www.suredividend.com/sure-analysis-NTRS/","Northern Trust Corp.")</f>
        <v>0</v>
      </c>
      <c r="C2010">
        <v>-0.01016180949494</v>
      </c>
      <c r="D2010">
        <v>0.022945097346981</v>
      </c>
      <c r="E2010">
        <v>0.06896229209209501</v>
      </c>
      <c r="F2010">
        <v>0.011701758829184</v>
      </c>
      <c r="G2010">
        <v>0.194183633487643</v>
      </c>
      <c r="H2010">
        <v>-0.165363339276911</v>
      </c>
      <c r="I2010">
        <v>0.152345090175309</v>
      </c>
    </row>
    <row r="2011" spans="1:9">
      <c r="A2011" s="8" t="s">
        <v>2023</v>
      </c>
      <c r="B2011">
        <f>HYPERLINK("https://www.suredividend.com/sure-analysis-research-database/","Natus Medical Inc")</f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</row>
    <row r="2012" spans="1:9">
      <c r="A2012" s="8" t="s">
        <v>2024</v>
      </c>
      <c r="B2012">
        <f>HYPERLINK("https://www.suredividend.com/sure-analysis-research-database/","Netsol Technologies, Inc.")</f>
        <v>0</v>
      </c>
      <c r="C2012">
        <v>0.015503875968992</v>
      </c>
      <c r="D2012">
        <v>-0.060931899641577</v>
      </c>
      <c r="E2012">
        <v>0.303417740410924</v>
      </c>
      <c r="F2012">
        <v>0.19090909090909</v>
      </c>
      <c r="G2012">
        <v>0.19090909090909</v>
      </c>
      <c r="H2012">
        <v>-0.170886075949367</v>
      </c>
      <c r="I2012">
        <v>-0.566225165562913</v>
      </c>
    </row>
    <row r="2013" spans="1:9">
      <c r="A2013" s="8" t="s">
        <v>2025</v>
      </c>
      <c r="B2013">
        <f>HYPERLINK("https://www.suredividend.com/sure-analysis-research-database/","Nuance Communications Inc")</f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</row>
    <row r="2014" spans="1:9">
      <c r="A2014" s="8" t="s">
        <v>2026</v>
      </c>
      <c r="B2014">
        <f>HYPERLINK("https://www.suredividend.com/sure-analysis-NUE/","Nucor Corp.")</f>
        <v>0</v>
      </c>
      <c r="C2014">
        <v>-0.06280924384422801</v>
      </c>
      <c r="D2014">
        <v>-0.133902447290432</v>
      </c>
      <c r="E2014">
        <v>-0.007836856334160001</v>
      </c>
      <c r="F2014">
        <v>-0.072343921864853</v>
      </c>
      <c r="G2014">
        <v>0.101797915206727</v>
      </c>
      <c r="H2014">
        <v>0.238659724017381</v>
      </c>
      <c r="I2014">
        <v>2.53751301848735</v>
      </c>
    </row>
    <row r="2015" spans="1:9">
      <c r="A2015" s="8" t="s">
        <v>2027</v>
      </c>
      <c r="B2015">
        <f>HYPERLINK("https://www.suredividend.com/sure-analysis-research-database/","Neurometrix Inc.")</f>
        <v>0</v>
      </c>
      <c r="C2015">
        <v>-0.132954545454545</v>
      </c>
      <c r="D2015">
        <v>-0.04145728643216001</v>
      </c>
      <c r="E2015">
        <v>0.09312320916905401</v>
      </c>
      <c r="F2015">
        <v>0.059722222222222</v>
      </c>
      <c r="G2015">
        <v>-0.5231250000000001</v>
      </c>
      <c r="H2015">
        <v>-0.885915071770334</v>
      </c>
      <c r="I2015">
        <v>-0.907939189189189</v>
      </c>
    </row>
    <row r="2016" spans="1:9">
      <c r="A2016" s="8" t="s">
        <v>2028</v>
      </c>
      <c r="B2016">
        <f>HYPERLINK("https://www.suredividend.com/sure-analysis-NUS/","Nu Skin Enterprises, Inc.")</f>
        <v>0</v>
      </c>
      <c r="C2016">
        <v>0.08577098760876101</v>
      </c>
      <c r="D2016">
        <v>0.03911596659760101</v>
      </c>
      <c r="E2016">
        <v>-0.258686912800528</v>
      </c>
      <c r="F2016">
        <v>-0.311746573028159</v>
      </c>
      <c r="G2016">
        <v>-0.6077246250570341</v>
      </c>
      <c r="H2016">
        <v>-0.697505563247382</v>
      </c>
      <c r="I2016">
        <v>-0.6726361934809101</v>
      </c>
    </row>
    <row r="2017" spans="1:9">
      <c r="A2017" s="8" t="s">
        <v>2029</v>
      </c>
      <c r="B2017">
        <f>HYPERLINK("https://www.suredividend.com/sure-analysis-research-database/","Nuvasive Inc")</f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</row>
    <row r="2018" spans="1:9">
      <c r="A2018" s="8" t="s">
        <v>2030</v>
      </c>
      <c r="B2018">
        <f>HYPERLINK("https://www.suredividend.com/sure-analysis-research-database/","Novavax, Inc.")</f>
        <v>0</v>
      </c>
      <c r="C2018">
        <v>2.941431670281996</v>
      </c>
      <c r="D2018">
        <v>2.23885918003565</v>
      </c>
      <c r="E2018">
        <v>2.285714285714286</v>
      </c>
      <c r="F2018">
        <v>2.785416666666667</v>
      </c>
      <c r="G2018">
        <v>1.36897001303781</v>
      </c>
      <c r="H2018">
        <v>-0.6177955405973911</v>
      </c>
      <c r="I2018">
        <v>1.968954248366012</v>
      </c>
    </row>
    <row r="2019" spans="1:9">
      <c r="A2019" s="8" t="s">
        <v>2031</v>
      </c>
      <c r="B2019">
        <f>HYPERLINK("https://www.suredividend.com/sure-analysis-research-database/","NVIDIA Corp")</f>
        <v>0</v>
      </c>
      <c r="C2019">
        <v>0.334982441416171</v>
      </c>
      <c r="D2019">
        <v>0.304513915117245</v>
      </c>
      <c r="E2019">
        <v>1.594629121153306</v>
      </c>
      <c r="F2019">
        <v>1.441326121046462</v>
      </c>
      <c r="G2019">
        <v>2.226682966280619</v>
      </c>
      <c r="H2019">
        <v>5.395723486856515</v>
      </c>
      <c r="I2019">
        <v>32.42448330683625</v>
      </c>
    </row>
    <row r="2020" spans="1:9">
      <c r="A2020" s="8" t="s">
        <v>2032</v>
      </c>
      <c r="B2020">
        <f>HYPERLINK("https://www.suredividend.com/sure-analysis-research-database/","NVE Corp")</f>
        <v>0</v>
      </c>
      <c r="C2020">
        <v>0.021273197899962</v>
      </c>
      <c r="D2020">
        <v>-0.074602207979355</v>
      </c>
      <c r="E2020">
        <v>0.09681061650932901</v>
      </c>
      <c r="F2020">
        <v>0.029823826854326</v>
      </c>
      <c r="G2020">
        <v>-0.113063076078476</v>
      </c>
      <c r="H2020">
        <v>0.7894577294826791</v>
      </c>
      <c r="I2020">
        <v>0.518392253310724</v>
      </c>
    </row>
    <row r="2021" spans="1:9">
      <c r="A2021" s="8" t="s">
        <v>2033</v>
      </c>
      <c r="B2021">
        <f>HYPERLINK("https://www.suredividend.com/sure-analysis-research-database/","NV5 Global Inc")</f>
        <v>0</v>
      </c>
      <c r="C2021">
        <v>-0.019720712077603</v>
      </c>
      <c r="D2021">
        <v>-0.072422836392979</v>
      </c>
      <c r="E2021">
        <v>-0.09175308641975301</v>
      </c>
      <c r="F2021">
        <v>-0.172426205903527</v>
      </c>
      <c r="G2021">
        <v>-0.083059128527271</v>
      </c>
      <c r="H2021">
        <v>-0.259342783505154</v>
      </c>
      <c r="I2021">
        <v>0.121600195145749</v>
      </c>
    </row>
    <row r="2022" spans="1:9">
      <c r="A2022" s="8" t="s">
        <v>2034</v>
      </c>
      <c r="B2022">
        <f>HYPERLINK("https://www.suredividend.com/sure-analysis-research-database/","Nova Lifestyle Inc")</f>
        <v>0</v>
      </c>
      <c r="C2022">
        <v>-0.277533039647577</v>
      </c>
      <c r="D2022">
        <v>-0.017964071856287</v>
      </c>
      <c r="E2022">
        <v>-0.219047619047619</v>
      </c>
      <c r="F2022">
        <v>-0.5649867374005301</v>
      </c>
      <c r="G2022">
        <v>-0.215311004784689</v>
      </c>
      <c r="H2022">
        <v>-0.6293366482088371</v>
      </c>
      <c r="I2022">
        <v>-0.91013698630137</v>
      </c>
    </row>
    <row r="2023" spans="1:9">
      <c r="A2023" s="8" t="s">
        <v>2035</v>
      </c>
      <c r="B2023">
        <f>HYPERLINK("https://www.suredividend.com/sure-analysis-research-database/","InVivo Therapeutics Holdings Corp")</f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</row>
    <row r="2024" spans="1:9">
      <c r="A2024" s="8" t="s">
        <v>2036</v>
      </c>
      <c r="B2024">
        <f>HYPERLINK("https://www.suredividend.com/sure-analysis-research-database/","NVR Inc.")</f>
        <v>0</v>
      </c>
      <c r="C2024">
        <v>-0.033110148792559</v>
      </c>
      <c r="D2024">
        <v>-0.024033167150462</v>
      </c>
      <c r="E2024">
        <v>0.16336736593843</v>
      </c>
      <c r="F2024">
        <v>0.071026862558835</v>
      </c>
      <c r="G2024">
        <v>0.299170698235351</v>
      </c>
      <c r="H2024">
        <v>0.6990384985802951</v>
      </c>
      <c r="I2024">
        <v>1.211049837805957</v>
      </c>
    </row>
    <row r="2025" spans="1:9">
      <c r="A2025" s="8" t="s">
        <v>2037</v>
      </c>
      <c r="B2025">
        <f>HYPERLINK("https://www.suredividend.com/sure-analysis-research-database/","Nevro Corp")</f>
        <v>0</v>
      </c>
      <c r="C2025">
        <v>-0.196010407632263</v>
      </c>
      <c r="D2025">
        <v>-0.394908616187989</v>
      </c>
      <c r="E2025">
        <v>-0.524371472550025</v>
      </c>
      <c r="F2025">
        <v>-0.5692379182156131</v>
      </c>
      <c r="G2025">
        <v>-0.599048442906574</v>
      </c>
      <c r="H2025">
        <v>-0.8102742529676621</v>
      </c>
      <c r="I2025">
        <v>-0.8468528002643311</v>
      </c>
    </row>
    <row r="2026" spans="1:9">
      <c r="A2026" s="8" t="s">
        <v>2038</v>
      </c>
      <c r="B2026">
        <f>HYPERLINK("https://www.suredividend.com/sure-analysis-research-database/","nVent Electric plc")</f>
        <v>0</v>
      </c>
      <c r="C2026">
        <v>-0.008632908130395</v>
      </c>
      <c r="D2026">
        <v>0.10514061312753</v>
      </c>
      <c r="E2026">
        <v>0.422838650023115</v>
      </c>
      <c r="F2026">
        <v>0.309906873010197</v>
      </c>
      <c r="G2026">
        <v>0.637143191514261</v>
      </c>
      <c r="H2026">
        <v>1.126554009607358</v>
      </c>
      <c r="I2026">
        <v>2.609105791737615</v>
      </c>
    </row>
    <row r="2027" spans="1:9">
      <c r="A2027" s="8" t="s">
        <v>2039</v>
      </c>
      <c r="B2027">
        <f>HYPERLINK("https://www.suredividend.com/sure-analysis-research-database/","Invitae Corp")</f>
        <v>0</v>
      </c>
      <c r="C2027">
        <v>-0.24</v>
      </c>
      <c r="D2027">
        <v>-0.24</v>
      </c>
      <c r="E2027">
        <v>-0.24</v>
      </c>
      <c r="F2027">
        <v>-0.24</v>
      </c>
      <c r="G2027">
        <v>-0.24</v>
      </c>
      <c r="H2027">
        <v>-0.24</v>
      </c>
      <c r="I2027">
        <v>-0.24</v>
      </c>
    </row>
    <row r="2028" spans="1:9">
      <c r="A2028" s="8" t="s">
        <v>2040</v>
      </c>
      <c r="B2028">
        <f>HYPERLINK("https://www.suredividend.com/sure-analysis-NWBI/","Northwest Bancshares Inc")</f>
        <v>0</v>
      </c>
      <c r="C2028">
        <v>-0.018953068592057</v>
      </c>
      <c r="D2028">
        <v>-0.04408466929902401</v>
      </c>
      <c r="E2028">
        <v>-0.044051042573587</v>
      </c>
      <c r="F2028">
        <v>-0.097670712068135</v>
      </c>
      <c r="G2028">
        <v>0.0271286698353</v>
      </c>
      <c r="H2028">
        <v>0.02774048370932</v>
      </c>
      <c r="I2028">
        <v>-0.081755055838078</v>
      </c>
    </row>
    <row r="2029" spans="1:9">
      <c r="A2029" s="8" t="s">
        <v>2041</v>
      </c>
      <c r="B2029">
        <f>HYPERLINK("https://www.suredividend.com/sure-analysis-NWE/","NorthWestern Energy Group Inc")</f>
        <v>0</v>
      </c>
      <c r="C2029">
        <v>-0.014046039797112</v>
      </c>
      <c r="D2029">
        <v>0.04977390603547201</v>
      </c>
      <c r="E2029">
        <v>0.021955668072681</v>
      </c>
      <c r="F2029">
        <v>0.019656738430003</v>
      </c>
      <c r="G2029">
        <v>0.134511693057794</v>
      </c>
      <c r="H2029">
        <v>0.134511693057794</v>
      </c>
      <c r="I2029">
        <v>0.134511693057794</v>
      </c>
    </row>
    <row r="2030" spans="1:9">
      <c r="A2030" s="8" t="s">
        <v>2042</v>
      </c>
      <c r="B2030">
        <f>HYPERLINK("https://www.suredividend.com/sure-analysis-NWFL/","Norwood Financial Corp.")</f>
        <v>0</v>
      </c>
      <c r="C2030">
        <v>-0.01223362273086</v>
      </c>
      <c r="D2030">
        <v>-0.04819487858115201</v>
      </c>
      <c r="E2030">
        <v>-0.12956690476356</v>
      </c>
      <c r="F2030">
        <v>-0.206532868813222</v>
      </c>
      <c r="G2030">
        <v>-0.086292933828333</v>
      </c>
      <c r="H2030">
        <v>0.09723433821821001</v>
      </c>
      <c r="I2030">
        <v>-0.016294223528764</v>
      </c>
    </row>
    <row r="2031" spans="1:9">
      <c r="A2031" s="8" t="s">
        <v>2043</v>
      </c>
      <c r="B2031">
        <f>HYPERLINK("https://www.suredividend.com/sure-analysis-research-database/","New Home Company Inc (The)")</f>
        <v>0</v>
      </c>
      <c r="C2031">
        <v>0.005592841163311</v>
      </c>
      <c r="D2031">
        <v>0.426984126984127</v>
      </c>
      <c r="E2031">
        <v>0.6648148148148141</v>
      </c>
      <c r="F2031">
        <v>0.91684434968017</v>
      </c>
      <c r="G2031">
        <v>1.293367346938775</v>
      </c>
      <c r="H2031">
        <v>1.353403141361256</v>
      </c>
      <c r="I2031">
        <v>-0.192998204667863</v>
      </c>
    </row>
    <row r="2032" spans="1:9">
      <c r="A2032" s="8" t="s">
        <v>2044</v>
      </c>
      <c r="B2032">
        <f>HYPERLINK("https://www.suredividend.com/sure-analysis-NWL/","Newell Brands Inc")</f>
        <v>0</v>
      </c>
      <c r="C2032">
        <v>-0.05651923446201101</v>
      </c>
      <c r="D2032">
        <v>-0.028447889477708</v>
      </c>
      <c r="E2032">
        <v>-0.08867208269960701</v>
      </c>
      <c r="F2032">
        <v>-0.118072923522443</v>
      </c>
      <c r="G2032">
        <v>-0.122086028422018</v>
      </c>
      <c r="H2032">
        <v>-0.6090994436164401</v>
      </c>
      <c r="I2032">
        <v>-0.3482374997789131</v>
      </c>
    </row>
    <row r="2033" spans="1:9">
      <c r="A2033" s="8" t="s">
        <v>2045</v>
      </c>
      <c r="B2033">
        <f>HYPERLINK("https://www.suredividend.com/sure-analysis-research-database/","National Western Life Group Inc")</f>
        <v>0</v>
      </c>
      <c r="C2033">
        <v>0.006230211418649</v>
      </c>
      <c r="D2033">
        <v>0.015732931933934</v>
      </c>
      <c r="E2033">
        <v>0.019559143123253</v>
      </c>
      <c r="F2033">
        <v>0.019833547265123</v>
      </c>
      <c r="G2033">
        <v>0.256281407035176</v>
      </c>
      <c r="H2033">
        <v>1.273932726489654</v>
      </c>
      <c r="I2033">
        <v>0.899859728180442</v>
      </c>
    </row>
    <row r="2034" spans="1:9">
      <c r="A2034" s="8" t="s">
        <v>2046</v>
      </c>
      <c r="B2034">
        <f>HYPERLINK("https://www.suredividend.com/sure-analysis-NWN/","Northwest Natural Holding Co")</f>
        <v>0</v>
      </c>
      <c r="C2034">
        <v>-0.058639562157935</v>
      </c>
      <c r="D2034">
        <v>-0.025687642795294</v>
      </c>
      <c r="E2034">
        <v>-0.039688616641143</v>
      </c>
      <c r="F2034">
        <v>-0.04856731939373801</v>
      </c>
      <c r="G2034">
        <v>-0.143210919079449</v>
      </c>
      <c r="H2034">
        <v>-0.286063009090244</v>
      </c>
      <c r="I2034">
        <v>-0.356472070139555</v>
      </c>
    </row>
    <row r="2035" spans="1:9">
      <c r="A2035" s="8" t="s">
        <v>2047</v>
      </c>
      <c r="B2035">
        <f>HYPERLINK("https://www.suredividend.com/sure-analysis-research-database/","Northwest Pipe Co.")</f>
        <v>0</v>
      </c>
      <c r="C2035">
        <v>-0.06683236674951601</v>
      </c>
      <c r="D2035">
        <v>0.021463119709794</v>
      </c>
      <c r="E2035">
        <v>0.23456339057362</v>
      </c>
      <c r="F2035">
        <v>0.116655651024454</v>
      </c>
      <c r="G2035">
        <v>0.141939844542074</v>
      </c>
      <c r="H2035">
        <v>-0.023128071697022</v>
      </c>
      <c r="I2035">
        <v>0.3741358275721831</v>
      </c>
    </row>
    <row r="2036" spans="1:9">
      <c r="A2036" s="8" t="s">
        <v>2048</v>
      </c>
      <c r="B2036">
        <f>HYPERLINK("https://www.suredividend.com/sure-analysis-research-database/","News Corp")</f>
        <v>0</v>
      </c>
      <c r="C2036">
        <v>0.10059405940594</v>
      </c>
      <c r="D2036">
        <v>0.025056527496523</v>
      </c>
      <c r="E2036">
        <v>0.215857334739218</v>
      </c>
      <c r="F2036">
        <v>0.08443702148582301</v>
      </c>
      <c r="G2036">
        <v>0.43994859917199</v>
      </c>
      <c r="H2036">
        <v>0.5969520569592971</v>
      </c>
      <c r="I2036">
        <v>1.447811151237558</v>
      </c>
    </row>
    <row r="2037" spans="1:9">
      <c r="A2037" s="8" t="s">
        <v>2049</v>
      </c>
      <c r="B2037">
        <f>HYPERLINK("https://www.suredividend.com/sure-analysis-research-database/","News Corp")</f>
        <v>0</v>
      </c>
      <c r="C2037">
        <v>0.113431613431613</v>
      </c>
      <c r="D2037">
        <v>0.044110701078671</v>
      </c>
      <c r="E2037">
        <v>0.243420480996565</v>
      </c>
      <c r="F2037">
        <v>0.111733511058048</v>
      </c>
      <c r="G2037">
        <v>0.418132696329753</v>
      </c>
      <c r="H2037">
        <v>0.587384989024333</v>
      </c>
      <c r="I2037">
        <v>1.468474520876267</v>
      </c>
    </row>
    <row r="2038" spans="1:9">
      <c r="A2038" s="8" t="s">
        <v>2050</v>
      </c>
      <c r="B2038">
        <f>HYPERLINK("https://www.suredividend.com/sure-analysis-research-database/","Quanex Building Products Corp")</f>
        <v>0</v>
      </c>
      <c r="C2038">
        <v>-0.08676852118766201</v>
      </c>
      <c r="D2038">
        <v>-0.086826433607554</v>
      </c>
      <c r="E2038">
        <v>-0.009848383033652</v>
      </c>
      <c r="F2038">
        <v>0.038634038870092</v>
      </c>
      <c r="G2038">
        <v>0.182469001246668</v>
      </c>
      <c r="H2038">
        <v>0.328274040376512</v>
      </c>
      <c r="I2038">
        <v>1.046855414992182</v>
      </c>
    </row>
    <row r="2039" spans="1:9">
      <c r="A2039" s="8" t="s">
        <v>2051</v>
      </c>
      <c r="B2039">
        <f>HYPERLINK("https://www.suredividend.com/sure-analysis-research-database/","NextGen Healthcare Inc")</f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</row>
    <row r="2040" spans="1:9">
      <c r="A2040" s="8" t="s">
        <v>2052</v>
      </c>
      <c r="B2040">
        <f>HYPERLINK("https://www.suredividend.com/sure-analysis-NXRT/","NexPoint Residential Trust Inc")</f>
        <v>0</v>
      </c>
      <c r="C2040">
        <v>0.08558299827685201</v>
      </c>
      <c r="D2040">
        <v>0.263981541856848</v>
      </c>
      <c r="E2040">
        <v>0.203794819860703</v>
      </c>
      <c r="F2040">
        <v>0.114564228975131</v>
      </c>
      <c r="G2040">
        <v>-0.146836637272405</v>
      </c>
      <c r="H2040">
        <v>-0.4394485834954681</v>
      </c>
      <c r="I2040">
        <v>0.101517354726471</v>
      </c>
    </row>
    <row r="2041" spans="1:9">
      <c r="A2041" s="8" t="s">
        <v>2053</v>
      </c>
      <c r="B2041">
        <f>HYPERLINK("https://www.suredividend.com/sure-analysis-NXST/","Nexstar Media Group Inc")</f>
        <v>0</v>
      </c>
      <c r="C2041">
        <v>-0.040443994726029</v>
      </c>
      <c r="D2041">
        <v>-0.017171700675486</v>
      </c>
      <c r="E2041">
        <v>0.145469586160952</v>
      </c>
      <c r="F2041">
        <v>0.04053200332502</v>
      </c>
      <c r="G2041">
        <v>0.004803431756591</v>
      </c>
      <c r="H2041">
        <v>-0.115470976232416</v>
      </c>
      <c r="I2041">
        <v>-0.115470976232416</v>
      </c>
    </row>
    <row r="2042" spans="1:9">
      <c r="A2042" s="8" t="s">
        <v>2054</v>
      </c>
      <c r="B2042">
        <f>HYPERLINK("https://www.suredividend.com/sure-analysis-research-database/","Nxt-ID Inc")</f>
        <v>0</v>
      </c>
      <c r="C2042">
        <v>-0.185185185185185</v>
      </c>
      <c r="D2042">
        <v>-0.110294117647058</v>
      </c>
      <c r="E2042">
        <v>-0.6482558139534881</v>
      </c>
      <c r="F2042">
        <v>-0.209150326797385</v>
      </c>
      <c r="G2042">
        <v>-0.8662983425414361</v>
      </c>
      <c r="H2042">
        <v>-0.345769126791024</v>
      </c>
      <c r="I2042">
        <v>-0.8874418604651161</v>
      </c>
    </row>
    <row r="2043" spans="1:9">
      <c r="A2043" s="8" t="s">
        <v>2055</v>
      </c>
      <c r="B2043">
        <f>HYPERLINK("https://www.suredividend.com/sure-analysis-research-database/","New York Community Bancorp Inc.")</f>
        <v>0</v>
      </c>
      <c r="C2043">
        <v>-0.147191471914719</v>
      </c>
      <c r="D2043">
        <v>-0.144854049609428</v>
      </c>
      <c r="E2043">
        <v>-0.6779886676781121</v>
      </c>
      <c r="F2043">
        <v>-0.690896301653506</v>
      </c>
      <c r="G2043">
        <v>-0.710473079564224</v>
      </c>
      <c r="H2043">
        <v>-0.648323902702946</v>
      </c>
      <c r="I2043">
        <v>-0.588455653458555</v>
      </c>
    </row>
    <row r="2044" spans="1:9">
      <c r="A2044" s="8" t="s">
        <v>2056</v>
      </c>
      <c r="B2044">
        <f>HYPERLINK("https://www.suredividend.com/sure-analysis-NYMT/","New York Mortgage Trust Inc")</f>
        <v>0</v>
      </c>
      <c r="C2044">
        <v>-0.05365853658536501</v>
      </c>
      <c r="D2044">
        <v>-0.165519614590502</v>
      </c>
      <c r="E2044">
        <v>-0.299453525602445</v>
      </c>
      <c r="F2044">
        <v>-0.298567003724102</v>
      </c>
      <c r="G2044">
        <v>-0.309256204232289</v>
      </c>
      <c r="H2044">
        <v>-0.340465074112687</v>
      </c>
      <c r="I2044">
        <v>-0.546746622016276</v>
      </c>
    </row>
    <row r="2045" spans="1:9">
      <c r="A2045" s="8" t="s">
        <v>2057</v>
      </c>
      <c r="B2045">
        <f>HYPERLINK("https://www.suredividend.com/sure-analysis-research-database/","New York Times Co.")</f>
        <v>0</v>
      </c>
      <c r="C2045">
        <v>0.087135135135135</v>
      </c>
      <c r="D2045">
        <v>0.163896971506746</v>
      </c>
      <c r="E2045">
        <v>0.06815772534240301</v>
      </c>
      <c r="F2045">
        <v>0.03174440317649201</v>
      </c>
      <c r="G2045">
        <v>0.371312620003491</v>
      </c>
      <c r="H2045">
        <v>0.488177160565081</v>
      </c>
      <c r="I2045">
        <v>0.6118846034244531</v>
      </c>
    </row>
    <row r="2046" spans="1:9">
      <c r="A2046" s="8" t="s">
        <v>2058</v>
      </c>
      <c r="B2046">
        <f>HYPERLINK("https://www.suredividend.com/sure-analysis-O/","Realty Income Corp.")</f>
        <v>0</v>
      </c>
      <c r="C2046">
        <v>-0.02607958675965</v>
      </c>
      <c r="D2046">
        <v>0.035575072395087</v>
      </c>
      <c r="E2046">
        <v>0.003119226702687</v>
      </c>
      <c r="F2046">
        <v>-0.048755728963175</v>
      </c>
      <c r="G2046">
        <v>-0.07468949515739101</v>
      </c>
      <c r="H2046">
        <v>-0.130915260978062</v>
      </c>
      <c r="I2046">
        <v>-0.075485274866272</v>
      </c>
    </row>
    <row r="2047" spans="1:9">
      <c r="A2047" s="8" t="s">
        <v>2059</v>
      </c>
      <c r="B2047">
        <f>HYPERLINK("https://www.suredividend.com/sure-analysis-research-database/","Oasis Petroleum Inc.")</f>
        <v>0</v>
      </c>
      <c r="C2047">
        <v>-0.244544895321431</v>
      </c>
      <c r="D2047">
        <v>-0.159303198493668</v>
      </c>
      <c r="E2047">
        <v>-0.05232912011403201</v>
      </c>
      <c r="F2047">
        <v>0.018601356892566</v>
      </c>
      <c r="G2047">
        <v>0.231337020209473</v>
      </c>
      <c r="H2047">
        <v>3.221674610470371</v>
      </c>
      <c r="I2047">
        <v>3.221674610470371</v>
      </c>
    </row>
    <row r="2048" spans="1:9">
      <c r="A2048" s="8" t="s">
        <v>2060</v>
      </c>
      <c r="B2048">
        <f>HYPERLINK("https://www.suredividend.com/sure-analysis-research-database/","Ocean Bio-Chem, Inc.")</f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</row>
    <row r="2049" spans="1:9">
      <c r="A2049" s="8" t="s">
        <v>2061</v>
      </c>
      <c r="B2049">
        <f>HYPERLINK("https://www.suredividend.com/sure-analysis-research-database/","Origin Bancorp Inc")</f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</row>
    <row r="2050" spans="1:9">
      <c r="A2050" s="8" t="s">
        <v>2062</v>
      </c>
      <c r="B2050">
        <f>HYPERLINK("https://www.suredividend.com/sure-analysis-OC/","Owens Corning")</f>
        <v>0</v>
      </c>
      <c r="C2050">
        <v>0.01033813114005</v>
      </c>
      <c r="D2050">
        <v>0.137117510928259</v>
      </c>
      <c r="E2050">
        <v>0.264809981766829</v>
      </c>
      <c r="F2050">
        <v>0.203118081594925</v>
      </c>
      <c r="G2050">
        <v>0.5306471221947721</v>
      </c>
      <c r="H2050">
        <v>0.8803182584015851</v>
      </c>
      <c r="I2050">
        <v>2.637526424452797</v>
      </c>
    </row>
    <row r="2051" spans="1:9">
      <c r="A2051" s="8" t="s">
        <v>2063</v>
      </c>
      <c r="B2051">
        <f>HYPERLINK("https://www.suredividend.com/sure-analysis-research-database/","Optical Cable Corp.")</f>
        <v>0</v>
      </c>
      <c r="C2051">
        <v>-0.03859649122807</v>
      </c>
      <c r="D2051">
        <v>-0.116129032258064</v>
      </c>
      <c r="E2051">
        <v>0.011070110701107</v>
      </c>
      <c r="F2051">
        <v>0.014814814814814</v>
      </c>
      <c r="G2051">
        <v>-0.32198356923686</v>
      </c>
      <c r="H2051">
        <v>-0.277997364953886</v>
      </c>
      <c r="I2051">
        <v>-0.275132275132275</v>
      </c>
    </row>
    <row r="2052" spans="1:9">
      <c r="A2052" s="8" t="s">
        <v>2064</v>
      </c>
      <c r="B2052">
        <f>HYPERLINK("https://www.suredividend.com/sure-analysis-research-database/","OceanFirst Financial Corp.")</f>
        <v>0</v>
      </c>
      <c r="C2052">
        <v>-0.07156673114119901</v>
      </c>
      <c r="D2052">
        <v>-0.050138191700582</v>
      </c>
      <c r="E2052">
        <v>-0.031796085497784</v>
      </c>
      <c r="F2052">
        <v>-0.138323080973694</v>
      </c>
      <c r="G2052">
        <v>-0.05102706549890201</v>
      </c>
      <c r="H2052">
        <v>-0.184145222150457</v>
      </c>
      <c r="I2052">
        <v>-0.256885421020853</v>
      </c>
    </row>
    <row r="2053" spans="1:9">
      <c r="A2053" s="8" t="s">
        <v>2065</v>
      </c>
      <c r="B2053">
        <f>HYPERLINK("https://www.suredividend.com/sure-analysis-research-database/","Ocwen Financial Corp.")</f>
        <v>0</v>
      </c>
      <c r="C2053">
        <v>-0.07624309392265101</v>
      </c>
      <c r="D2053">
        <v>-0.006732673267326001</v>
      </c>
      <c r="E2053">
        <v>-0.066617045031633</v>
      </c>
      <c r="F2053">
        <v>-0.184655396618985</v>
      </c>
      <c r="G2053">
        <v>-0.159798994974874</v>
      </c>
      <c r="H2053">
        <v>-0.135172413793103</v>
      </c>
      <c r="I2053">
        <v>14.97452229299363</v>
      </c>
    </row>
    <row r="2054" spans="1:9">
      <c r="A2054" s="8" t="s">
        <v>2066</v>
      </c>
      <c r="B2054">
        <f>HYPERLINK("https://www.suredividend.com/sure-analysis-research-database/","Ocular Therapeutix Inc")</f>
        <v>0</v>
      </c>
      <c r="C2054">
        <v>-0.166947723440134</v>
      </c>
      <c r="D2054">
        <v>-0.523625843780134</v>
      </c>
      <c r="E2054">
        <v>0.327956989247311</v>
      </c>
      <c r="F2054">
        <v>0.10762331838565</v>
      </c>
      <c r="G2054">
        <v>-0.333333333333333</v>
      </c>
      <c r="H2054">
        <v>0.306878306878307</v>
      </c>
      <c r="I2054">
        <v>0.483483483483483</v>
      </c>
    </row>
    <row r="2055" spans="1:9">
      <c r="A2055" s="8" t="s">
        <v>2067</v>
      </c>
      <c r="B2055">
        <f>HYPERLINK("https://www.suredividend.com/sure-analysis-research-database/","Oncocyte Corporation")</f>
        <v>0</v>
      </c>
      <c r="C2055">
        <v>-0.007246376811594001</v>
      </c>
      <c r="D2055">
        <v>-0.086666666666666</v>
      </c>
      <c r="E2055">
        <v>-0.286458333333333</v>
      </c>
      <c r="F2055">
        <v>0.096</v>
      </c>
      <c r="G2055">
        <v>-0.362790697674418</v>
      </c>
      <c r="H2055">
        <v>-0.8838983050847451</v>
      </c>
      <c r="I2055">
        <v>-0.9665036674816621</v>
      </c>
    </row>
    <row r="2056" spans="1:9">
      <c r="A2056" s="8" t="s">
        <v>2068</v>
      </c>
      <c r="B2056">
        <f>HYPERLINK("https://www.suredividend.com/sure-analysis-ODC/","Oil-Dri Corp. Of America")</f>
        <v>0</v>
      </c>
      <c r="C2056">
        <v>-0.078507531719418</v>
      </c>
      <c r="D2056">
        <v>-0.04616309482197</v>
      </c>
      <c r="E2056">
        <v>0.234543995042812</v>
      </c>
      <c r="F2056">
        <v>0.05381630868267701</v>
      </c>
      <c r="G2056">
        <v>0.817314893275183</v>
      </c>
      <c r="H2056">
        <v>1.932935193549465</v>
      </c>
      <c r="I2056">
        <v>1.824405960531615</v>
      </c>
    </row>
    <row r="2057" spans="1:9">
      <c r="A2057" s="8" t="s">
        <v>2069</v>
      </c>
      <c r="B2057">
        <f>HYPERLINK("https://www.suredividend.com/sure-analysis-ODFL/","Old Dominion Freight Line, Inc.")</f>
        <v>0</v>
      </c>
      <c r="C2057">
        <v>-0.086612227245111</v>
      </c>
      <c r="D2057">
        <v>-0.238111685150659</v>
      </c>
      <c r="E2057">
        <v>-0.097688244408536</v>
      </c>
      <c r="F2057">
        <v>-0.165228572730568</v>
      </c>
      <c r="G2057">
        <v>0.07344359277806101</v>
      </c>
      <c r="H2057">
        <v>0.276491961047036</v>
      </c>
      <c r="I2057">
        <v>2.794746393943897</v>
      </c>
    </row>
    <row r="2058" spans="1:9">
      <c r="A2058" s="8" t="s">
        <v>2070</v>
      </c>
      <c r="B2058">
        <f>HYPERLINK("https://www.suredividend.com/sure-analysis-research-database/","ODP Corporation (The)")</f>
        <v>0</v>
      </c>
      <c r="C2058">
        <v>-0.257803468208092</v>
      </c>
      <c r="D2058">
        <v>-0.252619324796274</v>
      </c>
      <c r="E2058">
        <v>-0.17285806313077</v>
      </c>
      <c r="F2058">
        <v>-0.315808170515097</v>
      </c>
      <c r="G2058">
        <v>-0.129884797831488</v>
      </c>
      <c r="H2058">
        <v>-0.044879742127448</v>
      </c>
      <c r="I2058">
        <v>1.011929509344086</v>
      </c>
    </row>
    <row r="2059" spans="1:9">
      <c r="A2059" s="8" t="s">
        <v>2071</v>
      </c>
      <c r="B2059">
        <f>HYPERLINK("https://www.suredividend.com/sure-analysis-research-database/","Odonate Therapeutics Inc")</f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</row>
    <row r="2060" spans="1:9">
      <c r="A2060" s="8" t="s">
        <v>2072</v>
      </c>
      <c r="B2060">
        <f>HYPERLINK("https://www.suredividend.com/sure-analysis-research-database/","Orion Energy Systems Inc")</f>
        <v>0</v>
      </c>
      <c r="C2060">
        <v>0.268621973929236</v>
      </c>
      <c r="D2060">
        <v>0.224719101123595</v>
      </c>
      <c r="E2060">
        <v>0.211111111111111</v>
      </c>
      <c r="F2060">
        <v>0.257789060696976</v>
      </c>
      <c r="G2060">
        <v>-0.343373493975903</v>
      </c>
      <c r="H2060">
        <v>-0.519823788546255</v>
      </c>
      <c r="I2060">
        <v>-0.5947955390334571</v>
      </c>
    </row>
    <row r="2061" spans="1:9">
      <c r="A2061" s="8" t="s">
        <v>2073</v>
      </c>
      <c r="B2061">
        <f>HYPERLINK("https://www.suredividend.com/sure-analysis-research-database/","Oconee Federal Financial Corp")</f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</row>
    <row r="2062" spans="1:9">
      <c r="A2062" s="8" t="s">
        <v>2074</v>
      </c>
      <c r="B2062">
        <f>HYPERLINK("https://www.suredividend.com/sure-analysis-research-database/","OFG Bancorp")</f>
        <v>0</v>
      </c>
      <c r="C2062">
        <v>-0.033130135170951</v>
      </c>
      <c r="D2062">
        <v>-0.020305563686852</v>
      </c>
      <c r="E2062">
        <v>0.03858538293565501</v>
      </c>
      <c r="F2062">
        <v>-0.019784341807218</v>
      </c>
      <c r="G2062">
        <v>0.3391824672821711</v>
      </c>
      <c r="H2062">
        <v>0.350635887372961</v>
      </c>
      <c r="I2062">
        <v>1.110451594987677</v>
      </c>
    </row>
    <row r="2063" spans="1:9">
      <c r="A2063" s="8" t="s">
        <v>2075</v>
      </c>
      <c r="B2063">
        <f>HYPERLINK("https://www.suredividend.com/sure-analysis-research-database/","Orthofix Medical Inc")</f>
        <v>0</v>
      </c>
      <c r="C2063">
        <v>-0.033837293016558</v>
      </c>
      <c r="D2063">
        <v>-0.06415620641562</v>
      </c>
      <c r="E2063">
        <v>0.180299032541776</v>
      </c>
      <c r="F2063">
        <v>-0.004451038575667</v>
      </c>
      <c r="G2063">
        <v>-0.326980942828485</v>
      </c>
      <c r="H2063">
        <v>-0.5058910162002941</v>
      </c>
      <c r="I2063">
        <v>-0.739771184797362</v>
      </c>
    </row>
    <row r="2064" spans="1:9">
      <c r="A2064" s="8" t="s">
        <v>2076</v>
      </c>
      <c r="B2064">
        <f>HYPERLINK("https://www.suredividend.com/sure-analysis-research-database/","Omega Flex Inc")</f>
        <v>0</v>
      </c>
      <c r="C2064">
        <v>-0.090597014925373</v>
      </c>
      <c r="D2064">
        <v>-0.1064580513365</v>
      </c>
      <c r="E2064">
        <v>-0.20505487508937</v>
      </c>
      <c r="F2064">
        <v>-0.127621038464567</v>
      </c>
      <c r="G2064">
        <v>-0.4362608355330541</v>
      </c>
      <c r="H2064">
        <v>-0.443451858996843</v>
      </c>
      <c r="I2064">
        <v>-0.192757739880655</v>
      </c>
    </row>
    <row r="2065" spans="1:9">
      <c r="A2065" s="8" t="s">
        <v>2077</v>
      </c>
      <c r="B2065">
        <f>HYPERLINK("https://www.suredividend.com/sure-analysis-OGE/","Oge Energy Corp.")</f>
        <v>0</v>
      </c>
      <c r="C2065">
        <v>-0.015568529329997</v>
      </c>
      <c r="D2065">
        <v>0.05095078249978401</v>
      </c>
      <c r="E2065">
        <v>0.019462198422294</v>
      </c>
      <c r="F2065">
        <v>0.038434693865581</v>
      </c>
      <c r="G2065">
        <v>0.019415239696449</v>
      </c>
      <c r="H2065">
        <v>-0.05866777964159701</v>
      </c>
      <c r="I2065">
        <v>0.019758725258395</v>
      </c>
    </row>
    <row r="2066" spans="1:9">
      <c r="A2066" s="8" t="s">
        <v>2078</v>
      </c>
      <c r="B2066">
        <f>HYPERLINK("https://www.suredividend.com/sure-analysis-research-database/","Oragenics Inc")</f>
        <v>0</v>
      </c>
      <c r="C2066">
        <v>0.246268656716417</v>
      </c>
      <c r="D2066">
        <v>0.128302141747179</v>
      </c>
      <c r="E2066">
        <v>-0.6297199618633731</v>
      </c>
      <c r="F2066">
        <v>-0.7031797095782301</v>
      </c>
      <c r="G2066">
        <v>-0.450657894736842</v>
      </c>
      <c r="H2066">
        <v>-0.907222222222222</v>
      </c>
      <c r="I2066">
        <v>-0.9420259668124691</v>
      </c>
    </row>
    <row r="2067" spans="1:9">
      <c r="A2067" s="8" t="s">
        <v>2079</v>
      </c>
      <c r="B2067">
        <f>HYPERLINK("https://www.suredividend.com/sure-analysis-OGS/","ONE Gas Inc")</f>
        <v>0</v>
      </c>
      <c r="C2067">
        <v>-0.05828855671773901</v>
      </c>
      <c r="D2067">
        <v>-0.025987108795128</v>
      </c>
      <c r="E2067">
        <v>0.010406704164688</v>
      </c>
      <c r="F2067">
        <v>-0.031297288978942</v>
      </c>
      <c r="G2067">
        <v>-0.247147057357851</v>
      </c>
      <c r="H2067">
        <v>-0.263058666286183</v>
      </c>
      <c r="I2067">
        <v>-0.218808576429555</v>
      </c>
    </row>
    <row r="2068" spans="1:9">
      <c r="A2068" s="8" t="s">
        <v>2080</v>
      </c>
      <c r="B2068">
        <f>HYPERLINK("https://www.suredividend.com/sure-analysis-OHI/","Omega Healthcare Investors, Inc.")</f>
        <v>0</v>
      </c>
      <c r="C2068">
        <v>0.03912059489169</v>
      </c>
      <c r="D2068">
        <v>0.07381025565638001</v>
      </c>
      <c r="E2068">
        <v>0.100907375120315</v>
      </c>
      <c r="F2068">
        <v>0.096239903951102</v>
      </c>
      <c r="G2068">
        <v>0.133926051368896</v>
      </c>
      <c r="H2068">
        <v>0.282281455592925</v>
      </c>
      <c r="I2068">
        <v>0.34377469405503</v>
      </c>
    </row>
    <row r="2069" spans="1:9">
      <c r="A2069" s="8" t="s">
        <v>2081</v>
      </c>
      <c r="B2069">
        <f>HYPERLINK("https://www.suredividend.com/sure-analysis-research-database/","O-I Glass Inc")</f>
        <v>0</v>
      </c>
      <c r="C2069">
        <v>-0.113517550410754</v>
      </c>
      <c r="D2069">
        <v>-0.296800947867298</v>
      </c>
      <c r="E2069">
        <v>-0.231715210355987</v>
      </c>
      <c r="F2069">
        <v>-0.275335775335775</v>
      </c>
      <c r="G2069">
        <v>-0.4693786320965581</v>
      </c>
      <c r="H2069">
        <v>-0.300530347672363</v>
      </c>
      <c r="I2069">
        <v>-0.288672088020087</v>
      </c>
    </row>
    <row r="2070" spans="1:9">
      <c r="A2070" s="8" t="s">
        <v>2082</v>
      </c>
      <c r="B2070">
        <f>HYPERLINK("https://www.suredividend.com/sure-analysis-research-database/","Oceaneering International, Inc.")</f>
        <v>0</v>
      </c>
      <c r="C2070">
        <v>-0.108165882855921</v>
      </c>
      <c r="D2070">
        <v>0.021547502448579</v>
      </c>
      <c r="E2070">
        <v>0.09100418410041801</v>
      </c>
      <c r="F2070">
        <v>-0.019736842105263</v>
      </c>
      <c r="G2070">
        <v>0.163413273842721</v>
      </c>
      <c r="H2070">
        <v>0.57078313253012</v>
      </c>
      <c r="I2070">
        <v>0.26194797338173</v>
      </c>
    </row>
    <row r="2071" spans="1:9">
      <c r="A2071" s="8" t="s">
        <v>2083</v>
      </c>
      <c r="B2071">
        <f>HYPERLINK("https://www.suredividend.com/sure-analysis-research-database/","Oil States International, Inc.")</f>
        <v>0</v>
      </c>
      <c r="C2071">
        <v>-0.101995565410199</v>
      </c>
      <c r="D2071">
        <v>-0.2907180385288961</v>
      </c>
      <c r="E2071">
        <v>-0.381679389312977</v>
      </c>
      <c r="F2071">
        <v>-0.403534609720176</v>
      </c>
      <c r="G2071">
        <v>-0.445964432284541</v>
      </c>
      <c r="H2071">
        <v>-0.539249146757679</v>
      </c>
      <c r="I2071">
        <v>-0.754990925589836</v>
      </c>
    </row>
    <row r="2072" spans="1:9">
      <c r="A2072" s="8" t="s">
        <v>2084</v>
      </c>
      <c r="B2072">
        <f>HYPERLINK("https://www.suredividend.com/sure-analysis-OKE/","Oneok Inc.")</f>
        <v>0</v>
      </c>
      <c r="C2072">
        <v>0.003572795712645</v>
      </c>
      <c r="D2072">
        <v>0.028126078453928</v>
      </c>
      <c r="E2072">
        <v>0.200431636448553</v>
      </c>
      <c r="F2072">
        <v>0.150000073108714</v>
      </c>
      <c r="G2072">
        <v>0.375589194672543</v>
      </c>
      <c r="H2072">
        <v>0.276578477519883</v>
      </c>
      <c r="I2072">
        <v>0.695616835869033</v>
      </c>
    </row>
    <row r="2073" spans="1:9">
      <c r="A2073" s="8" t="s">
        <v>2085</v>
      </c>
      <c r="B2073">
        <f>HYPERLINK("https://www.suredividend.com/sure-analysis-research-database/","Okta Inc")</f>
        <v>0</v>
      </c>
      <c r="C2073">
        <v>-0.113027597402597</v>
      </c>
      <c r="D2073">
        <v>-0.21589380213472</v>
      </c>
      <c r="E2073">
        <v>0.214166666666666</v>
      </c>
      <c r="F2073">
        <v>-0.034353253065282</v>
      </c>
      <c r="G2073">
        <v>0.213660974593919</v>
      </c>
      <c r="H2073">
        <v>-0.123521155003007</v>
      </c>
      <c r="I2073">
        <v>-0.313329667740161</v>
      </c>
    </row>
    <row r="2074" spans="1:9">
      <c r="A2074" s="8" t="s">
        <v>2086</v>
      </c>
      <c r="B2074">
        <f>HYPERLINK("https://www.suredividend.com/sure-analysis-research-database/","Universal Display Corp.")</f>
        <v>0</v>
      </c>
      <c r="C2074">
        <v>0.044811051489896</v>
      </c>
      <c r="D2074">
        <v>0.064793402853527</v>
      </c>
      <c r="E2074">
        <v>0.053675689180927</v>
      </c>
      <c r="F2074">
        <v>-0.038312499310378</v>
      </c>
      <c r="G2074">
        <v>0.258051412189001</v>
      </c>
      <c r="H2074">
        <v>0.467716727383826</v>
      </c>
      <c r="I2074">
        <v>0.177560533096573</v>
      </c>
    </row>
    <row r="2075" spans="1:9">
      <c r="A2075" s="8" t="s">
        <v>2087</v>
      </c>
      <c r="B2075">
        <f>HYPERLINK("https://www.suredividend.com/sure-analysis-research-database/","Ollies Bargain Outlet Holdings Inc")</f>
        <v>0</v>
      </c>
      <c r="C2075">
        <v>0.050308137341214</v>
      </c>
      <c r="D2075">
        <v>0.109325185972369</v>
      </c>
      <c r="E2075">
        <v>0.14272030651341</v>
      </c>
      <c r="F2075">
        <v>0.10040848596653</v>
      </c>
      <c r="G2075">
        <v>0.367671143137897</v>
      </c>
      <c r="H2075">
        <v>0.6377721121788581</v>
      </c>
      <c r="I2075">
        <v>-0.121502209131075</v>
      </c>
    </row>
    <row r="2076" spans="1:9">
      <c r="A2076" s="8" t="s">
        <v>2088</v>
      </c>
      <c r="B2076">
        <f>HYPERLINK("https://www.suredividend.com/sure-analysis-research-database/","Olin Corp.")</f>
        <v>0</v>
      </c>
      <c r="C2076">
        <v>-0.10268817204301</v>
      </c>
      <c r="D2076">
        <v>-0.123046690276274</v>
      </c>
      <c r="E2076">
        <v>0.01492077455867</v>
      </c>
      <c r="F2076">
        <v>-0.06521816243584601</v>
      </c>
      <c r="G2076">
        <v>-0.05294576048058201</v>
      </c>
      <c r="H2076">
        <v>-0.218906000399361</v>
      </c>
      <c r="I2076">
        <v>1.58504525248979</v>
      </c>
    </row>
    <row r="2077" spans="1:9">
      <c r="A2077" s="8" t="s">
        <v>2089</v>
      </c>
      <c r="B2077">
        <f>HYPERLINK("https://www.suredividend.com/sure-analysis-OLP/","One Liberty Properties, Inc.")</f>
        <v>0</v>
      </c>
      <c r="C2077">
        <v>0.001279317697228</v>
      </c>
      <c r="D2077">
        <v>0.09931269546978201</v>
      </c>
      <c r="E2077">
        <v>0.107416578233698</v>
      </c>
      <c r="F2077">
        <v>0.09329310312715301</v>
      </c>
      <c r="G2077">
        <v>0.170360179840695</v>
      </c>
      <c r="H2077">
        <v>0.008625725969964</v>
      </c>
      <c r="I2077">
        <v>0.149453422169568</v>
      </c>
    </row>
    <row r="2078" spans="1:9">
      <c r="A2078" s="8" t="s">
        <v>2090</v>
      </c>
      <c r="B2078">
        <f>HYPERLINK("https://www.suredividend.com/sure-analysis-OMC/","Omnicom Group, Inc.")</f>
        <v>0</v>
      </c>
      <c r="C2078">
        <v>-0.038120380147835</v>
      </c>
      <c r="D2078">
        <v>-0.01032159930465</v>
      </c>
      <c r="E2078">
        <v>0.127142238445833</v>
      </c>
      <c r="F2078">
        <v>0.060950184609292</v>
      </c>
      <c r="G2078">
        <v>-0.007546092614504001</v>
      </c>
      <c r="H2078">
        <v>0.346003806461527</v>
      </c>
      <c r="I2078">
        <v>0.380375303268863</v>
      </c>
    </row>
    <row r="2079" spans="1:9">
      <c r="A2079" s="8" t="s">
        <v>2091</v>
      </c>
      <c r="B2079">
        <f>HYPERLINK("https://www.suredividend.com/sure-analysis-research-database/","Omnicell, Inc.")</f>
        <v>0</v>
      </c>
      <c r="C2079">
        <v>-0.019141914191419</v>
      </c>
      <c r="D2079">
        <v>0.05915894511760501</v>
      </c>
      <c r="E2079">
        <v>-0.154480796586059</v>
      </c>
      <c r="F2079">
        <v>-0.210204623970236</v>
      </c>
      <c r="G2079">
        <v>-0.608638398735844</v>
      </c>
      <c r="H2079">
        <v>-0.7494097807757161</v>
      </c>
      <c r="I2079">
        <v>-0.629980079681274</v>
      </c>
    </row>
    <row r="2080" spans="1:9">
      <c r="A2080" s="8" t="s">
        <v>2092</v>
      </c>
      <c r="B2080">
        <f>HYPERLINK("https://www.suredividend.com/sure-analysis-research-database/","OptMed Inc")</f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</row>
    <row r="2081" spans="1:9">
      <c r="A2081" s="8" t="s">
        <v>2093</v>
      </c>
      <c r="B2081">
        <f>HYPERLINK("https://www.suredividend.com/sure-analysis-research-database/","Omeros Corporation")</f>
        <v>0</v>
      </c>
      <c r="C2081">
        <v>0.06043956043956</v>
      </c>
      <c r="D2081">
        <v>-0.146017699115044</v>
      </c>
      <c r="E2081">
        <v>0.493230174081237</v>
      </c>
      <c r="F2081">
        <v>0.180428134556574</v>
      </c>
      <c r="G2081">
        <v>-0.452482269503546</v>
      </c>
      <c r="H2081">
        <v>0.595041322314049</v>
      </c>
      <c r="I2081">
        <v>-0.771191464137522</v>
      </c>
    </row>
    <row r="2082" spans="1:9">
      <c r="A2082" s="8" t="s">
        <v>2094</v>
      </c>
      <c r="B2082">
        <f>HYPERLINK("https://www.suredividend.com/sure-analysis-research-database/","Odyssey Marine Exploration, Inc.")</f>
        <v>0</v>
      </c>
      <c r="C2082">
        <v>0.30077120822622</v>
      </c>
      <c r="D2082">
        <v>0.147392290249432</v>
      </c>
      <c r="E2082">
        <v>0.510447761194029</v>
      </c>
      <c r="F2082">
        <v>0.088172043010752</v>
      </c>
      <c r="G2082">
        <v>0.4055555555555551</v>
      </c>
      <c r="H2082">
        <v>0.5714285714285711</v>
      </c>
      <c r="I2082">
        <v>0.284263959390862</v>
      </c>
    </row>
    <row r="2083" spans="1:9">
      <c r="A2083" s="8" t="s">
        <v>2095</v>
      </c>
      <c r="B2083">
        <f>HYPERLINK("https://www.suredividend.com/sure-analysis-OMF/","OneMain Holdings Inc")</f>
        <v>0</v>
      </c>
      <c r="C2083">
        <v>-0.027037530535198</v>
      </c>
      <c r="D2083">
        <v>0.031480438237297</v>
      </c>
      <c r="E2083">
        <v>0.13746470776406</v>
      </c>
      <c r="F2083">
        <v>0.039671508720782</v>
      </c>
      <c r="G2083">
        <v>0.239304151050137</v>
      </c>
      <c r="H2083">
        <v>0.349096157811533</v>
      </c>
      <c r="I2083">
        <v>1.436263436188963</v>
      </c>
    </row>
    <row r="2084" spans="1:9">
      <c r="A2084" s="8" t="s">
        <v>2096</v>
      </c>
      <c r="B2084">
        <f>HYPERLINK("https://www.suredividend.com/sure-analysis-research-database/","Owens &amp; Minor, Inc.")</f>
        <v>0</v>
      </c>
      <c r="C2084">
        <v>-0.08196721311475401</v>
      </c>
      <c r="D2084">
        <v>-0.320281910728269</v>
      </c>
      <c r="E2084">
        <v>-0.197411003236245</v>
      </c>
      <c r="F2084">
        <v>-0.099117799688635</v>
      </c>
      <c r="G2084">
        <v>-0.200368493781667</v>
      </c>
      <c r="H2084">
        <v>-0.496957403651115</v>
      </c>
      <c r="I2084">
        <v>5.263982102908278</v>
      </c>
    </row>
    <row r="2085" spans="1:9">
      <c r="A2085" s="8" t="s">
        <v>2097</v>
      </c>
      <c r="B2085">
        <f>HYPERLINK("https://www.suredividend.com/sure-analysis-research-database/","ON Semiconductor Corp.")</f>
        <v>0</v>
      </c>
      <c r="C2085">
        <v>0.021471959316287</v>
      </c>
      <c r="D2085">
        <v>-0.128375120540019</v>
      </c>
      <c r="E2085">
        <v>-0.046545358649789</v>
      </c>
      <c r="F2085">
        <v>-0.134322997725368</v>
      </c>
      <c r="G2085">
        <v>-0.189713133124159</v>
      </c>
      <c r="H2085">
        <v>0.104306658521686</v>
      </c>
      <c r="I2085">
        <v>2.793809024134313</v>
      </c>
    </row>
    <row r="2086" spans="1:9">
      <c r="A2086" s="8" t="s">
        <v>2098</v>
      </c>
      <c r="B2086">
        <f>HYPERLINK("https://www.suredividend.com/sure-analysis-research-database/","Old National Bancorp")</f>
        <v>0</v>
      </c>
      <c r="C2086">
        <v>-0.04755226776052</v>
      </c>
      <c r="D2086">
        <v>-0.019141779144426</v>
      </c>
      <c r="E2086">
        <v>0.039388355024454</v>
      </c>
      <c r="F2086">
        <v>-0.009840845583768</v>
      </c>
      <c r="G2086">
        <v>0.221431247658298</v>
      </c>
      <c r="H2086">
        <v>0.11039960761339</v>
      </c>
      <c r="I2086">
        <v>0.207801061086576</v>
      </c>
    </row>
    <row r="2087" spans="1:9">
      <c r="A2087" s="8" t="s">
        <v>2099</v>
      </c>
      <c r="B2087">
        <f>HYPERLINK("https://www.suredividend.com/sure-analysis-research-database/","OncoSec Medical Inc")</f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</row>
    <row r="2088" spans="1:9">
      <c r="A2088" s="8" t="s">
        <v>2100</v>
      </c>
      <c r="B2088">
        <f>HYPERLINK("https://www.suredividend.com/sure-analysis-research-database/","Oncternal Therapeutics Inc")</f>
        <v>0</v>
      </c>
      <c r="C2088">
        <v>-0.037558685446009</v>
      </c>
      <c r="D2088">
        <v>-0.113513513513513</v>
      </c>
      <c r="E2088">
        <v>0.187029530978575</v>
      </c>
      <c r="F2088">
        <v>-0.235359940320775</v>
      </c>
      <c r="G2088">
        <v>0.327720207253885</v>
      </c>
      <c r="H2088">
        <v>-0.722972972972973</v>
      </c>
      <c r="I2088">
        <v>-0.023809523809523</v>
      </c>
    </row>
    <row r="2089" spans="1:9">
      <c r="A2089" s="8" t="s">
        <v>2101</v>
      </c>
      <c r="B2089">
        <f>HYPERLINK("https://www.suredividend.com/sure-analysis-research-database/","Onconova Therapeutics Inc")</f>
        <v>0</v>
      </c>
      <c r="C2089">
        <v>0.199301120616941</v>
      </c>
      <c r="D2089">
        <v>0.259873417721518</v>
      </c>
      <c r="E2089">
        <v>0.346820027063599</v>
      </c>
      <c r="F2089">
        <v>0.334898068669527</v>
      </c>
      <c r="G2089">
        <v>0.362118516491035</v>
      </c>
      <c r="H2089">
        <v>-0.462</v>
      </c>
      <c r="I2089">
        <v>-0.981413632119514</v>
      </c>
    </row>
    <row r="2090" spans="1:9">
      <c r="A2090" s="8" t="s">
        <v>2102</v>
      </c>
      <c r="B2090">
        <f>HYPERLINK("https://www.suredividend.com/sure-analysis-research-database/","Organovo Holdings Inc")</f>
        <v>0</v>
      </c>
      <c r="C2090">
        <v>0.055164835164835</v>
      </c>
      <c r="D2090">
        <v>-0.049306930693069</v>
      </c>
      <c r="E2090">
        <v>-0.206446280991735</v>
      </c>
      <c r="F2090">
        <v>-0.134954954954955</v>
      </c>
      <c r="G2090">
        <v>-0.438479532163742</v>
      </c>
      <c r="H2090">
        <v>-0.567477477477477</v>
      </c>
      <c r="I2090">
        <v>-0.8946456001755541</v>
      </c>
    </row>
    <row r="2091" spans="1:9">
      <c r="A2091" s="8" t="s">
        <v>2103</v>
      </c>
      <c r="B2091">
        <f>HYPERLINK("https://www.suredividend.com/sure-analysis-research-database/","Ooma Inc")</f>
        <v>0</v>
      </c>
      <c r="C2091">
        <v>0.254360465116279</v>
      </c>
      <c r="D2091">
        <v>-0.024858757062146</v>
      </c>
      <c r="E2091">
        <v>-0.143849206349206</v>
      </c>
      <c r="F2091">
        <v>-0.195712954333644</v>
      </c>
      <c r="G2091">
        <v>-0.357886904761904</v>
      </c>
      <c r="H2091">
        <v>-0.370072992700729</v>
      </c>
      <c r="I2091">
        <v>-0.274789915966386</v>
      </c>
    </row>
    <row r="2092" spans="1:9">
      <c r="A2092" s="8" t="s">
        <v>2104</v>
      </c>
      <c r="B2092">
        <f>HYPERLINK("https://www.suredividend.com/sure-analysis-research-database/","Opgen Inc")</f>
        <v>0</v>
      </c>
      <c r="C2092">
        <v>-0.462998372660699</v>
      </c>
      <c r="D2092">
        <v>-0.467654769106674</v>
      </c>
      <c r="E2092">
        <v>-0.359869059165858</v>
      </c>
      <c r="F2092">
        <v>-0.371452380952381</v>
      </c>
      <c r="G2092">
        <v>-0.574621334192716</v>
      </c>
      <c r="H2092">
        <v>-0.9757807339449541</v>
      </c>
      <c r="I2092">
        <v>-0.9984331077872741</v>
      </c>
    </row>
    <row r="2093" spans="1:9">
      <c r="A2093" s="8" t="s">
        <v>2105</v>
      </c>
      <c r="B2093">
        <f>HYPERLINK("https://www.suredividend.com/sure-analysis-research-database/","Office Properties Income Trust")</f>
        <v>0</v>
      </c>
      <c r="C2093">
        <v>-0.128514056224899</v>
      </c>
      <c r="D2093">
        <v>-0.020846493998736</v>
      </c>
      <c r="E2093">
        <v>-0.648104303830311</v>
      </c>
      <c r="F2093">
        <v>-0.6995416972432601</v>
      </c>
      <c r="G2093">
        <v>-0.682228209934395</v>
      </c>
      <c r="H2093">
        <v>-0.853989059272367</v>
      </c>
      <c r="I2093">
        <v>-0.8369193539902151</v>
      </c>
    </row>
    <row r="2094" spans="1:9">
      <c r="A2094" s="8" t="s">
        <v>2106</v>
      </c>
      <c r="B2094">
        <f>HYPERLINK("https://www.suredividend.com/sure-analysis-research-database/","Opko Health Inc")</f>
        <v>0</v>
      </c>
      <c r="C2094">
        <v>-0.007692307692307001</v>
      </c>
      <c r="D2094">
        <v>0.356039104383475</v>
      </c>
      <c r="E2094">
        <v>-0.19375</v>
      </c>
      <c r="F2094">
        <v>-0.14569536423841</v>
      </c>
      <c r="G2094">
        <v>-0.183544303797468</v>
      </c>
      <c r="H2094">
        <v>-0.5473684210526311</v>
      </c>
      <c r="I2094">
        <v>-0.33160621761658</v>
      </c>
    </row>
    <row r="2095" spans="1:9">
      <c r="A2095" s="8" t="s">
        <v>2107</v>
      </c>
      <c r="B2095">
        <f>HYPERLINK("https://www.suredividend.com/sure-analysis-research-database/","Old Point Financial Corp.")</f>
        <v>0</v>
      </c>
      <c r="C2095">
        <v>0.104186375683346</v>
      </c>
      <c r="D2095">
        <v>-0.081157417144917</v>
      </c>
      <c r="E2095">
        <v>-0.08497357853727401</v>
      </c>
      <c r="F2095">
        <v>-0.12520096348043</v>
      </c>
      <c r="G2095">
        <v>0.013851774737916</v>
      </c>
      <c r="H2095">
        <v>-0.343734575187243</v>
      </c>
      <c r="I2095">
        <v>-0.196498013579131</v>
      </c>
    </row>
    <row r="2096" spans="1:9">
      <c r="A2096" s="8" t="s">
        <v>2108</v>
      </c>
      <c r="B2096">
        <f>HYPERLINK("https://www.suredividend.com/sure-analysis-research-database/","OptimizeRx Corp")</f>
        <v>0</v>
      </c>
      <c r="C2096">
        <v>0.030583873957367</v>
      </c>
      <c r="D2096">
        <v>-0.311881188118811</v>
      </c>
      <c r="E2096">
        <v>0.133537206931702</v>
      </c>
      <c r="F2096">
        <v>-0.222921034241789</v>
      </c>
      <c r="G2096">
        <v>-0.254191817572099</v>
      </c>
      <c r="H2096">
        <v>-0.604129583481666</v>
      </c>
      <c r="I2096">
        <v>-0.156297420333839</v>
      </c>
    </row>
    <row r="2097" spans="1:9">
      <c r="A2097" s="8" t="s">
        <v>2109</v>
      </c>
      <c r="B2097">
        <f>HYPERLINK("https://www.suredividend.com/sure-analysis-research-database/","OptiNose Inc")</f>
        <v>0</v>
      </c>
      <c r="C2097">
        <v>0.029126213592233</v>
      </c>
      <c r="D2097">
        <v>-0.383720930232558</v>
      </c>
      <c r="E2097">
        <v>-0.151999999999999</v>
      </c>
      <c r="F2097">
        <v>-0.17829457364341</v>
      </c>
      <c r="G2097">
        <v>-0.094017094017093</v>
      </c>
      <c r="H2097">
        <v>-0.436170212765957</v>
      </c>
      <c r="I2097">
        <v>-0.834375</v>
      </c>
    </row>
    <row r="2098" spans="1:9">
      <c r="A2098" s="8" t="s">
        <v>2110</v>
      </c>
      <c r="B2098">
        <f>HYPERLINK("https://www.suredividend.com/sure-analysis-research-database/","Ocean Power Technologies")</f>
        <v>0</v>
      </c>
      <c r="C2098">
        <v>-0.184</v>
      </c>
      <c r="D2098">
        <v>-0.4801223241590211</v>
      </c>
      <c r="E2098">
        <v>-0.5548443409950531</v>
      </c>
      <c r="F2098">
        <v>-0.515822784810126</v>
      </c>
      <c r="G2098">
        <v>-0.7468144961112031</v>
      </c>
      <c r="H2098">
        <v>-0.8266288951841361</v>
      </c>
      <c r="I2098">
        <v>-0.928169014084507</v>
      </c>
    </row>
    <row r="2099" spans="1:9">
      <c r="A2099" s="8" t="s">
        <v>2111</v>
      </c>
      <c r="B2099">
        <f>HYPERLINK("https://www.suredividend.com/sure-analysis-research-database/","Oppenheimer Holdings Inc")</f>
        <v>0</v>
      </c>
      <c r="C2099">
        <v>0.119605128513814</v>
      </c>
      <c r="D2099">
        <v>0.203328951318227</v>
      </c>
      <c r="E2099">
        <v>0.146251879606576</v>
      </c>
      <c r="F2099">
        <v>0.133770261571771</v>
      </c>
      <c r="G2099">
        <v>0.165679390537691</v>
      </c>
      <c r="H2099">
        <v>0.32939185325801</v>
      </c>
      <c r="I2099">
        <v>1.076949876276319</v>
      </c>
    </row>
    <row r="2100" spans="1:9">
      <c r="A2100" s="8" t="s">
        <v>2112</v>
      </c>
      <c r="B2100">
        <f>HYPERLINK("https://www.suredividend.com/sure-analysis-research-database/","Ormat Technologies Inc")</f>
        <v>0</v>
      </c>
      <c r="C2100">
        <v>0.08869115620620201</v>
      </c>
      <c r="D2100">
        <v>0.126266764545518</v>
      </c>
      <c r="E2100">
        <v>0.050838112669171</v>
      </c>
      <c r="F2100">
        <v>-0.020844946593348</v>
      </c>
      <c r="G2100">
        <v>-0.148826946561985</v>
      </c>
      <c r="H2100">
        <v>-0.100014604225489</v>
      </c>
      <c r="I2100">
        <v>0.23183480920303</v>
      </c>
    </row>
    <row r="2101" spans="1:9">
      <c r="A2101" s="8" t="s">
        <v>2113</v>
      </c>
      <c r="B2101">
        <f>HYPERLINK("https://www.suredividend.com/sure-analysis-research-database/","Orbcomm Inc")</f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</row>
    <row r="2102" spans="1:9">
      <c r="A2102" s="8" t="s">
        <v>2114</v>
      </c>
      <c r="B2102">
        <f>HYPERLINK("https://www.suredividend.com/sure-analysis-ORC/","Orchid Island Capital Inc")</f>
        <v>0</v>
      </c>
      <c r="C2102">
        <v>0</v>
      </c>
      <c r="D2102">
        <v>0.023217287499695</v>
      </c>
      <c r="E2102">
        <v>0.173823730803091</v>
      </c>
      <c r="F2102">
        <v>0.06853915432758301</v>
      </c>
      <c r="G2102">
        <v>-0.010996773965667</v>
      </c>
      <c r="H2102">
        <v>-0.207030991872067</v>
      </c>
      <c r="I2102">
        <v>-0.347760255305271</v>
      </c>
    </row>
    <row r="2103" spans="1:9">
      <c r="A2103" s="8" t="s">
        <v>2115</v>
      </c>
      <c r="B2103">
        <f>HYPERLINK("https://www.suredividend.com/sure-analysis-ORCL/","Oracle Corp.")</f>
        <v>0</v>
      </c>
      <c r="C2103">
        <v>0.067752056304587</v>
      </c>
      <c r="D2103">
        <v>0.102901246895024</v>
      </c>
      <c r="E2103">
        <v>0.123556405797308</v>
      </c>
      <c r="F2103">
        <v>0.202844337117376</v>
      </c>
      <c r="G2103">
        <v>0.213554571887592</v>
      </c>
      <c r="H2103">
        <v>0.7881816981193701</v>
      </c>
      <c r="I2103">
        <v>1.562672734155266</v>
      </c>
    </row>
    <row r="2104" spans="1:9">
      <c r="A2104" s="8" t="s">
        <v>2116</v>
      </c>
      <c r="B2104">
        <f>HYPERLINK("https://www.suredividend.com/sure-analysis-research-database/","Organogenesis Holdings Inc")</f>
        <v>0</v>
      </c>
      <c r="C2104">
        <v>0.127049180327868</v>
      </c>
      <c r="D2104">
        <v>-0.121405750798722</v>
      </c>
      <c r="E2104">
        <v>-0.021352313167259</v>
      </c>
      <c r="F2104">
        <v>-0.32762836185819</v>
      </c>
      <c r="G2104">
        <v>-0.352941176470588</v>
      </c>
      <c r="H2104">
        <v>-0.500907441016333</v>
      </c>
      <c r="I2104">
        <v>-0.611032531824611</v>
      </c>
    </row>
    <row r="2105" spans="1:9">
      <c r="A2105" s="8" t="s">
        <v>2117</v>
      </c>
      <c r="B2105">
        <f>HYPERLINK("https://www.suredividend.com/sure-analysis-ORI/","Old Republic International Corp.")</f>
        <v>0</v>
      </c>
      <c r="C2105">
        <v>-0.003154082784938</v>
      </c>
      <c r="D2105">
        <v>0.06485493431314701</v>
      </c>
      <c r="E2105">
        <v>0.07918976455957601</v>
      </c>
      <c r="F2105">
        <v>0.063406292512885</v>
      </c>
      <c r="G2105">
        <v>0.249486498468646</v>
      </c>
      <c r="H2105">
        <v>0.389749691242133</v>
      </c>
      <c r="I2105">
        <v>0.8544117735830831</v>
      </c>
    </row>
    <row r="2106" spans="1:9">
      <c r="A2106" s="8" t="s">
        <v>2118</v>
      </c>
      <c r="B2106">
        <f>HYPERLINK("https://www.suredividend.com/sure-analysis-research-database/","O`Reilly Automotive, Inc.")</f>
        <v>0</v>
      </c>
      <c r="C2106">
        <v>-0.041157625574355</v>
      </c>
      <c r="D2106">
        <v>-0.10164030731667</v>
      </c>
      <c r="E2106">
        <v>0.026202933805874</v>
      </c>
      <c r="F2106">
        <v>0.030123779050185</v>
      </c>
      <c r="G2106">
        <v>0.108242461301536</v>
      </c>
      <c r="H2106">
        <v>0.541648289332745</v>
      </c>
      <c r="I2106">
        <v>1.560299272746298</v>
      </c>
    </row>
    <row r="2107" spans="1:9">
      <c r="A2107" s="8" t="s">
        <v>2119</v>
      </c>
      <c r="B2107">
        <f>HYPERLINK("https://www.suredividend.com/sure-analysis-research-database/","Orion Group Holdings Inc")</f>
        <v>0</v>
      </c>
      <c r="C2107">
        <v>0.339869281045751</v>
      </c>
      <c r="D2107">
        <v>0.373994638069705</v>
      </c>
      <c r="E2107">
        <v>1.345537757437071</v>
      </c>
      <c r="F2107">
        <v>1.074898785425101</v>
      </c>
      <c r="G2107">
        <v>2.897338403041825</v>
      </c>
      <c r="H2107">
        <v>2.634751773049645</v>
      </c>
      <c r="I2107">
        <v>3.659090909090908</v>
      </c>
    </row>
    <row r="2108" spans="1:9">
      <c r="A2108" s="8" t="s">
        <v>2120</v>
      </c>
      <c r="B2108">
        <f>HYPERLINK("https://www.suredividend.com/sure-analysis-research-database/","Orrstown Financial Services, Inc.")</f>
        <v>0</v>
      </c>
      <c r="C2108">
        <v>-0.045812992865189</v>
      </c>
      <c r="D2108">
        <v>-0.026074824743295</v>
      </c>
      <c r="E2108">
        <v>0.06442694369973201</v>
      </c>
      <c r="F2108">
        <v>-0.112376427847835</v>
      </c>
      <c r="G2108">
        <v>0.328509361259391</v>
      </c>
      <c r="H2108">
        <v>0.122642384720399</v>
      </c>
      <c r="I2108">
        <v>0.505795624244435</v>
      </c>
    </row>
    <row r="2109" spans="1:9">
      <c r="A2109" s="8" t="s">
        <v>2121</v>
      </c>
      <c r="B2109">
        <f>HYPERLINK("https://www.suredividend.com/sure-analysis-research-database/","Old Second Bancorporation Inc.")</f>
        <v>0</v>
      </c>
      <c r="C2109">
        <v>-0.021830985915492</v>
      </c>
      <c r="D2109">
        <v>0.032199573446684</v>
      </c>
      <c r="E2109">
        <v>-0.074456601409971</v>
      </c>
      <c r="F2109">
        <v>-0.088241665189736</v>
      </c>
      <c r="G2109">
        <v>0.037744306975076</v>
      </c>
      <c r="H2109">
        <v>-0.057902697423306</v>
      </c>
      <c r="I2109">
        <v>0.235138764149853</v>
      </c>
    </row>
    <row r="2110" spans="1:9">
      <c r="A2110" s="8" t="s">
        <v>2122</v>
      </c>
      <c r="B2110">
        <f>HYPERLINK("https://www.suredividend.com/sure-analysis-research-database/","Overseas Shipholding Group, Inc.")</f>
        <v>0</v>
      </c>
      <c r="C2110">
        <v>0.338095238095238</v>
      </c>
      <c r="D2110">
        <v>0.416354441438868</v>
      </c>
      <c r="E2110">
        <v>0.7536560504254121</v>
      </c>
      <c r="F2110">
        <v>0.615221015117549</v>
      </c>
      <c r="G2110">
        <v>1.248179854388351</v>
      </c>
      <c r="H2110">
        <v>2.727449593208348</v>
      </c>
      <c r="I2110">
        <v>4.218521728364491</v>
      </c>
    </row>
    <row r="2111" spans="1:9">
      <c r="A2111" s="8" t="s">
        <v>2123</v>
      </c>
      <c r="B2111">
        <f>HYPERLINK("https://www.suredividend.com/sure-analysis-research-database/","OSI Systems, Inc.")</f>
        <v>0</v>
      </c>
      <c r="C2111">
        <v>0.027584161352513</v>
      </c>
      <c r="D2111">
        <v>0.04778466656585501</v>
      </c>
      <c r="E2111">
        <v>0.131542418551482</v>
      </c>
      <c r="F2111">
        <v>0.07384734598992601</v>
      </c>
      <c r="G2111">
        <v>0.10036525329522</v>
      </c>
      <c r="H2111">
        <v>0.597832353280295</v>
      </c>
      <c r="I2111">
        <v>0.235115864527629</v>
      </c>
    </row>
    <row r="2112" spans="1:9">
      <c r="A2112" s="8" t="s">
        <v>2124</v>
      </c>
      <c r="B2112">
        <f>HYPERLINK("https://www.suredividend.com/sure-analysis-OSK/","Oshkosh Corp")</f>
        <v>0</v>
      </c>
      <c r="C2112">
        <v>-0.052230322596769</v>
      </c>
      <c r="D2112">
        <v>-0.031782059838105</v>
      </c>
      <c r="E2112">
        <v>0.121927630209714</v>
      </c>
      <c r="F2112">
        <v>0.022681831285861</v>
      </c>
      <c r="G2112">
        <v>0.310099332620127</v>
      </c>
      <c r="H2112">
        <v>0.170288278068242</v>
      </c>
      <c r="I2112">
        <v>0.539182890814169</v>
      </c>
    </row>
    <row r="2113" spans="1:9">
      <c r="A2113" s="8" t="s">
        <v>2125</v>
      </c>
      <c r="B2113">
        <f>HYPERLINK("https://www.suredividend.com/sure-analysis-research-database/","OneSpan Inc")</f>
        <v>0</v>
      </c>
      <c r="C2113">
        <v>0.09842845326716201</v>
      </c>
      <c r="D2113">
        <v>0.12637828668363</v>
      </c>
      <c r="E2113">
        <v>0.349593495934959</v>
      </c>
      <c r="F2113">
        <v>0.238805970149253</v>
      </c>
      <c r="G2113">
        <v>-0.178726035868893</v>
      </c>
      <c r="H2113">
        <v>-0.022810890360559</v>
      </c>
      <c r="I2113">
        <v>-0.05748757984386001</v>
      </c>
    </row>
    <row r="2114" spans="1:9">
      <c r="A2114" s="8" t="s">
        <v>2126</v>
      </c>
      <c r="B2114">
        <f>HYPERLINK("https://www.suredividend.com/sure-analysis-research-database/","Beyond Inc")</f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</row>
    <row r="2115" spans="1:9">
      <c r="A2115" s="8" t="s">
        <v>2127</v>
      </c>
      <c r="B2115">
        <f>HYPERLINK("https://www.suredividend.com/sure-analysis-research-database/","Orasure Technologies Inc.")</f>
        <v>0</v>
      </c>
      <c r="C2115">
        <v>-0.153429602888086</v>
      </c>
      <c r="D2115">
        <v>-0.356652949245541</v>
      </c>
      <c r="E2115">
        <v>-0.3193033381712621</v>
      </c>
      <c r="F2115">
        <v>-0.428048780487804</v>
      </c>
      <c r="G2115">
        <v>-0.147272727272727</v>
      </c>
      <c r="H2115">
        <v>0.408408408408408</v>
      </c>
      <c r="I2115">
        <v>-0.4488836662749701</v>
      </c>
    </row>
    <row r="2116" spans="1:9">
      <c r="A2116" s="8" t="s">
        <v>2128</v>
      </c>
      <c r="B2116">
        <f>HYPERLINK("https://www.suredividend.com/sure-analysis-research-database/","OneSpaWorld Holdings Limited")</f>
        <v>0</v>
      </c>
      <c r="C2116">
        <v>0.024966261808367</v>
      </c>
      <c r="D2116">
        <v>0.185792349726775</v>
      </c>
      <c r="E2116">
        <v>0.207472178060413</v>
      </c>
      <c r="F2116">
        <v>0.07730496453900701</v>
      </c>
      <c r="G2116">
        <v>0.346631205673758</v>
      </c>
      <c r="H2116">
        <v>0.6403887688984881</v>
      </c>
      <c r="I2116">
        <v>0.154369352595621</v>
      </c>
    </row>
    <row r="2117" spans="1:9">
      <c r="A2117" s="8" t="s">
        <v>2129</v>
      </c>
      <c r="B2117">
        <f>HYPERLINK("https://www.suredividend.com/sure-analysis-research-database/","Otelco Inc")</f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</row>
    <row r="2118" spans="1:9">
      <c r="A2118" s="8" t="s">
        <v>2130</v>
      </c>
      <c r="B2118">
        <f>HYPERLINK("https://www.suredividend.com/sure-analysis-research-database/","Otonomy Inc")</f>
        <v>0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</row>
    <row r="2119" spans="1:9">
      <c r="A2119" s="8" t="s">
        <v>2131</v>
      </c>
      <c r="B2119">
        <f>HYPERLINK("https://www.suredividend.com/sure-analysis-OTTR/","Otter Tail Corporation")</f>
        <v>0</v>
      </c>
      <c r="C2119">
        <v>-0.013057797984499</v>
      </c>
      <c r="D2119">
        <v>0.044304209533211</v>
      </c>
      <c r="E2119">
        <v>0.178663282006747</v>
      </c>
      <c r="F2119">
        <v>0.05992377968195001</v>
      </c>
      <c r="G2119">
        <v>0.191431203018688</v>
      </c>
      <c r="H2119">
        <v>0.387829200417198</v>
      </c>
      <c r="I2119">
        <v>0.9701155226433761</v>
      </c>
    </row>
    <row r="2120" spans="1:9">
      <c r="A2120" s="8" t="s">
        <v>2132</v>
      </c>
      <c r="B2120">
        <f>HYPERLINK("https://www.suredividend.com/sure-analysis-research-database/","Outfront Media Inc")</f>
        <v>0</v>
      </c>
      <c r="C2120">
        <v>-0.06763056550233</v>
      </c>
      <c r="D2120">
        <v>-0.124926284551144</v>
      </c>
      <c r="E2120">
        <v>0.15748507012011</v>
      </c>
      <c r="F2120">
        <v>0.031451805788089</v>
      </c>
      <c r="G2120">
        <v>-0.003221472631928</v>
      </c>
      <c r="H2120">
        <v>-0.182319132547253</v>
      </c>
      <c r="I2120">
        <v>-0.3209864394103401</v>
      </c>
    </row>
    <row r="2121" spans="1:9">
      <c r="A2121" s="8" t="s">
        <v>2133</v>
      </c>
      <c r="B2121">
        <f>HYPERLINK("https://www.suredividend.com/sure-analysis-research-database/","Ohio Valley Banc Corp.")</f>
        <v>0</v>
      </c>
      <c r="C2121">
        <v>-0.020641194554237</v>
      </c>
      <c r="D2121">
        <v>-0.07468879668049701</v>
      </c>
      <c r="E2121">
        <v>-0.042005687822732</v>
      </c>
      <c r="F2121">
        <v>-0.012850648287096</v>
      </c>
      <c r="G2121">
        <v>-0.048049996584932</v>
      </c>
      <c r="H2121">
        <v>-0.182952655220675</v>
      </c>
      <c r="I2121">
        <v>-0.273407361067667</v>
      </c>
    </row>
    <row r="2122" spans="1:9">
      <c r="A2122" s="8" t="s">
        <v>2134</v>
      </c>
      <c r="B2122">
        <f>HYPERLINK("https://www.suredividend.com/sure-analysis-research-database/","Oak Valley Bancorp")</f>
        <v>0</v>
      </c>
      <c r="C2122">
        <v>-0.007685738684884</v>
      </c>
      <c r="D2122">
        <v>-0.037282518641259</v>
      </c>
      <c r="E2122">
        <v>-0.125102115340453</v>
      </c>
      <c r="F2122">
        <v>-0.211278312868652</v>
      </c>
      <c r="G2122">
        <v>-0.017410937011136</v>
      </c>
      <c r="H2122">
        <v>0.429247922855051</v>
      </c>
      <c r="I2122">
        <v>0.317094457888681</v>
      </c>
    </row>
    <row r="2123" spans="1:9">
      <c r="A2123" s="8" t="s">
        <v>2135</v>
      </c>
      <c r="B2123">
        <f>HYPERLINK("https://www.suredividend.com/sure-analysis-research-database/","Oxford Industries, Inc.")</f>
        <v>0</v>
      </c>
      <c r="C2123">
        <v>-0.04478721427244001</v>
      </c>
      <c r="D2123">
        <v>-0.0107365874454</v>
      </c>
      <c r="E2123">
        <v>0.09768546399634301</v>
      </c>
      <c r="F2123">
        <v>0.041813403922609</v>
      </c>
      <c r="G2123">
        <v>-0.015276622973558</v>
      </c>
      <c r="H2123">
        <v>0.17303123595044</v>
      </c>
      <c r="I2123">
        <v>0.622738544933914</v>
      </c>
    </row>
    <row r="2124" spans="1:9">
      <c r="A2124" s="8" t="s">
        <v>2136</v>
      </c>
      <c r="B2124">
        <f>HYPERLINK("https://www.suredividend.com/sure-analysis-OXY/","Occidental Petroleum Corp.")</f>
        <v>0</v>
      </c>
      <c r="C2124">
        <v>-0.08590748424773301</v>
      </c>
      <c r="D2124">
        <v>-0.025716625716625</v>
      </c>
      <c r="E2124">
        <v>0.05842137199738701</v>
      </c>
      <c r="F2124">
        <v>-0.000252122027061</v>
      </c>
      <c r="G2124">
        <v>0.003185975635466</v>
      </c>
      <c r="H2124">
        <v>-0.138678795830093</v>
      </c>
      <c r="I2124">
        <v>0.36735632183908</v>
      </c>
    </row>
    <row r="2125" spans="1:9">
      <c r="A2125" s="8" t="s">
        <v>2137</v>
      </c>
      <c r="B2125">
        <f>HYPERLINK("https://www.suredividend.com/sure-analysis-OZK/","Bank OZK")</f>
        <v>0</v>
      </c>
      <c r="C2125">
        <v>-0.1895493970806</v>
      </c>
      <c r="D2125">
        <v>-0.112146283807272</v>
      </c>
      <c r="E2125">
        <v>-0.127601142248152</v>
      </c>
      <c r="F2125">
        <v>-0.210762147073062</v>
      </c>
      <c r="G2125">
        <v>-0.019422147596035</v>
      </c>
      <c r="H2125">
        <v>0.02429868560367</v>
      </c>
      <c r="I2125">
        <v>0.5619202935480581</v>
      </c>
    </row>
    <row r="2126" spans="1:9">
      <c r="A2126" s="8" t="s">
        <v>2138</v>
      </c>
      <c r="B2126">
        <f>HYPERLINK("https://www.suredividend.com/sure-analysis-research-database/","Pacific Biosciences of California Inc")</f>
        <v>0</v>
      </c>
      <c r="C2126">
        <v>0.07486631016042701</v>
      </c>
      <c r="D2126">
        <v>-0.5620915032679731</v>
      </c>
      <c r="E2126">
        <v>-0.7601431980906921</v>
      </c>
      <c r="F2126">
        <v>-0.795107033639143</v>
      </c>
      <c r="G2126">
        <v>-0.8561202576950601</v>
      </c>
      <c r="H2126">
        <v>-0.58811475409836</v>
      </c>
      <c r="I2126">
        <v>-0.708272859216255</v>
      </c>
    </row>
    <row r="2127" spans="1:9">
      <c r="A2127" s="8" t="s">
        <v>2139</v>
      </c>
      <c r="B2127">
        <f>HYPERLINK("https://www.suredividend.com/sure-analysis-research-database/","Pacwest Bancorp")</f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</row>
    <row r="2128" spans="1:9">
      <c r="A2128" s="8" t="s">
        <v>2140</v>
      </c>
      <c r="B2128">
        <f>HYPERLINK("https://www.suredividend.com/sure-analysis-research-database/","Penske Automotive Group Inc")</f>
        <v>0</v>
      </c>
      <c r="C2128">
        <v>-0.022187903810394</v>
      </c>
      <c r="D2128">
        <v>-0.019115135411774</v>
      </c>
      <c r="E2128">
        <v>0.002143990568056</v>
      </c>
      <c r="F2128">
        <v>-0.06116546107669601</v>
      </c>
      <c r="G2128">
        <v>0.005031908345840001</v>
      </c>
      <c r="H2128">
        <v>0.28250507033884</v>
      </c>
      <c r="I2128">
        <v>2.695991541808236</v>
      </c>
    </row>
    <row r="2129" spans="1:9">
      <c r="A2129" s="8" t="s">
        <v>2141</v>
      </c>
      <c r="B2129">
        <f>HYPERLINK("https://www.suredividend.com/sure-analysis-research-database/","Phibro Animal Health Corp.")</f>
        <v>0</v>
      </c>
      <c r="C2129">
        <v>0.03045115265209</v>
      </c>
      <c r="D2129">
        <v>0.338554423625953</v>
      </c>
      <c r="E2129">
        <v>0.5788456761158181</v>
      </c>
      <c r="F2129">
        <v>0.5188528943175781</v>
      </c>
      <c r="G2129">
        <v>0.316970966776414</v>
      </c>
      <c r="H2129">
        <v>-0.014789638067242</v>
      </c>
      <c r="I2129">
        <v>-0.325384188986778</v>
      </c>
    </row>
    <row r="2130" spans="1:9">
      <c r="A2130" s="8" t="s">
        <v>2142</v>
      </c>
      <c r="B2130">
        <f>HYPERLINK("https://www.suredividend.com/sure-analysis-research-database/","Pangaea Logistics Solutions Ltd")</f>
        <v>0</v>
      </c>
      <c r="C2130">
        <v>0.05867502748483201</v>
      </c>
      <c r="D2130">
        <v>-0.043859864179067</v>
      </c>
      <c r="E2130">
        <v>0.157510462113792</v>
      </c>
      <c r="F2130">
        <v>-0.018077445994259</v>
      </c>
      <c r="G2130">
        <v>0.390374331550801</v>
      </c>
      <c r="H2130">
        <v>0.4000071795239971</v>
      </c>
      <c r="I2130">
        <v>1.773925104022191</v>
      </c>
    </row>
    <row r="2131" spans="1:9">
      <c r="A2131" s="8" t="s">
        <v>2143</v>
      </c>
      <c r="B2131">
        <f>HYPERLINK("https://www.suredividend.com/sure-analysis-research-database/","Palo Alto Networks Inc")</f>
        <v>0</v>
      </c>
      <c r="C2131">
        <v>-0.011848651479444</v>
      </c>
      <c r="D2131">
        <v>0.05380735466080201</v>
      </c>
      <c r="E2131">
        <v>0.028234733149415</v>
      </c>
      <c r="F2131">
        <v>0.023806294085729</v>
      </c>
      <c r="G2131">
        <v>0.396069364161849</v>
      </c>
      <c r="H2131">
        <v>0.718595499317741</v>
      </c>
      <c r="I2131">
        <v>3.631788892298249</v>
      </c>
    </row>
    <row r="2132" spans="1:9">
      <c r="A2132" s="8" t="s">
        <v>2144</v>
      </c>
      <c r="B2132">
        <f>HYPERLINK("https://www.suredividend.com/sure-analysis-research-database/","Par Technology Corp.")</f>
        <v>0</v>
      </c>
      <c r="C2132">
        <v>-0.043652561247216</v>
      </c>
      <c r="D2132">
        <v>0.016571969696969</v>
      </c>
      <c r="E2132">
        <v>0.08653846153846101</v>
      </c>
      <c r="F2132">
        <v>-0.013780431786862</v>
      </c>
      <c r="G2132">
        <v>0.170346143363314</v>
      </c>
      <c r="H2132">
        <v>0.102722136620441</v>
      </c>
      <c r="I2132">
        <v>0.494084899095337</v>
      </c>
    </row>
    <row r="2133" spans="1:9">
      <c r="A2133" s="8" t="s">
        <v>2145</v>
      </c>
      <c r="B2133">
        <f>HYPERLINK("https://www.suredividend.com/sure-analysis-research-database/","Par Pacific Holdings Inc")</f>
        <v>0</v>
      </c>
      <c r="C2133">
        <v>-0.15317433658045</v>
      </c>
      <c r="D2133">
        <v>-0.303591160220994</v>
      </c>
      <c r="E2133">
        <v>-0.23813841039589</v>
      </c>
      <c r="F2133">
        <v>-0.3068463018971671</v>
      </c>
      <c r="G2133">
        <v>0.049105285060341</v>
      </c>
      <c r="H2133">
        <v>0.259240759240759</v>
      </c>
      <c r="I2133">
        <v>0.261761761761761</v>
      </c>
    </row>
    <row r="2134" spans="1:9">
      <c r="A2134" s="8" t="s">
        <v>2146</v>
      </c>
      <c r="B2134">
        <f>HYPERLINK("https://www.suredividend.com/sure-analysis-research-database/","Patriot Transportation Holding Inc")</f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</row>
    <row r="2135" spans="1:9">
      <c r="A2135" s="8" t="s">
        <v>2147</v>
      </c>
      <c r="B2135">
        <f>HYPERLINK("https://www.suredividend.com/sure-analysis-research-database/","Patrick Industries, Inc.")</f>
        <v>0</v>
      </c>
      <c r="C2135">
        <v>-0.05673396235428101</v>
      </c>
      <c r="D2135">
        <v>-0.043747455344091</v>
      </c>
      <c r="E2135">
        <v>0.241898195328468</v>
      </c>
      <c r="F2135">
        <v>0.083612883032205</v>
      </c>
      <c r="G2135">
        <v>0.4431867859690241</v>
      </c>
      <c r="H2135">
        <v>0.9092279650061411</v>
      </c>
      <c r="I2135">
        <v>1.734095553601144</v>
      </c>
    </row>
    <row r="2136" spans="1:9">
      <c r="A2136" s="8" t="s">
        <v>2148</v>
      </c>
      <c r="B2136">
        <f>HYPERLINK("https://www.suredividend.com/sure-analysis-research-database/","Paycom Software Inc")</f>
        <v>0</v>
      </c>
      <c r="C2136">
        <v>-0.174686212665525</v>
      </c>
      <c r="D2136">
        <v>-0.198353571692553</v>
      </c>
      <c r="E2136">
        <v>-0.212225386041</v>
      </c>
      <c r="F2136">
        <v>-0.294005630272307</v>
      </c>
      <c r="G2136">
        <v>-0.516603069685261</v>
      </c>
      <c r="H2136">
        <v>-0.5228199622997231</v>
      </c>
      <c r="I2136">
        <v>-0.340785650328359</v>
      </c>
    </row>
    <row r="2137" spans="1:9">
      <c r="A2137" s="8" t="s">
        <v>2149</v>
      </c>
      <c r="B2137">
        <f>HYPERLINK("https://www.suredividend.com/sure-analysis-research-database/","PaySign Inc")</f>
        <v>0</v>
      </c>
      <c r="C2137">
        <v>-0.12847965738758</v>
      </c>
      <c r="D2137">
        <v>0.334426229508196</v>
      </c>
      <c r="E2137">
        <v>0.7319148936170211</v>
      </c>
      <c r="F2137">
        <v>0.453571428571428</v>
      </c>
      <c r="G2137">
        <v>0.535849056603773</v>
      </c>
      <c r="H2137">
        <v>1.248618784530386</v>
      </c>
      <c r="I2137">
        <v>-0.630671506352087</v>
      </c>
    </row>
    <row r="2138" spans="1:9">
      <c r="A2138" s="8" t="s">
        <v>2150</v>
      </c>
      <c r="B2138">
        <f>HYPERLINK("https://www.suredividend.com/sure-analysis-PAYX/","Paychex Inc.")</f>
        <v>0</v>
      </c>
      <c r="C2138">
        <v>0.022967959021195</v>
      </c>
      <c r="D2138">
        <v>0.028542084807314</v>
      </c>
      <c r="E2138">
        <v>0.005328454043006</v>
      </c>
      <c r="F2138">
        <v>0.05360691471439601</v>
      </c>
      <c r="G2138">
        <v>0.147125541838545</v>
      </c>
      <c r="H2138">
        <v>0.050270407358918</v>
      </c>
      <c r="I2138">
        <v>0.6547445324448991</v>
      </c>
    </row>
    <row r="2139" spans="1:9">
      <c r="A2139" s="8" t="s">
        <v>2151</v>
      </c>
      <c r="B2139">
        <f>HYPERLINK("https://www.suredividend.com/sure-analysis-PB/","Prosperity Bancshares Inc.")</f>
        <v>0</v>
      </c>
      <c r="C2139">
        <v>-0.060529234669624</v>
      </c>
      <c r="D2139">
        <v>-0.062719835592617</v>
      </c>
      <c r="E2139">
        <v>-0.041040056673901</v>
      </c>
      <c r="F2139">
        <v>-0.116690950588922</v>
      </c>
      <c r="G2139">
        <v>-0.010340597067243</v>
      </c>
      <c r="H2139">
        <v>-0.135275620868895</v>
      </c>
      <c r="I2139">
        <v>0.030583777300736</v>
      </c>
    </row>
    <row r="2140" spans="1:9">
      <c r="A2140" s="8" t="s">
        <v>2152</v>
      </c>
      <c r="B2140">
        <f>HYPERLINK("https://www.suredividend.com/sure-analysis-research-database/","People`s United Financial Inc")</f>
        <v>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</row>
    <row r="2141" spans="1:9">
      <c r="A2141" s="8" t="s">
        <v>2153</v>
      </c>
      <c r="B2141">
        <f>HYPERLINK("https://www.suredividend.com/sure-analysis-research-database/","PBF Energy Inc")</f>
        <v>0</v>
      </c>
      <c r="C2141">
        <v>-0.08913659996848901</v>
      </c>
      <c r="D2141">
        <v>-0.07884857067173301</v>
      </c>
      <c r="E2141">
        <v>0.144297809381015</v>
      </c>
      <c r="F2141">
        <v>0.06308153433121201</v>
      </c>
      <c r="G2141">
        <v>0.154852628319733</v>
      </c>
      <c r="H2141">
        <v>0.099462749013454</v>
      </c>
      <c r="I2141">
        <v>1.004924528138302</v>
      </c>
    </row>
    <row r="2142" spans="1:9">
      <c r="A2142" s="8" t="s">
        <v>2154</v>
      </c>
      <c r="B2142">
        <f>HYPERLINK("https://www.suredividend.com/sure-analysis-research-database/","Prestige Consumer Healthcare Inc")</f>
        <v>0</v>
      </c>
      <c r="C2142">
        <v>-0.064340863597369</v>
      </c>
      <c r="D2142">
        <v>-0.098746729100674</v>
      </c>
      <c r="E2142">
        <v>0.09303490896943301</v>
      </c>
      <c r="F2142">
        <v>0.06893172165958801</v>
      </c>
      <c r="G2142">
        <v>0.126721763085399</v>
      </c>
      <c r="H2142">
        <v>0.152924594785059</v>
      </c>
      <c r="I2142">
        <v>1.17120106171201</v>
      </c>
    </row>
    <row r="2143" spans="1:9">
      <c r="A2143" s="8" t="s">
        <v>2155</v>
      </c>
      <c r="B2143">
        <f>HYPERLINK("https://www.suredividend.com/sure-analysis-research-database/","Pathfinder Bancorp, Inc.")</f>
        <v>0</v>
      </c>
      <c r="C2143">
        <v>0.036290322580645</v>
      </c>
      <c r="D2143">
        <v>0.09543497719619701</v>
      </c>
      <c r="E2143">
        <v>0.027810882797565</v>
      </c>
      <c r="F2143">
        <v>-0.05636822935025201</v>
      </c>
      <c r="G2143">
        <v>0.003835667804607</v>
      </c>
      <c r="H2143">
        <v>-0.289254187039536</v>
      </c>
      <c r="I2143">
        <v>-0.050223585498355</v>
      </c>
    </row>
    <row r="2144" spans="1:9">
      <c r="A2144" s="8" t="s">
        <v>2156</v>
      </c>
      <c r="B2144">
        <f>HYPERLINK("https://www.suredividend.com/sure-analysis-research-database/","Pitney Bowes, Inc.")</f>
        <v>0</v>
      </c>
      <c r="C2144">
        <v>0.011543955831821</v>
      </c>
      <c r="D2144">
        <v>0.296676647447477</v>
      </c>
      <c r="E2144">
        <v>0.276025812735906</v>
      </c>
      <c r="F2144">
        <v>0.218009809162966</v>
      </c>
      <c r="G2144">
        <v>0.4603015355460801</v>
      </c>
      <c r="H2144">
        <v>0.226620473325686</v>
      </c>
      <c r="I2144">
        <v>0.595420777006454</v>
      </c>
    </row>
    <row r="2145" spans="1:9">
      <c r="A2145" s="8" t="s">
        <v>2157</v>
      </c>
      <c r="B2145">
        <f>HYPERLINK("https://www.suredividend.com/sure-analysis-research-database/","Prudential Bancorp Inc")</f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</row>
    <row r="2146" spans="1:9">
      <c r="A2146" s="8" t="s">
        <v>2158</v>
      </c>
      <c r="B2146">
        <f>HYPERLINK("https://www.suredividend.com/sure-analysis-research-database/","Potbelly Corp")</f>
        <v>0</v>
      </c>
      <c r="C2146">
        <v>-0.184938524590163</v>
      </c>
      <c r="D2146">
        <v>-0.41074074074074</v>
      </c>
      <c r="E2146">
        <v>-0.151013874066168</v>
      </c>
      <c r="F2146">
        <v>-0.236564299424184</v>
      </c>
      <c r="G2146">
        <v>-0.087729357798165</v>
      </c>
      <c r="H2146">
        <v>0.420535714285714</v>
      </c>
      <c r="I2146">
        <v>0.7599557522123891</v>
      </c>
    </row>
    <row r="2147" spans="1:9">
      <c r="A2147" s="8" t="s">
        <v>2159</v>
      </c>
      <c r="B2147">
        <f>HYPERLINK("https://www.suredividend.com/sure-analysis-research-database/","Puma Biotechnology Inc")</f>
        <v>0</v>
      </c>
      <c r="C2147">
        <v>-0.257894736842105</v>
      </c>
      <c r="D2147">
        <v>-0.38695652173913</v>
      </c>
      <c r="E2147">
        <v>-0.156698564593301</v>
      </c>
      <c r="F2147">
        <v>-0.185912240184757</v>
      </c>
      <c r="G2147">
        <v>-0.012605042016806</v>
      </c>
      <c r="H2147">
        <v>0.315298507462686</v>
      </c>
      <c r="I2147">
        <v>-0.7451193058568331</v>
      </c>
    </row>
    <row r="2148" spans="1:9">
      <c r="A2148" s="8" t="s">
        <v>2160</v>
      </c>
      <c r="B2148">
        <f>HYPERLINK("https://www.suredividend.com/sure-analysis-PCAR/","Paccar Inc.")</f>
        <v>0</v>
      </c>
      <c r="C2148">
        <v>0.015733635716994</v>
      </c>
      <c r="D2148">
        <v>-0.05294184392671501</v>
      </c>
      <c r="E2148">
        <v>0.217811468261912</v>
      </c>
      <c r="F2148">
        <v>0.114544353523904</v>
      </c>
      <c r="G2148">
        <v>0.541090743579504</v>
      </c>
      <c r="H2148">
        <v>1.070807897803986</v>
      </c>
      <c r="I2148">
        <v>1.902805748995057</v>
      </c>
    </row>
    <row r="2149" spans="1:9">
      <c r="A2149" s="8" t="s">
        <v>2161</v>
      </c>
      <c r="B2149">
        <f>HYPERLINK("https://www.suredividend.com/sure-analysis-research-database/","PotlatchDeltic Corp")</f>
        <v>0</v>
      </c>
      <c r="C2149">
        <v>0.005766879156024</v>
      </c>
      <c r="D2149">
        <v>-0.08241740106281101</v>
      </c>
      <c r="E2149">
        <v>-0.012323455778381</v>
      </c>
      <c r="F2149">
        <v>-0.115410315970344</v>
      </c>
      <c r="G2149">
        <v>-0.063554764080924</v>
      </c>
      <c r="H2149">
        <v>-0.095554553026096</v>
      </c>
      <c r="I2149">
        <v>0.6162790697674411</v>
      </c>
    </row>
    <row r="2150" spans="1:9">
      <c r="A2150" s="8" t="s">
        <v>2162</v>
      </c>
      <c r="B2150">
        <f>HYPERLINK("https://www.suredividend.com/sure-analysis-research-database/","Pacira BioSciences Inc")</f>
        <v>0</v>
      </c>
      <c r="C2150">
        <v>0.07770652583930501</v>
      </c>
      <c r="D2150">
        <v>-0.067558746736292</v>
      </c>
      <c r="E2150">
        <v>0.022548317823908</v>
      </c>
      <c r="F2150">
        <v>-0.153230586840545</v>
      </c>
      <c r="G2150">
        <v>-0.238945125199786</v>
      </c>
      <c r="H2150">
        <v>-0.541706769329483</v>
      </c>
      <c r="I2150">
        <v>-0.354204339963833</v>
      </c>
    </row>
    <row r="2151" spans="1:9">
      <c r="A2151" s="8" t="s">
        <v>2163</v>
      </c>
      <c r="B2151">
        <f>HYPERLINK("https://www.suredividend.com/sure-analysis-research-database/","PCSB Financial Corp")</f>
        <v>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</row>
    <row r="2152" spans="1:9">
      <c r="A2152" s="8" t="s">
        <v>2164</v>
      </c>
      <c r="B2152">
        <f>HYPERLINK("https://www.suredividend.com/sure-analysis-research-database/","PCTEL Inc")</f>
        <v>0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</row>
    <row r="2153" spans="1:9">
      <c r="A2153" s="8" t="s">
        <v>2165</v>
      </c>
      <c r="B2153">
        <f>HYPERLINK("https://www.suredividend.com/sure-analysis-research-database/","Paylocity Holding Corp")</f>
        <v>0</v>
      </c>
      <c r="C2153">
        <v>-0.174936424389378</v>
      </c>
      <c r="D2153">
        <v>-0.161296140435253</v>
      </c>
      <c r="E2153">
        <v>-0.09125846795205801</v>
      </c>
      <c r="F2153">
        <v>-0.153715498938428</v>
      </c>
      <c r="G2153">
        <v>-0.25219768439108</v>
      </c>
      <c r="H2153">
        <v>-0.255311198889719</v>
      </c>
      <c r="I2153">
        <v>0.419371248346728</v>
      </c>
    </row>
    <row r="2154" spans="1:9">
      <c r="A2154" s="8" t="s">
        <v>2166</v>
      </c>
      <c r="B2154">
        <f>HYPERLINK("https://www.suredividend.com/sure-analysis-research-database/","ReposiTrak Inc.")</f>
        <v>0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</row>
    <row r="2155" spans="1:9">
      <c r="A2155" s="8" t="s">
        <v>2167</v>
      </c>
      <c r="B2155">
        <f>HYPERLINK("https://www.suredividend.com/sure-analysis-research-database/","Pure Cycle Corp.")</f>
        <v>0</v>
      </c>
      <c r="C2155">
        <v>-0.08879919273461101</v>
      </c>
      <c r="D2155">
        <v>-0.09063444108761301</v>
      </c>
      <c r="E2155">
        <v>-0.110344827586207</v>
      </c>
      <c r="F2155">
        <v>-0.137535816618911</v>
      </c>
      <c r="G2155">
        <v>-0.131730769230769</v>
      </c>
      <c r="H2155">
        <v>-0.199468085106383</v>
      </c>
      <c r="I2155">
        <v>-0.039361702127659</v>
      </c>
    </row>
    <row r="2156" spans="1:9">
      <c r="A2156" s="8" t="s">
        <v>2168</v>
      </c>
      <c r="B2156">
        <f>HYPERLINK("https://www.suredividend.com/sure-analysis-research-database/","Pagerduty Inc")</f>
        <v>0</v>
      </c>
      <c r="C2156">
        <v>-0.020377733598409</v>
      </c>
      <c r="D2156">
        <v>-0.190221857025472</v>
      </c>
      <c r="E2156">
        <v>-0.09999999999999901</v>
      </c>
      <c r="F2156">
        <v>-0.148596112311015</v>
      </c>
      <c r="G2156">
        <v>-0.120874219446922</v>
      </c>
      <c r="H2156">
        <v>-0.293295087845105</v>
      </c>
      <c r="I2156">
        <v>-0.5969325153374231</v>
      </c>
    </row>
    <row r="2157" spans="1:9">
      <c r="A2157" s="8" t="s">
        <v>2169</v>
      </c>
      <c r="B2157">
        <f>HYPERLINK("https://www.suredividend.com/sure-analysis-research-database/","PDC Energy Inc")</f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</row>
    <row r="2158" spans="1:9">
      <c r="A2158" s="8" t="s">
        <v>2170</v>
      </c>
      <c r="B2158">
        <f>HYPERLINK("https://www.suredividend.com/sure-analysis-PDCO/","Patterson Companies Inc.")</f>
        <v>0</v>
      </c>
      <c r="C2158">
        <v>-0.08608762490391901</v>
      </c>
      <c r="D2158">
        <v>-0.101848424646669</v>
      </c>
      <c r="E2158">
        <v>-0.071590594096128</v>
      </c>
      <c r="F2158">
        <v>-0.139465875370919</v>
      </c>
      <c r="G2158">
        <v>-0.081555407931529</v>
      </c>
      <c r="H2158">
        <v>-0.1642063826796</v>
      </c>
      <c r="I2158">
        <v>0.37229781978925</v>
      </c>
    </row>
    <row r="2159" spans="1:9">
      <c r="A2159" s="8" t="s">
        <v>2171</v>
      </c>
      <c r="B2159">
        <f>HYPERLINK("https://www.suredividend.com/sure-analysis-research-database/","Pro-Dex Inc. (co)")</f>
        <v>0</v>
      </c>
      <c r="C2159">
        <v>0.08826815642458101</v>
      </c>
      <c r="D2159">
        <v>0.120184013801035</v>
      </c>
      <c r="E2159">
        <v>0.207687538747675</v>
      </c>
      <c r="F2159">
        <v>0.111872146118721</v>
      </c>
      <c r="G2159">
        <v>0.039432260818526</v>
      </c>
      <c r="H2159">
        <v>0.213707165109034</v>
      </c>
      <c r="I2159">
        <v>0.8104089219330851</v>
      </c>
    </row>
    <row r="2160" spans="1:9">
      <c r="A2160" s="8" t="s">
        <v>2172</v>
      </c>
      <c r="B2160">
        <f>HYPERLINK("https://www.suredividend.com/sure-analysis-research-database/","PDF Solutions Inc.")</f>
        <v>0</v>
      </c>
      <c r="C2160">
        <v>0.05658627087198501</v>
      </c>
      <c r="D2160">
        <v>-0.03665069072455501</v>
      </c>
      <c r="E2160">
        <v>0.115208877284595</v>
      </c>
      <c r="F2160">
        <v>0.06316116988176701</v>
      </c>
      <c r="G2160">
        <v>-0.206456107756618</v>
      </c>
      <c r="H2160">
        <v>0.4225645295587011</v>
      </c>
      <c r="I2160">
        <v>1.652950310559006</v>
      </c>
    </row>
    <row r="2161" spans="1:9">
      <c r="A2161" s="8" t="s">
        <v>2173</v>
      </c>
      <c r="B2161">
        <f>HYPERLINK("https://www.suredividend.com/sure-analysis-research-database/","Ponce Financial Group Inc")</f>
        <v>0</v>
      </c>
      <c r="C2161">
        <v>0.05</v>
      </c>
      <c r="D2161">
        <v>0.012331838565022</v>
      </c>
      <c r="E2161">
        <v>-0.049473684210526</v>
      </c>
      <c r="F2161">
        <v>-0.074795081967213</v>
      </c>
      <c r="G2161">
        <v>0.044534412955465</v>
      </c>
      <c r="H2161">
        <v>-0.019543973941368</v>
      </c>
      <c r="I2161">
        <v>-0.163113994439295</v>
      </c>
    </row>
    <row r="2162" spans="1:9">
      <c r="A2162" s="8" t="s">
        <v>2174</v>
      </c>
      <c r="B2162">
        <f>HYPERLINK("https://www.suredividend.com/sure-analysis-research-database/","PDL Biopharma Inc")</f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</row>
    <row r="2163" spans="1:9">
      <c r="A2163" s="8" t="s">
        <v>2175</v>
      </c>
      <c r="B2163">
        <f>HYPERLINK("https://www.suredividend.com/sure-analysis-PDM/","Piedmont Office Realty Trust Inc")</f>
        <v>0</v>
      </c>
      <c r="C2163">
        <v>0.036800562332508</v>
      </c>
      <c r="D2163">
        <v>0.136564300964795</v>
      </c>
      <c r="E2163">
        <v>0.093149288989763</v>
      </c>
      <c r="F2163">
        <v>0.03318448472112701</v>
      </c>
      <c r="G2163">
        <v>0.081213157814361</v>
      </c>
      <c r="H2163">
        <v>-0.424885870713044</v>
      </c>
      <c r="I2163">
        <v>-0.535082247102472</v>
      </c>
    </row>
    <row r="2164" spans="1:9">
      <c r="A2164" s="8" t="s">
        <v>2176</v>
      </c>
      <c r="B2164">
        <f>HYPERLINK("https://www.suredividend.com/sure-analysis-research-database/","PDS Biotechnology Corporation")</f>
        <v>0</v>
      </c>
      <c r="C2164">
        <v>-0.227814569536423</v>
      </c>
      <c r="D2164">
        <v>-0.49914089347079</v>
      </c>
      <c r="E2164">
        <v>-0.4306640625</v>
      </c>
      <c r="F2164">
        <v>-0.413480885311871</v>
      </c>
      <c r="G2164">
        <v>-0.506768189509306</v>
      </c>
      <c r="H2164">
        <v>-0.224734042553191</v>
      </c>
      <c r="I2164">
        <v>-0.5336000000000001</v>
      </c>
    </row>
    <row r="2165" spans="1:9">
      <c r="A2165" s="8" t="s">
        <v>2177</v>
      </c>
      <c r="B2165">
        <f>HYPERLINK("https://www.suredividend.com/sure-analysis-research-database/","Parsley Energy Inc")</f>
        <v>0</v>
      </c>
      <c r="C2165">
        <v>0.178148921363952</v>
      </c>
      <c r="D2165">
        <v>0.6788140215181711</v>
      </c>
      <c r="E2165">
        <v>0.6351484479128431</v>
      </c>
      <c r="F2165">
        <v>0.19225352112676</v>
      </c>
      <c r="G2165">
        <v>-0.050055829559928</v>
      </c>
      <c r="H2165">
        <v>-0.07683583163841101</v>
      </c>
      <c r="I2165">
        <v>0.056982138063219</v>
      </c>
    </row>
    <row r="2166" spans="1:9">
      <c r="A2166" s="8" t="s">
        <v>2178</v>
      </c>
      <c r="B2166">
        <f>HYPERLINK("https://www.suredividend.com/sure-analysis-research-database/","Pebblebrook Hotel Trust")</f>
        <v>0</v>
      </c>
      <c r="C2166">
        <v>-0.05657805044308101</v>
      </c>
      <c r="D2166">
        <v>-0.141944883598375</v>
      </c>
      <c r="E2166">
        <v>0.041917610214406</v>
      </c>
      <c r="F2166">
        <v>-0.13335337140567</v>
      </c>
      <c r="G2166">
        <v>-0.048143053645116</v>
      </c>
      <c r="H2166">
        <v>-0.42400053271627</v>
      </c>
      <c r="I2166">
        <v>-0.4723880540116041</v>
      </c>
    </row>
    <row r="2167" spans="1:9">
      <c r="A2167" s="8" t="s">
        <v>2179</v>
      </c>
      <c r="B2167">
        <f>HYPERLINK("https://www.suredividend.com/sure-analysis-research-database/","Peoples Bancorp Of North Carolina Inc")</f>
        <v>0</v>
      </c>
      <c r="C2167">
        <v>-0.0189162141322</v>
      </c>
      <c r="D2167">
        <v>0.09775932269351201</v>
      </c>
      <c r="E2167">
        <v>0.141247509484949</v>
      </c>
      <c r="F2167">
        <v>0.004768449598596</v>
      </c>
      <c r="G2167">
        <v>0.574977349824066</v>
      </c>
      <c r="H2167">
        <v>0.285728414597962</v>
      </c>
      <c r="I2167">
        <v>0.349478938650611</v>
      </c>
    </row>
    <row r="2168" spans="1:9">
      <c r="A2168" s="8" t="s">
        <v>2180</v>
      </c>
      <c r="B2168">
        <f>HYPERLINK("https://www.suredividend.com/sure-analysis-research-database/","Peoples Bancorp, Inc. (Marietta, OH)")</f>
        <v>0</v>
      </c>
      <c r="C2168">
        <v>-0.044392523364486</v>
      </c>
      <c r="D2168">
        <v>0.044364517141002</v>
      </c>
      <c r="E2168">
        <v>-0.017333104513471</v>
      </c>
      <c r="F2168">
        <v>-0.104948885484728</v>
      </c>
      <c r="G2168">
        <v>0.09542393633302701</v>
      </c>
      <c r="H2168">
        <v>0.184246991814094</v>
      </c>
      <c r="I2168">
        <v>0.275204553856569</v>
      </c>
    </row>
    <row r="2169" spans="1:9">
      <c r="A2169" s="8" t="s">
        <v>2181</v>
      </c>
      <c r="B2169">
        <f>HYPERLINK("https://www.suredividend.com/sure-analysis-research-database/","PEDEVCO Corp")</f>
        <v>0</v>
      </c>
      <c r="C2169">
        <v>-0.105691056910569</v>
      </c>
      <c r="D2169">
        <v>0.275177510505723</v>
      </c>
      <c r="E2169">
        <v>0.11731843575419</v>
      </c>
      <c r="F2169">
        <v>0.142708739124789</v>
      </c>
      <c r="G2169">
        <v>0.011494252873563</v>
      </c>
      <c r="H2169">
        <v>-0.491329479768786</v>
      </c>
      <c r="I2169">
        <v>-0.58095238095238</v>
      </c>
    </row>
    <row r="2170" spans="1:9">
      <c r="A2170" s="8" t="s">
        <v>2182</v>
      </c>
      <c r="B2170">
        <f>HYPERLINK("https://www.suredividend.com/sure-analysis-PEG/","Public Service Enterprise Group Inc.")</f>
        <v>0</v>
      </c>
      <c r="C2170">
        <v>0.020731150507424</v>
      </c>
      <c r="D2170">
        <v>0.125838044922297</v>
      </c>
      <c r="E2170">
        <v>0.188046504652421</v>
      </c>
      <c r="F2170">
        <v>0.21272025066435</v>
      </c>
      <c r="G2170">
        <v>0.215766935743514</v>
      </c>
      <c r="H2170">
        <v>0.144939830961133</v>
      </c>
      <c r="I2170">
        <v>0.444406788394801</v>
      </c>
    </row>
    <row r="2171" spans="1:9">
      <c r="A2171" s="8" t="s">
        <v>2183</v>
      </c>
      <c r="B2171">
        <f>HYPERLINK("https://www.suredividend.com/sure-analysis-research-database/","Pegasystems Inc.")</f>
        <v>0</v>
      </c>
      <c r="C2171">
        <v>-0.059360730593607</v>
      </c>
      <c r="D2171">
        <v>-0.09861620084231201</v>
      </c>
      <c r="E2171">
        <v>0.114520454773811</v>
      </c>
      <c r="F2171">
        <v>0.181059636549782</v>
      </c>
      <c r="G2171">
        <v>0.2479365127444</v>
      </c>
      <c r="H2171">
        <v>0.075834387158626</v>
      </c>
      <c r="I2171">
        <v>-0.174199755466917</v>
      </c>
    </row>
    <row r="2172" spans="1:9">
      <c r="A2172" s="8" t="s">
        <v>2184</v>
      </c>
      <c r="B2172">
        <f>HYPERLINK("https://www.suredividend.com/sure-analysis-research-database/","Pennsylvania Real Estate Investment Trust")</f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</row>
    <row r="2173" spans="1:9">
      <c r="A2173" s="8" t="s">
        <v>2185</v>
      </c>
      <c r="B2173">
        <f>HYPERLINK("https://www.suredividend.com/sure-analysis-research-database/","Penumbra Inc")</f>
        <v>0</v>
      </c>
      <c r="C2173">
        <v>-0.100238095238095</v>
      </c>
      <c r="D2173">
        <v>-0.252866745749308</v>
      </c>
      <c r="E2173">
        <v>-0.153411891213764</v>
      </c>
      <c r="F2173">
        <v>-0.248827224298322</v>
      </c>
      <c r="G2173">
        <v>-0.395824007162499</v>
      </c>
      <c r="H2173">
        <v>0.332040888262248</v>
      </c>
      <c r="I2173">
        <v>0.174989117592189</v>
      </c>
    </row>
    <row r="2174" spans="1:9">
      <c r="A2174" s="8" t="s">
        <v>2186</v>
      </c>
      <c r="B2174">
        <f>HYPERLINK("https://www.suredividend.com/sure-analysis-research-database/","PENN Entertainment Inc")</f>
        <v>0</v>
      </c>
      <c r="C2174">
        <v>0.078566939032055</v>
      </c>
      <c r="D2174">
        <v>-0.07243243243243201</v>
      </c>
      <c r="E2174">
        <v>-0.26320309145556</v>
      </c>
      <c r="F2174">
        <v>-0.340507302075326</v>
      </c>
      <c r="G2174">
        <v>-0.353915662650602</v>
      </c>
      <c r="H2174">
        <v>-0.499708454810495</v>
      </c>
      <c r="I2174">
        <v>-0.129817444219066</v>
      </c>
    </row>
    <row r="2175" spans="1:9">
      <c r="A2175" s="8" t="s">
        <v>2187</v>
      </c>
      <c r="B2175">
        <f>HYPERLINK("https://www.suredividend.com/sure-analysis-PEP/","PepsiCo Inc")</f>
        <v>0</v>
      </c>
      <c r="C2175">
        <v>-0.023996092332343</v>
      </c>
      <c r="D2175">
        <v>0.06522112804824801</v>
      </c>
      <c r="E2175">
        <v>0.053447818179242</v>
      </c>
      <c r="F2175">
        <v>0.038685950533674</v>
      </c>
      <c r="G2175">
        <v>0.008495917725978</v>
      </c>
      <c r="H2175">
        <v>0.119950759882399</v>
      </c>
      <c r="I2175">
        <v>0.521391454092297</v>
      </c>
    </row>
    <row r="2176" spans="1:9">
      <c r="A2176" s="8" t="s">
        <v>2188</v>
      </c>
      <c r="B2176">
        <f>HYPERLINK("https://www.suredividend.com/sure-analysis-research-database/","Perma-Fix Environmental Services, Inc.")</f>
        <v>0</v>
      </c>
      <c r="C2176">
        <v>-0.204789430222956</v>
      </c>
      <c r="D2176">
        <v>0.045602605863192</v>
      </c>
      <c r="E2176">
        <v>0.23303457106274</v>
      </c>
      <c r="F2176">
        <v>0.225190839694656</v>
      </c>
      <c r="G2176">
        <v>-0.155263157894736</v>
      </c>
      <c r="H2176">
        <v>0.8101503759398491</v>
      </c>
      <c r="I2176">
        <v>1.475578406169666</v>
      </c>
    </row>
    <row r="2177" spans="1:9">
      <c r="A2177" s="8" t="s">
        <v>2189</v>
      </c>
      <c r="B2177">
        <f>HYPERLINK("https://www.suredividend.com/sure-analysis-research-database/","PetIQ Inc")</f>
        <v>0</v>
      </c>
      <c r="C2177">
        <v>0.248009101251422</v>
      </c>
      <c r="D2177">
        <v>0.362732919254658</v>
      </c>
      <c r="E2177">
        <v>0.231892195395845</v>
      </c>
      <c r="F2177">
        <v>0.110886075949367</v>
      </c>
      <c r="G2177">
        <v>0.6132352941176471</v>
      </c>
      <c r="H2177">
        <v>0.268941584731058</v>
      </c>
      <c r="I2177">
        <v>-0.199854121079504</v>
      </c>
    </row>
    <row r="2178" spans="1:9">
      <c r="A2178" s="8" t="s">
        <v>2190</v>
      </c>
      <c r="B2178">
        <f>HYPERLINK("https://www.suredividend.com/sure-analysis-research-database/","Petmed Express, Inc.")</f>
        <v>0</v>
      </c>
      <c r="C2178">
        <v>0.042016806722688</v>
      </c>
      <c r="D2178">
        <v>-0.133732534930139</v>
      </c>
      <c r="E2178">
        <v>-0.422103861517976</v>
      </c>
      <c r="F2178">
        <v>-0.425925925925925</v>
      </c>
      <c r="G2178">
        <v>-0.716076358450326</v>
      </c>
      <c r="H2178">
        <v>-0.7897144186136651</v>
      </c>
      <c r="I2178">
        <v>-0.6898005860910581</v>
      </c>
    </row>
    <row r="2179" spans="1:9">
      <c r="A2179" s="8" t="s">
        <v>2191</v>
      </c>
      <c r="B2179">
        <f>HYPERLINK("https://www.suredividend.com/sure-analysis-research-database/","Preferred Bank (Los Angeles, CA)")</f>
        <v>0</v>
      </c>
      <c r="C2179">
        <v>-0.06455294863665101</v>
      </c>
      <c r="D2179">
        <v>0.000438098570822</v>
      </c>
      <c r="E2179">
        <v>0.133080069865078</v>
      </c>
      <c r="F2179">
        <v>0.039083983230401</v>
      </c>
      <c r="G2179">
        <v>0.465288786647118</v>
      </c>
      <c r="H2179">
        <v>0.181742589676094</v>
      </c>
      <c r="I2179">
        <v>0.9419213858831581</v>
      </c>
    </row>
    <row r="2180" spans="1:9">
      <c r="A2180" s="8" t="s">
        <v>2192</v>
      </c>
      <c r="B2180">
        <f>HYPERLINK("https://www.suredividend.com/sure-analysis-research-database/","Premier Financial Bancorp, Inc.")</f>
        <v>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</row>
    <row r="2181" spans="1:9">
      <c r="A2181" s="8" t="s">
        <v>2193</v>
      </c>
      <c r="B2181">
        <f>HYPERLINK("https://www.suredividend.com/sure-analysis-PFE/","Pfizer Inc.")</f>
        <v>0</v>
      </c>
      <c r="C2181">
        <v>0.044689919363682</v>
      </c>
      <c r="D2181">
        <v>0.082903910275841</v>
      </c>
      <c r="E2181">
        <v>0.028557033091609</v>
      </c>
      <c r="F2181">
        <v>0.022840332405213</v>
      </c>
      <c r="G2181">
        <v>-0.224040095786792</v>
      </c>
      <c r="H2181">
        <v>-0.420154598389092</v>
      </c>
      <c r="I2181">
        <v>-0.183757400590048</v>
      </c>
    </row>
    <row r="2182" spans="1:9">
      <c r="A2182" s="8" t="s">
        <v>2194</v>
      </c>
      <c r="B2182">
        <f>HYPERLINK("https://www.suredividend.com/sure-analysis-PFG/","Principal Financial Group Inc")</f>
        <v>0</v>
      </c>
      <c r="C2182">
        <v>-0.021824167742285</v>
      </c>
      <c r="D2182">
        <v>0.026267103912295</v>
      </c>
      <c r="E2182">
        <v>0.09940404450873501</v>
      </c>
      <c r="F2182">
        <v>0.04322535220535401</v>
      </c>
      <c r="G2182">
        <v>0.18261186102856</v>
      </c>
      <c r="H2182">
        <v>0.219279599100498</v>
      </c>
      <c r="I2182">
        <v>0.804313782617404</v>
      </c>
    </row>
    <row r="2183" spans="1:9">
      <c r="A2183" s="8" t="s">
        <v>2195</v>
      </c>
      <c r="B2183">
        <f>HYPERLINK("https://www.suredividend.com/sure-analysis-research-database/","Performance Food Group Company")</f>
        <v>0</v>
      </c>
      <c r="C2183">
        <v>0.003030740366575</v>
      </c>
      <c r="D2183">
        <v>-0.102183180467639</v>
      </c>
      <c r="E2183">
        <v>0.049531863485351</v>
      </c>
      <c r="F2183">
        <v>0.005061460592913</v>
      </c>
      <c r="G2183">
        <v>0.239743132358187</v>
      </c>
      <c r="H2183">
        <v>0.5874828688899041</v>
      </c>
      <c r="I2183">
        <v>0.73663168415792</v>
      </c>
    </row>
    <row r="2184" spans="1:9">
      <c r="A2184" s="8" t="s">
        <v>2196</v>
      </c>
      <c r="B2184">
        <f>HYPERLINK("https://www.suredividend.com/sure-analysis-research-database/","Profire Energy Inc")</f>
        <v>0</v>
      </c>
      <c r="C2184">
        <v>-0.218579234972677</v>
      </c>
      <c r="D2184">
        <v>0.007042253521126001</v>
      </c>
      <c r="E2184">
        <v>-0.040268456375838</v>
      </c>
      <c r="F2184">
        <v>-0.209944751381215</v>
      </c>
      <c r="G2184">
        <v>0.067164179104477</v>
      </c>
      <c r="H2184">
        <v>-0.006944444444444001</v>
      </c>
      <c r="I2184">
        <v>0.01418439716312</v>
      </c>
    </row>
    <row r="2185" spans="1:9">
      <c r="A2185" s="8" t="s">
        <v>2197</v>
      </c>
      <c r="B2185">
        <f>HYPERLINK("https://www.suredividend.com/sure-analysis-research-database/","P &amp; F Industries, Inc.")</f>
        <v>0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</row>
    <row r="2186" spans="1:9">
      <c r="A2186" s="8" t="s">
        <v>2198</v>
      </c>
      <c r="B2186">
        <f>HYPERLINK("https://www.suredividend.com/sure-analysis-research-database/","Peoples Financial Services Corp")</f>
        <v>0</v>
      </c>
      <c r="C2186">
        <v>0.033414174077068</v>
      </c>
      <c r="D2186">
        <v>-0.037208683448776</v>
      </c>
      <c r="E2186">
        <v>-0.101772564597425</v>
      </c>
      <c r="F2186">
        <v>-0.179605440488771</v>
      </c>
      <c r="G2186">
        <v>-0.047446361418969</v>
      </c>
      <c r="H2186">
        <v>-0.168396012637778</v>
      </c>
      <c r="I2186">
        <v>0.136818390668307</v>
      </c>
    </row>
    <row r="2187" spans="1:9">
      <c r="A2187" s="8" t="s">
        <v>2199</v>
      </c>
      <c r="B2187">
        <f>HYPERLINK("https://www.suredividend.com/sure-analysis-research-database/","Performant Financial Corp")</f>
        <v>0</v>
      </c>
      <c r="C2187">
        <v>0.045774647887324</v>
      </c>
      <c r="D2187">
        <v>-0.051118210862619</v>
      </c>
      <c r="E2187">
        <v>0.024137931034482</v>
      </c>
      <c r="F2187">
        <v>-0.04959999999999901</v>
      </c>
      <c r="G2187">
        <v>-0.006688963210702</v>
      </c>
      <c r="H2187">
        <v>0.16015625</v>
      </c>
      <c r="I2187">
        <v>1.034246575342466</v>
      </c>
    </row>
    <row r="2188" spans="1:9">
      <c r="A2188" s="8" t="s">
        <v>2200</v>
      </c>
      <c r="B2188">
        <f>HYPERLINK("https://www.suredividend.com/sure-analysis-research-database/","Proofpoint Inc")</f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</row>
    <row r="2189" spans="1:9">
      <c r="A2189" s="8" t="s">
        <v>2201</v>
      </c>
      <c r="B2189">
        <f>HYPERLINK("https://www.suredividend.com/sure-analysis-research-database/","Provident Financial Services Inc")</f>
        <v>0</v>
      </c>
      <c r="C2189">
        <v>-0.112337662337662</v>
      </c>
      <c r="D2189">
        <v>-0.09338709784389201</v>
      </c>
      <c r="E2189">
        <v>-0.141714436400851</v>
      </c>
      <c r="F2189">
        <v>-0.217403749821096</v>
      </c>
      <c r="G2189">
        <v>-0.209291833205115</v>
      </c>
      <c r="H2189">
        <v>-0.3379568194806321</v>
      </c>
      <c r="I2189">
        <v>-0.265551293209976</v>
      </c>
    </row>
    <row r="2190" spans="1:9">
      <c r="A2190" s="8" t="s">
        <v>2202</v>
      </c>
      <c r="B2190">
        <f>HYPERLINK("https://www.suredividend.com/sure-analysis-research-database/","PFSWEB Inc")</f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</row>
    <row r="2191" spans="1:9">
      <c r="A2191" s="8" t="s">
        <v>2203</v>
      </c>
      <c r="B2191">
        <f>HYPERLINK("https://www.suredividend.com/sure-analysis-PG/","Procter &amp; Gamble Co.")</f>
        <v>0</v>
      </c>
      <c r="C2191">
        <v>0.007842664092664001</v>
      </c>
      <c r="D2191">
        <v>0.046807444075443</v>
      </c>
      <c r="E2191">
        <v>0.154946442175939</v>
      </c>
      <c r="F2191">
        <v>0.154631936016277</v>
      </c>
      <c r="G2191">
        <v>0.183285263402444</v>
      </c>
      <c r="H2191">
        <v>0.19682060944289</v>
      </c>
      <c r="I2191">
        <v>0.7393006358140181</v>
      </c>
    </row>
    <row r="2192" spans="1:9">
      <c r="A2192" s="8" t="s">
        <v>2204</v>
      </c>
      <c r="B2192">
        <f>HYPERLINK("https://www.suredividend.com/sure-analysis-research-database/","Peapack-Gladstone Financial Corp.")</f>
        <v>0</v>
      </c>
      <c r="C2192">
        <v>-0.08265260850275301</v>
      </c>
      <c r="D2192">
        <v>-0.122916458728416</v>
      </c>
      <c r="E2192">
        <v>-0.209798646653727</v>
      </c>
      <c r="F2192">
        <v>-0.286912184368195</v>
      </c>
      <c r="G2192">
        <v>-0.289745938518738</v>
      </c>
      <c r="H2192">
        <v>-0.357266936884771</v>
      </c>
      <c r="I2192">
        <v>-0.212454349238593</v>
      </c>
    </row>
    <row r="2193" spans="1:9">
      <c r="A2193" s="8" t="s">
        <v>2205</v>
      </c>
      <c r="B2193">
        <f>HYPERLINK("https://www.suredividend.com/sure-analysis-research-database/","Progressive Corp.")</f>
        <v>0</v>
      </c>
      <c r="C2193">
        <v>-0.013598811844425</v>
      </c>
      <c r="D2193">
        <v>0.084189594677457</v>
      </c>
      <c r="E2193">
        <v>0.315666478269186</v>
      </c>
      <c r="F2193">
        <v>0.335738370503518</v>
      </c>
      <c r="G2193">
        <v>0.628487536358036</v>
      </c>
      <c r="H2193">
        <v>0.763665649555577</v>
      </c>
      <c r="I2193">
        <v>1.76629835620468</v>
      </c>
    </row>
    <row r="2194" spans="1:9">
      <c r="A2194" s="8" t="s">
        <v>2206</v>
      </c>
      <c r="B2194">
        <f>HYPERLINK("https://www.suredividend.com/sure-analysis-PGRE/","Paramount Group Inc")</f>
        <v>0</v>
      </c>
      <c r="C2194">
        <v>-0.065979381443298</v>
      </c>
      <c r="D2194">
        <v>-0.009554627544438001</v>
      </c>
      <c r="E2194">
        <v>-0.153476725281707</v>
      </c>
      <c r="F2194">
        <v>-0.116821336660687</v>
      </c>
      <c r="G2194">
        <v>-0.029521401945241</v>
      </c>
      <c r="H2194">
        <v>-0.43909264257943</v>
      </c>
      <c r="I2194">
        <v>-0.626963997496623</v>
      </c>
    </row>
    <row r="2195" spans="1:9">
      <c r="A2195" s="8" t="s">
        <v>2207</v>
      </c>
      <c r="B2195">
        <f>HYPERLINK("https://www.suredividend.com/sure-analysis-research-database/","PGT Innovations Inc")</f>
        <v>0</v>
      </c>
      <c r="C2195">
        <v>0.005507662835249</v>
      </c>
      <c r="D2195">
        <v>0.01744608674582</v>
      </c>
      <c r="E2195">
        <v>0.5302478134110781</v>
      </c>
      <c r="F2195">
        <v>0.031695331695331</v>
      </c>
      <c r="G2195">
        <v>0.8416666666666661</v>
      </c>
      <c r="H2195">
        <v>1.206516027325276</v>
      </c>
      <c r="I2195">
        <v>2.020863309352518</v>
      </c>
    </row>
    <row r="2196" spans="1:9">
      <c r="A2196" s="8" t="s">
        <v>2208</v>
      </c>
      <c r="B2196">
        <f>HYPERLINK("https://www.suredividend.com/sure-analysis-PH/","Parker-Hannifin Corp.")</f>
        <v>0</v>
      </c>
      <c r="C2196">
        <v>-0.059106878888676</v>
      </c>
      <c r="D2196">
        <v>-0.04044523162779001</v>
      </c>
      <c r="E2196">
        <v>0.19684332399384</v>
      </c>
      <c r="F2196">
        <v>0.126882458522433</v>
      </c>
      <c r="G2196">
        <v>0.456972673082193</v>
      </c>
      <c r="H2196">
        <v>0.883767315647999</v>
      </c>
      <c r="I2196">
        <v>2.392798569100646</v>
      </c>
    </row>
    <row r="2197" spans="1:9">
      <c r="A2197" s="8" t="s">
        <v>2209</v>
      </c>
      <c r="B2197">
        <f>HYPERLINK("https://www.suredividend.com/sure-analysis-research-database/","PhaseBio Pharmaceuticals Inc")</f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</row>
    <row r="2198" spans="1:9">
      <c r="A2198" s="8" t="s">
        <v>2210</v>
      </c>
      <c r="B2198">
        <f>HYPERLINK("https://www.suredividend.com/sure-analysis-research-database/","Phio Pharmaceuticals Corp")</f>
        <v>0</v>
      </c>
      <c r="C2198">
        <v>-0.109277857484457</v>
      </c>
      <c r="D2198">
        <v>-0.155328798185941</v>
      </c>
      <c r="E2198">
        <v>-0.190217391304347</v>
      </c>
      <c r="F2198">
        <v>-0.019736842105263</v>
      </c>
      <c r="G2198">
        <v>-0.7642405063291141</v>
      </c>
      <c r="H2198">
        <v>-0.9126816690107831</v>
      </c>
      <c r="I2198">
        <v>-0.9971976467756011</v>
      </c>
    </row>
    <row r="2199" spans="1:9">
      <c r="A2199" s="8" t="s">
        <v>2211</v>
      </c>
      <c r="B2199">
        <f>HYPERLINK("https://www.suredividend.com/sure-analysis-PHM/","PulteGroup Inc")</f>
        <v>0</v>
      </c>
      <c r="C2199">
        <v>-0.046259085079093</v>
      </c>
      <c r="D2199">
        <v>-0.018140717318892</v>
      </c>
      <c r="E2199">
        <v>0.185199982573713</v>
      </c>
      <c r="F2199">
        <v>0.08249853939366801</v>
      </c>
      <c r="G2199">
        <v>0.5708487427858411</v>
      </c>
      <c r="H2199">
        <v>1.515805547222667</v>
      </c>
      <c r="I2199">
        <v>2.609241522133057</v>
      </c>
    </row>
    <row r="2200" spans="1:9">
      <c r="A2200" s="8" t="s">
        <v>2212</v>
      </c>
      <c r="B2200">
        <f>HYPERLINK("https://www.suredividend.com/sure-analysis-research-database/","PHX Minerals Inc")</f>
        <v>0</v>
      </c>
      <c r="C2200">
        <v>-0.015091823746893</v>
      </c>
      <c r="D2200">
        <v>0.086084748028338</v>
      </c>
      <c r="E2200">
        <v>0.028741453532539</v>
      </c>
      <c r="F2200">
        <v>0.028741453532539</v>
      </c>
      <c r="G2200">
        <v>0.103303119801744</v>
      </c>
      <c r="H2200">
        <v>-0.211586046285963</v>
      </c>
      <c r="I2200">
        <v>-0.7187851518560181</v>
      </c>
    </row>
    <row r="2201" spans="1:9">
      <c r="A2201" s="8" t="s">
        <v>2213</v>
      </c>
      <c r="B2201">
        <f>HYPERLINK("https://www.suredividend.com/sure-analysis-research-database/","Impinj Inc")</f>
        <v>0</v>
      </c>
      <c r="C2201">
        <v>-0.09654673657566401</v>
      </c>
      <c r="D2201">
        <v>0.302319520458691</v>
      </c>
      <c r="E2201">
        <v>0.7891156462585031</v>
      </c>
      <c r="F2201">
        <v>0.6651116294568471</v>
      </c>
      <c r="G2201">
        <v>0.448265868032074</v>
      </c>
      <c r="H2201">
        <v>1.821038765525028</v>
      </c>
      <c r="I2201">
        <v>4.697833523375143</v>
      </c>
    </row>
    <row r="2202" spans="1:9">
      <c r="A2202" s="8" t="s">
        <v>2214</v>
      </c>
      <c r="B2202">
        <f>HYPERLINK("https://www.suredividend.com/sure-analysis-PII/","Polaris Inc")</f>
        <v>0</v>
      </c>
      <c r="C2202">
        <v>-0.06778036095199201</v>
      </c>
      <c r="D2202">
        <v>-0.155075520759791</v>
      </c>
      <c r="E2202">
        <v>-0.121283046489876</v>
      </c>
      <c r="F2202">
        <v>-0.16671665581188</v>
      </c>
      <c r="G2202">
        <v>-0.321797172106064</v>
      </c>
      <c r="H2202">
        <v>-0.219955658104128</v>
      </c>
      <c r="I2202">
        <v>0.003813173838143</v>
      </c>
    </row>
    <row r="2203" spans="1:9">
      <c r="A2203" s="8" t="s">
        <v>2215</v>
      </c>
      <c r="B2203">
        <f>HYPERLINK("https://www.suredividend.com/sure-analysis-PINC/","Premier Inc")</f>
        <v>0</v>
      </c>
      <c r="C2203">
        <v>-0.010636448406113</v>
      </c>
      <c r="D2203">
        <v>-0.08944571583724401</v>
      </c>
      <c r="E2203">
        <v>-0.07892413630745601</v>
      </c>
      <c r="F2203">
        <v>-0.132475355463372</v>
      </c>
      <c r="G2203">
        <v>-0.219649216117276</v>
      </c>
      <c r="H2203">
        <v>-0.439489989613552</v>
      </c>
      <c r="I2203">
        <v>-0.420203947429354</v>
      </c>
    </row>
    <row r="2204" spans="1:9">
      <c r="A2204" s="8" t="s">
        <v>2216</v>
      </c>
      <c r="B2204">
        <f>HYPERLINK("https://www.suredividend.com/sure-analysis-research-database/","Pinterest Inc")</f>
        <v>0</v>
      </c>
      <c r="C2204">
        <v>0.05274463007159901</v>
      </c>
      <c r="D2204">
        <v>0.241835585585585</v>
      </c>
      <c r="E2204">
        <v>0.296590241034685</v>
      </c>
      <c r="F2204">
        <v>0.190874730021598</v>
      </c>
      <c r="G2204">
        <v>0.8114989733059541</v>
      </c>
      <c r="H2204">
        <v>1.208813219829744</v>
      </c>
      <c r="I2204">
        <v>0.5976095617529881</v>
      </c>
    </row>
    <row r="2205" spans="1:9">
      <c r="A2205" s="8" t="s">
        <v>2217</v>
      </c>
      <c r="B2205">
        <f>HYPERLINK("https://www.suredividend.com/sure-analysis-research-database/","PJT Partners Inc")</f>
        <v>0</v>
      </c>
      <c r="C2205">
        <v>0.05685590408861201</v>
      </c>
      <c r="D2205">
        <v>0.05441650055215001</v>
      </c>
      <c r="E2205">
        <v>0.09662863054263401</v>
      </c>
      <c r="F2205">
        <v>0.03408413917723</v>
      </c>
      <c r="G2205">
        <v>0.4801094411330371</v>
      </c>
      <c r="H2205">
        <v>0.369592793047004</v>
      </c>
      <c r="I2205">
        <v>1.836549387993636</v>
      </c>
    </row>
    <row r="2206" spans="1:9">
      <c r="A2206" s="8" t="s">
        <v>2218</v>
      </c>
      <c r="B2206">
        <f>HYPERLINK("https://www.suredividend.com/sure-analysis-research-database/","Park Hotels &amp; Resorts Inc")</f>
        <v>0</v>
      </c>
      <c r="C2206">
        <v>-0.075015499070055</v>
      </c>
      <c r="D2206">
        <v>-0.116406879234377</v>
      </c>
      <c r="E2206">
        <v>0.05756349279481601</v>
      </c>
      <c r="F2206">
        <v>-0.010721603002314</v>
      </c>
      <c r="G2206">
        <v>0.1301061178734</v>
      </c>
      <c r="H2206">
        <v>-0.134158938706345</v>
      </c>
      <c r="I2206">
        <v>-0.316251850290318</v>
      </c>
    </row>
    <row r="2207" spans="1:9">
      <c r="A2207" s="8" t="s">
        <v>2219</v>
      </c>
      <c r="B2207">
        <f>HYPERLINK("https://www.suredividend.com/sure-analysis-research-database/","Parke Bancorp Inc")</f>
        <v>0</v>
      </c>
      <c r="C2207">
        <v>-0.04712990936555801</v>
      </c>
      <c r="D2207">
        <v>-0.039164554494053</v>
      </c>
      <c r="E2207">
        <v>-0.12039490197172</v>
      </c>
      <c r="F2207">
        <v>-0.19858112777981</v>
      </c>
      <c r="G2207">
        <v>-0.04708384695332701</v>
      </c>
      <c r="H2207">
        <v>-0.251478531625862</v>
      </c>
      <c r="I2207">
        <v>-0.009527877048305001</v>
      </c>
    </row>
    <row r="2208" spans="1:9">
      <c r="A2208" s="8" t="s">
        <v>2220</v>
      </c>
      <c r="B2208">
        <f>HYPERLINK("https://www.suredividend.com/sure-analysis-research-database/","Park Aerospace Corp")</f>
        <v>0</v>
      </c>
      <c r="C2208">
        <v>-0.080357142857142</v>
      </c>
      <c r="D2208">
        <v>-0.101770297375076</v>
      </c>
      <c r="E2208">
        <v>-0.101842597747563</v>
      </c>
      <c r="F2208">
        <v>-0.07434291481742601</v>
      </c>
      <c r="G2208">
        <v>-0.007927687634289001</v>
      </c>
      <c r="H2208">
        <v>0.177246351327589</v>
      </c>
      <c r="I2208">
        <v>0.150719306990254</v>
      </c>
    </row>
    <row r="2209" spans="1:9">
      <c r="A2209" s="8" t="s">
        <v>2221</v>
      </c>
      <c r="B2209">
        <f>HYPERLINK("https://www.suredividend.com/sure-analysis-PKG/","Packaging Corp Of America")</f>
        <v>0</v>
      </c>
      <c r="C2209">
        <v>0.02472788166341</v>
      </c>
      <c r="D2209">
        <v>1.5252438755E-05</v>
      </c>
      <c r="E2209">
        <v>0.133299421188834</v>
      </c>
      <c r="F2209">
        <v>0.134569959791305</v>
      </c>
      <c r="G2209">
        <v>0.4270722397991311</v>
      </c>
      <c r="H2209">
        <v>0.214343782722556</v>
      </c>
      <c r="I2209">
        <v>1.253413938073464</v>
      </c>
    </row>
    <row r="2210" spans="1:9">
      <c r="A2210" s="8" t="s">
        <v>2222</v>
      </c>
      <c r="B2210">
        <f>HYPERLINK("https://www.suredividend.com/sure-analysis-research-database/","Revvity Inc.")</f>
        <v>0</v>
      </c>
      <c r="C2210">
        <v>-0.159072732473627</v>
      </c>
      <c r="D2210">
        <v>-0.148011867505642</v>
      </c>
      <c r="E2210">
        <v>-0.189200978812563</v>
      </c>
      <c r="F2210">
        <v>-0.177289653439334</v>
      </c>
      <c r="G2210">
        <v>-0.22292230841434</v>
      </c>
      <c r="H2210">
        <v>-0.19423518767384</v>
      </c>
      <c r="I2210">
        <v>0.580362040592429</v>
      </c>
    </row>
    <row r="2211" spans="1:9">
      <c r="A2211" s="8" t="s">
        <v>2223</v>
      </c>
      <c r="B2211">
        <f>HYPERLINK("https://www.suredividend.com/sure-analysis-research-database/","Park-Ohio Holdings Corp.")</f>
        <v>0</v>
      </c>
      <c r="C2211">
        <v>-0.072727272727272</v>
      </c>
      <c r="D2211">
        <v>0.027441298253735</v>
      </c>
      <c r="E2211">
        <v>0.031287108265785</v>
      </c>
      <c r="F2211">
        <v>-0.09265035430924801</v>
      </c>
      <c r="G2211">
        <v>0.4419259366202261</v>
      </c>
      <c r="H2211">
        <v>0.39578759804578</v>
      </c>
      <c r="I2211">
        <v>-0.09076080978048501</v>
      </c>
    </row>
    <row r="2212" spans="1:9">
      <c r="A2212" s="8" t="s">
        <v>2224</v>
      </c>
      <c r="B2212">
        <f>HYPERLINK("https://www.suredividend.com/sure-analysis-research-database/","Photronics, Inc.")</f>
        <v>0</v>
      </c>
      <c r="C2212">
        <v>-0.113370089593383</v>
      </c>
      <c r="D2212">
        <v>-0.138023450586264</v>
      </c>
      <c r="E2212">
        <v>0.230511716881874</v>
      </c>
      <c r="F2212">
        <v>-0.179789607905642</v>
      </c>
      <c r="G2212">
        <v>0.120156726164562</v>
      </c>
      <c r="H2212">
        <v>0.124562937062937</v>
      </c>
      <c r="I2212">
        <v>2.01641266119578</v>
      </c>
    </row>
    <row r="2213" spans="1:9">
      <c r="A2213" s="8" t="s">
        <v>2225</v>
      </c>
      <c r="B2213">
        <f>HYPERLINK("https://www.suredividend.com/sure-analysis-research-database/","Anaplan Inc")</f>
        <v>0</v>
      </c>
      <c r="C2213">
        <v>-0.019689278572527</v>
      </c>
      <c r="D2213">
        <v>-0.013467492260061</v>
      </c>
      <c r="E2213">
        <v>0.400967245548472</v>
      </c>
      <c r="F2213">
        <v>0.389967284623773</v>
      </c>
      <c r="G2213">
        <v>0.168500183351668</v>
      </c>
      <c r="H2213">
        <v>0.341119528619528</v>
      </c>
      <c r="I2213">
        <v>1.622633744855967</v>
      </c>
    </row>
    <row r="2214" spans="1:9">
      <c r="A2214" s="8" t="s">
        <v>2226</v>
      </c>
      <c r="B2214">
        <f>HYPERLINK("https://www.suredividend.com/sure-analysis-research-database/","Dave &amp; Buster`s Entertainment Inc")</f>
        <v>0</v>
      </c>
      <c r="C2214">
        <v>-0.07035558090891801</v>
      </c>
      <c r="D2214">
        <v>-0.226913345983554</v>
      </c>
      <c r="E2214">
        <v>0.06980306345733001</v>
      </c>
      <c r="F2214">
        <v>-0.09210770659238601</v>
      </c>
      <c r="G2214">
        <v>0.225006264094212</v>
      </c>
      <c r="H2214">
        <v>0.251664106502816</v>
      </c>
      <c r="I2214">
        <v>0.004904278191377001</v>
      </c>
    </row>
    <row r="2215" spans="1:9">
      <c r="A2215" s="8" t="s">
        <v>2227</v>
      </c>
      <c r="B2215">
        <f>HYPERLINK("https://www.suredividend.com/sure-analysis-research-database/","Plumas Bancorp.")</f>
        <v>0</v>
      </c>
      <c r="C2215">
        <v>-0.018686296715741</v>
      </c>
      <c r="D2215">
        <v>0.007962496582931</v>
      </c>
      <c r="E2215">
        <v>-0.07371031666492901</v>
      </c>
      <c r="F2215">
        <v>-0.142480374280349</v>
      </c>
      <c r="G2215">
        <v>0.003311565003936</v>
      </c>
      <c r="H2215">
        <v>0.22748489549025</v>
      </c>
      <c r="I2215">
        <v>0.647111377234126</v>
      </c>
    </row>
    <row r="2216" spans="1:9">
      <c r="A2216" s="8" t="s">
        <v>2228</v>
      </c>
      <c r="B2216">
        <f>HYPERLINK("https://www.suredividend.com/sure-analysis-research-database/","Childrens Place Inc")</f>
        <v>0</v>
      </c>
      <c r="C2216">
        <v>0.08449197860962501</v>
      </c>
      <c r="D2216">
        <v>-0.37291280148423</v>
      </c>
      <c r="E2216">
        <v>-0.553107095636844</v>
      </c>
      <c r="F2216">
        <v>-0.5633074935400511</v>
      </c>
      <c r="G2216">
        <v>-0.459776238678742</v>
      </c>
      <c r="H2216">
        <v>-0.781512605042016</v>
      </c>
      <c r="I2216">
        <v>-0.8903974551456451</v>
      </c>
    </row>
    <row r="2217" spans="1:9">
      <c r="A2217" s="8" t="s">
        <v>2229</v>
      </c>
      <c r="B2217">
        <f>HYPERLINK("https://www.suredividend.com/sure-analysis-PLD/","Prologis Inc")</f>
        <v>0</v>
      </c>
      <c r="C2217">
        <v>0.022642910170749</v>
      </c>
      <c r="D2217">
        <v>-0.163665119978385</v>
      </c>
      <c r="E2217">
        <v>-0.06074875881613401</v>
      </c>
      <c r="F2217">
        <v>-0.167178677960388</v>
      </c>
      <c r="G2217">
        <v>-0.115120992349249</v>
      </c>
      <c r="H2217">
        <v>-0.101847406971522</v>
      </c>
      <c r="I2217">
        <v>0.5976455749421901</v>
      </c>
    </row>
    <row r="2218" spans="1:9">
      <c r="A2218" s="8" t="s">
        <v>2230</v>
      </c>
      <c r="B2218">
        <f>HYPERLINK("https://www.suredividend.com/sure-analysis-research-database/","Planet Fitness Inc")</f>
        <v>0</v>
      </c>
      <c r="C2218">
        <v>0.097549177684617</v>
      </c>
      <c r="D2218">
        <v>0.017184698147041</v>
      </c>
      <c r="E2218">
        <v>0.000293901542983</v>
      </c>
      <c r="F2218">
        <v>-0.067534246575342</v>
      </c>
      <c r="G2218">
        <v>0.008892841262783001</v>
      </c>
      <c r="H2218">
        <v>-0.06394389438943901</v>
      </c>
      <c r="I2218">
        <v>-0.126859928168291</v>
      </c>
    </row>
    <row r="2219" spans="1:9">
      <c r="A2219" s="8" t="s">
        <v>2231</v>
      </c>
      <c r="B2219">
        <f>HYPERLINK("https://www.suredividend.com/sure-analysis-PLOW/","Douglas Dynamics Inc")</f>
        <v>0</v>
      </c>
      <c r="C2219">
        <v>0.04617968094038601</v>
      </c>
      <c r="D2219">
        <v>-0.006973500697349</v>
      </c>
      <c r="E2219">
        <v>-0.122086981029046</v>
      </c>
      <c r="F2219">
        <v>-0.149502568215559</v>
      </c>
      <c r="G2219">
        <v>-0.163163055596598</v>
      </c>
      <c r="H2219">
        <v>-0.140494043471962</v>
      </c>
      <c r="I2219">
        <v>-0.210130112997036</v>
      </c>
    </row>
    <row r="2220" spans="1:9">
      <c r="A2220" s="8" t="s">
        <v>2232</v>
      </c>
      <c r="B2220">
        <f>HYPERLINK("https://www.suredividend.com/sure-analysis-research-database/","Preformed Line Products Co.")</f>
        <v>0</v>
      </c>
      <c r="C2220">
        <v>0.008424533501299</v>
      </c>
      <c r="D2220">
        <v>-0.04050222307124601</v>
      </c>
      <c r="E2220">
        <v>0.013067527025284</v>
      </c>
      <c r="F2220">
        <v>-0.037185044194168</v>
      </c>
      <c r="G2220">
        <v>-0.20891832180496</v>
      </c>
      <c r="H2220">
        <v>1.014051816860922</v>
      </c>
      <c r="I2220">
        <v>1.737272686472427</v>
      </c>
    </row>
    <row r="2221" spans="1:9">
      <c r="A2221" s="8" t="s">
        <v>2233</v>
      </c>
      <c r="B2221">
        <f>HYPERLINK("https://www.suredividend.com/sure-analysis-research-database/","Pulse Biosciences Inc")</f>
        <v>0</v>
      </c>
      <c r="C2221">
        <v>0.628947368421052</v>
      </c>
      <c r="D2221">
        <v>0.31005291005291</v>
      </c>
      <c r="E2221">
        <v>0.32832618025751</v>
      </c>
      <c r="F2221">
        <v>0.011437908496731</v>
      </c>
      <c r="G2221">
        <v>0.9253499222395021</v>
      </c>
      <c r="H2221">
        <v>4.223628691983122</v>
      </c>
      <c r="I2221">
        <v>0.10931899641577</v>
      </c>
    </row>
    <row r="2222" spans="1:9">
      <c r="A2222" s="8" t="s">
        <v>2234</v>
      </c>
      <c r="B2222">
        <f>HYPERLINK("https://www.suredividend.com/sure-analysis-research-database/","Plug Power Inc")</f>
        <v>0</v>
      </c>
      <c r="C2222">
        <v>0.09848484848484801</v>
      </c>
      <c r="D2222">
        <v>-0.256410256410256</v>
      </c>
      <c r="E2222">
        <v>-0.290953545232273</v>
      </c>
      <c r="F2222">
        <v>-0.355555555555555</v>
      </c>
      <c r="G2222">
        <v>-0.6963350785340311</v>
      </c>
      <c r="H2222">
        <v>-0.846153846153846</v>
      </c>
      <c r="I2222">
        <v>0.137254901960784</v>
      </c>
    </row>
    <row r="2223" spans="1:9">
      <c r="A2223" s="8" t="s">
        <v>2235</v>
      </c>
      <c r="B2223">
        <f>HYPERLINK("https://www.suredividend.com/sure-analysis-research-database/","ePlus Inc")</f>
        <v>0</v>
      </c>
      <c r="C2223">
        <v>-0.07700990844098801</v>
      </c>
      <c r="D2223">
        <v>-0.080010001250156</v>
      </c>
      <c r="E2223">
        <v>0.08587870739265101</v>
      </c>
      <c r="F2223">
        <v>-0.07828156312625201</v>
      </c>
      <c r="G2223">
        <v>0.341903719912472</v>
      </c>
      <c r="H2223">
        <v>0.23972371967655</v>
      </c>
      <c r="I2223">
        <v>1.059902029391182</v>
      </c>
    </row>
    <row r="2224" spans="1:9">
      <c r="A2224" s="8" t="s">
        <v>2236</v>
      </c>
      <c r="B2224">
        <f>HYPERLINK("https://www.suredividend.com/sure-analysis-research-database/","PLx Pharma Inc.")</f>
        <v>0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</row>
    <row r="2225" spans="1:9">
      <c r="A2225" s="8" t="s">
        <v>2237</v>
      </c>
      <c r="B2225">
        <f>HYPERLINK("https://www.suredividend.com/sure-analysis-research-database/","Plexus Corp.")</f>
        <v>0</v>
      </c>
      <c r="C2225">
        <v>-0.022176282653636</v>
      </c>
      <c r="D2225">
        <v>0.09009009009009</v>
      </c>
      <c r="E2225">
        <v>0.031215934991576</v>
      </c>
      <c r="F2225">
        <v>-0.03763987792472</v>
      </c>
      <c r="G2225">
        <v>0.08622129436325601</v>
      </c>
      <c r="H2225">
        <v>0.19129937034917</v>
      </c>
      <c r="I2225">
        <v>0.9809632590900441</v>
      </c>
    </row>
    <row r="2226" spans="1:9">
      <c r="A2226" s="8" t="s">
        <v>2238</v>
      </c>
      <c r="B2226">
        <f>HYPERLINK("https://www.suredividend.com/sure-analysis-research-database/","Playa Hotels &amp; Resorts N.V.")</f>
        <v>0</v>
      </c>
      <c r="C2226">
        <v>-0.077922077922077</v>
      </c>
      <c r="D2226">
        <v>-0.10691823899371</v>
      </c>
      <c r="E2226">
        <v>0.13903743315508</v>
      </c>
      <c r="F2226">
        <v>-0.015028901734104</v>
      </c>
      <c r="G2226">
        <v>-0.09168443496801701</v>
      </c>
      <c r="H2226">
        <v>-0.077922077922077</v>
      </c>
      <c r="I2226">
        <v>0.058385093167701</v>
      </c>
    </row>
    <row r="2227" spans="1:9">
      <c r="A2227" s="8" t="s">
        <v>2239</v>
      </c>
      <c r="B2227">
        <f>HYPERLINK("https://www.suredividend.com/sure-analysis-PLYM/","Plymouth Industrial Reit Inc")</f>
        <v>0</v>
      </c>
      <c r="C2227">
        <v>0.015004840271055</v>
      </c>
      <c r="D2227">
        <v>-0.019768240864959</v>
      </c>
      <c r="E2227">
        <v>-0.066306903184441</v>
      </c>
      <c r="F2227">
        <v>-0.119133331373051</v>
      </c>
      <c r="G2227">
        <v>-0.048858812003338</v>
      </c>
      <c r="H2227">
        <v>0.151508162693771</v>
      </c>
      <c r="I2227">
        <v>0.5811975478996531</v>
      </c>
    </row>
    <row r="2228" spans="1:9">
      <c r="A2228" s="8" t="s">
        <v>2240</v>
      </c>
      <c r="B2228">
        <f>HYPERLINK("https://www.suredividend.com/sure-analysis-PM/","Philip Morris International Inc")</f>
        <v>0</v>
      </c>
      <c r="C2228">
        <v>0.06233979288424001</v>
      </c>
      <c r="D2228">
        <v>0.147937844500457</v>
      </c>
      <c r="E2228">
        <v>0.168799670601772</v>
      </c>
      <c r="F2228">
        <v>0.1165797162049</v>
      </c>
      <c r="G2228">
        <v>0.18635955591382</v>
      </c>
      <c r="H2228">
        <v>0.08517372624840501</v>
      </c>
      <c r="I2228">
        <v>0.754680106625479</v>
      </c>
    </row>
    <row r="2229" spans="1:9">
      <c r="A2229" s="8" t="s">
        <v>2241</v>
      </c>
      <c r="B2229">
        <f>HYPERLINK("https://www.suredividend.com/sure-analysis-research-database/","Pacific Mercantile Bancorp")</f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</row>
    <row r="2230" spans="1:9">
      <c r="A2230" s="8" t="s">
        <v>2242</v>
      </c>
      <c r="B2230">
        <f>HYPERLINK("https://www.suredividend.com/sure-analysis-research-database/","Psychemedics Corp.")</f>
        <v>0</v>
      </c>
      <c r="C2230">
        <v>-0.110671936758893</v>
      </c>
      <c r="D2230">
        <v>-0.24496644295302</v>
      </c>
      <c r="E2230">
        <v>-0.247491638795986</v>
      </c>
      <c r="F2230">
        <v>-0.239864864864864</v>
      </c>
      <c r="G2230">
        <v>-0.536082474226804</v>
      </c>
      <c r="H2230">
        <v>-0.614230604372053</v>
      </c>
      <c r="I2230">
        <v>-0.728801301753751</v>
      </c>
    </row>
    <row r="2231" spans="1:9">
      <c r="A2231" s="8" t="s">
        <v>2243</v>
      </c>
      <c r="B2231">
        <f>HYPERLINK("https://www.suredividend.com/sure-analysis-PMT/","Pennymac Mortgage Investment Trust")</f>
        <v>0</v>
      </c>
      <c r="C2231">
        <v>-0.06766917293233</v>
      </c>
      <c r="D2231">
        <v>-0.014571909519784</v>
      </c>
      <c r="E2231">
        <v>0.001865644234865</v>
      </c>
      <c r="F2231">
        <v>-0.060709563684442</v>
      </c>
      <c r="G2231">
        <v>0.209852671166656</v>
      </c>
      <c r="H2231">
        <v>0.06573323853203801</v>
      </c>
      <c r="I2231">
        <v>0.09583758465827301</v>
      </c>
    </row>
    <row r="2232" spans="1:9">
      <c r="A2232" s="8" t="s">
        <v>2244</v>
      </c>
      <c r="B2232">
        <f>HYPERLINK("https://www.suredividend.com/sure-analysis-research-database/","CPI Card Group Inc")</f>
        <v>0</v>
      </c>
      <c r="C2232">
        <v>0.346153846153846</v>
      </c>
      <c r="D2232">
        <v>0.7313713212273011</v>
      </c>
      <c r="E2232">
        <v>0.598265895953757</v>
      </c>
      <c r="F2232">
        <v>0.4408546117769661</v>
      </c>
      <c r="G2232">
        <v>0.134126333059885</v>
      </c>
      <c r="H2232">
        <v>0.589080459770114</v>
      </c>
      <c r="I2232">
        <v>9.054545454545456</v>
      </c>
    </row>
    <row r="2233" spans="1:9">
      <c r="A2233" s="8" t="s">
        <v>2245</v>
      </c>
      <c r="B2233">
        <f>HYPERLINK("https://www.suredividend.com/sure-analysis-research-database/","Patriot National Bancorp Inc")</f>
        <v>0</v>
      </c>
      <c r="C2233">
        <v>-0.3960606060606061</v>
      </c>
      <c r="D2233">
        <v>-0.500501253132832</v>
      </c>
      <c r="E2233">
        <v>-0.557111111111111</v>
      </c>
      <c r="F2233">
        <v>-0.479675221262042</v>
      </c>
      <c r="G2233">
        <v>-0.7401564537157751</v>
      </c>
      <c r="H2233">
        <v>-0.850711610486891</v>
      </c>
      <c r="I2233">
        <v>-0.8703529029110421</v>
      </c>
    </row>
    <row r="2234" spans="1:9">
      <c r="A2234" s="8" t="s">
        <v>2246</v>
      </c>
      <c r="B2234">
        <f>HYPERLINK("https://www.suredividend.com/sure-analysis-PNC/","PNC Financial Services Group Inc")</f>
        <v>0</v>
      </c>
      <c r="C2234">
        <v>-0.001729106628242</v>
      </c>
      <c r="D2234">
        <v>0.046690114459069</v>
      </c>
      <c r="E2234">
        <v>0.138159143679084</v>
      </c>
      <c r="F2234">
        <v>0.027320070702397</v>
      </c>
      <c r="G2234">
        <v>0.278956618198466</v>
      </c>
      <c r="H2234">
        <v>-0.019059371827974</v>
      </c>
      <c r="I2234">
        <v>0.409303864646073</v>
      </c>
    </row>
    <row r="2235" spans="1:9">
      <c r="A2235" s="8" t="s">
        <v>2247</v>
      </c>
      <c r="B2235">
        <f>HYPERLINK("https://www.suredividend.com/sure-analysis-research-database/","Pinnacle Financial Partners Inc.")</f>
        <v>0</v>
      </c>
      <c r="C2235">
        <v>-0.081642454076119</v>
      </c>
      <c r="D2235">
        <v>-0.092367533598657</v>
      </c>
      <c r="E2235">
        <v>-0.052275393976639</v>
      </c>
      <c r="F2235">
        <v>-0.113668097729419</v>
      </c>
      <c r="G2235">
        <v>0.391076306418701</v>
      </c>
      <c r="H2235">
        <v>-0.012273939346982</v>
      </c>
      <c r="I2235">
        <v>0.4956629879627381</v>
      </c>
    </row>
    <row r="2236" spans="1:9">
      <c r="A2236" s="8" t="s">
        <v>2248</v>
      </c>
      <c r="B2236">
        <f>HYPERLINK("https://www.suredividend.com/sure-analysis-PNM/","PNM Resources Inc")</f>
        <v>0</v>
      </c>
      <c r="C2236">
        <v>-0.031754294638209</v>
      </c>
      <c r="D2236">
        <v>-0.003770674436541</v>
      </c>
      <c r="E2236">
        <v>-0.109137803449935</v>
      </c>
      <c r="F2236">
        <v>-0.086437277288388</v>
      </c>
      <c r="G2236">
        <v>-0.171837119061771</v>
      </c>
      <c r="H2236">
        <v>-0.162797606321328</v>
      </c>
      <c r="I2236">
        <v>-0.134041929131108</v>
      </c>
    </row>
    <row r="2237" spans="1:9">
      <c r="A2237" s="8" t="s">
        <v>2249</v>
      </c>
      <c r="B2237">
        <f>HYPERLINK("https://www.suredividend.com/sure-analysis-PNR/","Pentair plc")</f>
        <v>0</v>
      </c>
      <c r="C2237">
        <v>-0.065887737894483</v>
      </c>
      <c r="D2237">
        <v>-0.046396411351756</v>
      </c>
      <c r="E2237">
        <v>0.169205347437171</v>
      </c>
      <c r="F2237">
        <v>0.073206375302552</v>
      </c>
      <c r="G2237">
        <v>0.292252318305658</v>
      </c>
      <c r="H2237">
        <v>0.5644763997070761</v>
      </c>
      <c r="I2237">
        <v>1.301617216274852</v>
      </c>
    </row>
    <row r="2238" spans="1:9">
      <c r="A2238" s="8" t="s">
        <v>2250</v>
      </c>
      <c r="B2238">
        <f>HYPERLINK("https://www.suredividend.com/sure-analysis-research-database/","PrimeEnergy Resources Corp")</f>
        <v>0</v>
      </c>
      <c r="C2238">
        <v>0.036379596215741</v>
      </c>
      <c r="D2238">
        <v>0.026666666666666</v>
      </c>
      <c r="E2238">
        <v>0.046072061429415</v>
      </c>
      <c r="F2238">
        <v>-0.000846262341325</v>
      </c>
      <c r="G2238">
        <v>0.1</v>
      </c>
      <c r="H2238">
        <v>0.168334249587685</v>
      </c>
      <c r="I2238">
        <v>-0.224662531922655</v>
      </c>
    </row>
    <row r="2239" spans="1:9">
      <c r="A2239" s="8" t="s">
        <v>2251</v>
      </c>
      <c r="B2239">
        <f>HYPERLINK("https://www.suredividend.com/sure-analysis-PNW/","Pinnacle West Capital Corp.")</f>
        <v>0</v>
      </c>
      <c r="C2239">
        <v>-0.009422850412249001</v>
      </c>
      <c r="D2239">
        <v>0.073136012794265</v>
      </c>
      <c r="E2239">
        <v>0.019841708278651</v>
      </c>
      <c r="F2239">
        <v>0.07960615556655401</v>
      </c>
      <c r="G2239">
        <v>-0.014825131135378</v>
      </c>
      <c r="H2239">
        <v>0.076470814115719</v>
      </c>
      <c r="I2239">
        <v>-0.039338998216767</v>
      </c>
    </row>
    <row r="2240" spans="1:9">
      <c r="A2240" s="8" t="s">
        <v>2252</v>
      </c>
      <c r="B2240">
        <f>HYPERLINK("https://www.suredividend.com/sure-analysis-research-database/","Predictive Oncology Inc")</f>
        <v>0</v>
      </c>
      <c r="C2240">
        <v>-0.257668711656441</v>
      </c>
      <c r="D2240">
        <v>-0.5769230769230761</v>
      </c>
      <c r="E2240">
        <v>-0.5953177257525081</v>
      </c>
      <c r="F2240">
        <v>-0.6322188449848021</v>
      </c>
      <c r="G2240">
        <v>-0.6451612903225801</v>
      </c>
      <c r="H2240">
        <v>-0.8629361123697321</v>
      </c>
      <c r="I2240">
        <v>1.24074074074074</v>
      </c>
    </row>
    <row r="2241" spans="1:9">
      <c r="A2241" s="8" t="s">
        <v>2253</v>
      </c>
      <c r="B2241">
        <f>HYPERLINK("https://www.suredividend.com/sure-analysis-research-database/","Insulet Corporation")</f>
        <v>0</v>
      </c>
      <c r="C2241">
        <v>0.038745387453874</v>
      </c>
      <c r="D2241">
        <v>0.090774403099891</v>
      </c>
      <c r="E2241">
        <v>-0.016037832836434</v>
      </c>
      <c r="F2241">
        <v>-0.117798875472393</v>
      </c>
      <c r="G2241">
        <v>-0.313414634146341</v>
      </c>
      <c r="H2241">
        <v>-0.129473827823002</v>
      </c>
      <c r="I2241">
        <v>0.7181581545642221</v>
      </c>
    </row>
    <row r="2242" spans="1:9">
      <c r="A2242" s="8" t="s">
        <v>2254</v>
      </c>
      <c r="B2242">
        <f>HYPERLINK("https://www.suredividend.com/sure-analysis-research-database/","Polished.com Inc")</f>
        <v>0</v>
      </c>
      <c r="C2242">
        <v>-0.634829659318637</v>
      </c>
      <c r="D2242">
        <v>0.330072992700729</v>
      </c>
      <c r="E2242">
        <v>-0.7121327014218011</v>
      </c>
      <c r="F2242">
        <v>-0.6978109452736311</v>
      </c>
      <c r="G2242">
        <v>-0.948936527952921</v>
      </c>
      <c r="H2242">
        <v>-0.020322580645161</v>
      </c>
      <c r="I2242">
        <v>-0.795258426966292</v>
      </c>
    </row>
    <row r="2243" spans="1:9">
      <c r="A2243" s="8" t="s">
        <v>2255</v>
      </c>
      <c r="B2243">
        <f>HYPERLINK("https://www.suredividend.com/sure-analysis-POOL/","Pool Corporation")</f>
        <v>0</v>
      </c>
      <c r="C2243">
        <v>-0.07953939704240601</v>
      </c>
      <c r="D2243">
        <v>-0.167192780480558</v>
      </c>
      <c r="E2243">
        <v>-0.051775674259935</v>
      </c>
      <c r="F2243">
        <v>-0.134942257154567</v>
      </c>
      <c r="G2243">
        <v>0.027958691055076</v>
      </c>
      <c r="H2243">
        <v>-0.139291762820666</v>
      </c>
      <c r="I2243">
        <v>0.9141802988695521</v>
      </c>
    </row>
    <row r="2244" spans="1:9">
      <c r="A2244" s="8" t="s">
        <v>2256</v>
      </c>
      <c r="B2244">
        <f>HYPERLINK("https://www.suredividend.com/sure-analysis-POR/","Portland General Electric Co")</f>
        <v>0</v>
      </c>
      <c r="C2244">
        <v>-0.036686923250056</v>
      </c>
      <c r="D2244">
        <v>0.044343100869391</v>
      </c>
      <c r="E2244">
        <v>0.031770329853117</v>
      </c>
      <c r="F2244">
        <v>-0.0009593591200970001</v>
      </c>
      <c r="G2244">
        <v>-0.105158510297994</v>
      </c>
      <c r="H2244">
        <v>-0.08734998848525601</v>
      </c>
      <c r="I2244">
        <v>-0.05838455750674301</v>
      </c>
    </row>
    <row r="2245" spans="1:9">
      <c r="A2245" s="8" t="s">
        <v>2257</v>
      </c>
      <c r="B2245">
        <f>HYPERLINK("https://www.suredividend.com/sure-analysis-research-database/","Post Holdings Inc")</f>
        <v>0</v>
      </c>
      <c r="C2245">
        <v>-0.013942900502703</v>
      </c>
      <c r="D2245">
        <v>0.010203090078709</v>
      </c>
      <c r="E2245">
        <v>0.180558709970474</v>
      </c>
      <c r="F2245">
        <v>0.180558709970474</v>
      </c>
      <c r="G2245">
        <v>0.19302272205646</v>
      </c>
      <c r="H2245">
        <v>0.259815802229762</v>
      </c>
      <c r="I2245">
        <v>0.435915568827538</v>
      </c>
    </row>
    <row r="2246" spans="1:9">
      <c r="A2246" s="8" t="s">
        <v>2258</v>
      </c>
      <c r="B2246">
        <f>HYPERLINK("https://www.suredividend.com/sure-analysis-research-database/","Power Integrations Inc.")</f>
        <v>0</v>
      </c>
      <c r="C2246">
        <v>0.06835035358571401</v>
      </c>
      <c r="D2246">
        <v>-0.019922245675277</v>
      </c>
      <c r="E2246">
        <v>-0.038830871870754</v>
      </c>
      <c r="F2246">
        <v>-0.081791596121286</v>
      </c>
      <c r="G2246">
        <v>-0.174276675447659</v>
      </c>
      <c r="H2246">
        <v>-0.07829601567279901</v>
      </c>
      <c r="I2246">
        <v>1.287907563257254</v>
      </c>
    </row>
    <row r="2247" spans="1:9">
      <c r="A2247" s="8" t="s">
        <v>2259</v>
      </c>
      <c r="B2247">
        <f>HYPERLINK("https://www.suredividend.com/sure-analysis-research-database/","Powell Industries, Inc.")</f>
        <v>0</v>
      </c>
      <c r="C2247">
        <v>0.011386444636084</v>
      </c>
      <c r="D2247">
        <v>0.034266794397282</v>
      </c>
      <c r="E2247">
        <v>0.8706836823637211</v>
      </c>
      <c r="F2247">
        <v>0.8112199283165551</v>
      </c>
      <c r="G2247">
        <v>1.576419355465839</v>
      </c>
      <c r="H2247">
        <v>4.705173508593814</v>
      </c>
      <c r="I2247">
        <v>4.136893379502816</v>
      </c>
    </row>
    <row r="2248" spans="1:9">
      <c r="A2248" s="8" t="s">
        <v>2260</v>
      </c>
      <c r="B2248">
        <f>HYPERLINK("https://www.suredividend.com/sure-analysis-research-database/","Pacific Premier Bancorp, Inc.")</f>
        <v>0</v>
      </c>
      <c r="C2248">
        <v>-0.08010448410970801</v>
      </c>
      <c r="D2248">
        <v>-0.08586310875763001</v>
      </c>
      <c r="E2248">
        <v>-0.140277568690316</v>
      </c>
      <c r="F2248">
        <v>-0.231829104697366</v>
      </c>
      <c r="G2248">
        <v>0.06859651252174601</v>
      </c>
      <c r="H2248">
        <v>-0.233712306660138</v>
      </c>
      <c r="I2248">
        <v>-0.01835531542246</v>
      </c>
    </row>
    <row r="2249" spans="1:9">
      <c r="A2249" s="8" t="s">
        <v>2261</v>
      </c>
      <c r="B2249">
        <f>HYPERLINK("https://www.suredividend.com/sure-analysis-research-database/","Pilgrim`s Pride Corp.")</f>
        <v>0</v>
      </c>
      <c r="C2249">
        <v>-0.067031463748289</v>
      </c>
      <c r="D2249">
        <v>0.05279407224451901</v>
      </c>
      <c r="E2249">
        <v>0.291666666666666</v>
      </c>
      <c r="F2249">
        <v>0.232827187274041</v>
      </c>
      <c r="G2249">
        <v>0.474913494809688</v>
      </c>
      <c r="H2249">
        <v>0.059335197266231</v>
      </c>
      <c r="I2249">
        <v>0.26156122826489</v>
      </c>
    </row>
    <row r="2250" spans="1:9">
      <c r="A2250" s="8" t="s">
        <v>2262</v>
      </c>
      <c r="B2250">
        <f>HYPERLINK("https://www.suredividend.com/sure-analysis-PPG/","PPG Industries, Inc.")</f>
        <v>0</v>
      </c>
      <c r="C2250">
        <v>-0.03853209360553801</v>
      </c>
      <c r="D2250">
        <v>-0.084182989381914</v>
      </c>
      <c r="E2250">
        <v>-0.105807342950494</v>
      </c>
      <c r="F2250">
        <v>-0.133132160047525</v>
      </c>
      <c r="G2250">
        <v>-0.07728302570112701</v>
      </c>
      <c r="H2250">
        <v>0.03627988353250301</v>
      </c>
      <c r="I2250">
        <v>0.230398046847302</v>
      </c>
    </row>
    <row r="2251" spans="1:9">
      <c r="A2251" s="8" t="s">
        <v>2263</v>
      </c>
      <c r="B2251">
        <f>HYPERLINK("https://www.suredividend.com/sure-analysis-research-database/","Perma-Pipe International Holdings Inc")</f>
        <v>0</v>
      </c>
      <c r="C2251">
        <v>0.012021857923497</v>
      </c>
      <c r="D2251">
        <v>0.188703465982028</v>
      </c>
      <c r="E2251">
        <v>0.330459770114942</v>
      </c>
      <c r="F2251">
        <v>0.166672966196721</v>
      </c>
      <c r="G2251">
        <v>-0.118934348239771</v>
      </c>
      <c r="H2251">
        <v>-0.177619893428063</v>
      </c>
      <c r="I2251">
        <v>-0.006437768240343001</v>
      </c>
    </row>
    <row r="2252" spans="1:9">
      <c r="A2252" s="8" t="s">
        <v>2264</v>
      </c>
      <c r="B2252">
        <f>HYPERLINK("https://www.suredividend.com/sure-analysis-PPL/","PPL Corp")</f>
        <v>0</v>
      </c>
      <c r="C2252">
        <v>0.002116402116401</v>
      </c>
      <c r="D2252">
        <v>0.056919642857142</v>
      </c>
      <c r="E2252">
        <v>0.099466714138654</v>
      </c>
      <c r="F2252">
        <v>0.05849084019806101</v>
      </c>
      <c r="G2252">
        <v>0.09254523429538301</v>
      </c>
      <c r="H2252">
        <v>-0.002857002463901</v>
      </c>
      <c r="I2252">
        <v>0.138686482456773</v>
      </c>
    </row>
    <row r="2253" spans="1:9">
      <c r="A2253" s="8" t="s">
        <v>2265</v>
      </c>
      <c r="B2253">
        <f>HYPERLINK("https://www.suredividend.com/sure-analysis-research-database/","Pioneer Power Solutions Inc")</f>
        <v>0</v>
      </c>
      <c r="C2253">
        <v>0</v>
      </c>
      <c r="D2253">
        <v>-0.279245283018868</v>
      </c>
      <c r="E2253">
        <v>-0.373770491803278</v>
      </c>
      <c r="F2253">
        <v>-0.43740795287187</v>
      </c>
      <c r="G2253">
        <v>-0.408668730650154</v>
      </c>
      <c r="H2253">
        <v>0.04371584699453501</v>
      </c>
      <c r="I2253">
        <v>-0.216538824398047</v>
      </c>
    </row>
    <row r="2254" spans="1:9">
      <c r="A2254" s="8" t="s">
        <v>2266</v>
      </c>
      <c r="B2254">
        <f>HYPERLINK("https://www.suredividend.com/sure-analysis-research-database/","Proassurance Corporation")</f>
        <v>0</v>
      </c>
      <c r="C2254">
        <v>-0.100923482849604</v>
      </c>
      <c r="D2254">
        <v>0.062353858144972</v>
      </c>
      <c r="E2254">
        <v>0.084327764518695</v>
      </c>
      <c r="F2254">
        <v>-0.011602610587381</v>
      </c>
      <c r="G2254">
        <v>-0.016594516594516</v>
      </c>
      <c r="H2254">
        <v>-0.387256003812229</v>
      </c>
      <c r="I2254">
        <v>-0.620651266351238</v>
      </c>
    </row>
    <row r="2255" spans="1:9">
      <c r="A2255" s="8" t="s">
        <v>2267</v>
      </c>
      <c r="B2255">
        <f>HYPERLINK("https://www.suredividend.com/sure-analysis-research-database/","PRA Group Inc")</f>
        <v>0</v>
      </c>
      <c r="C2255">
        <v>-0.189696485623003</v>
      </c>
      <c r="D2255">
        <v>-0.198340576847096</v>
      </c>
      <c r="E2255">
        <v>-0.032888465204957</v>
      </c>
      <c r="F2255">
        <v>-0.225572519083969</v>
      </c>
      <c r="G2255">
        <v>-0.117058311575282</v>
      </c>
      <c r="H2255">
        <v>-0.449688093300786</v>
      </c>
      <c r="I2255">
        <v>-0.314527027027027</v>
      </c>
    </row>
    <row r="2256" spans="1:9">
      <c r="A2256" s="8" t="s">
        <v>2268</v>
      </c>
      <c r="B2256">
        <f>HYPERLINK("https://www.suredividend.com/sure-analysis-research-database/","PRA Health Sciences Inc")</f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</row>
    <row r="2257" spans="1:9">
      <c r="A2257" s="8" t="s">
        <v>2269</v>
      </c>
      <c r="B2257">
        <f>HYPERLINK("https://www.suredividend.com/sure-analysis-research-database/","Perceptron, Inc.")</f>
        <v>0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</row>
    <row r="2258" spans="1:9">
      <c r="A2258" s="8" t="s">
        <v>2270</v>
      </c>
      <c r="B2258">
        <f>HYPERLINK("https://www.suredividend.com/sure-analysis-research-database/","Perficient Inc.")</f>
        <v>0</v>
      </c>
      <c r="C2258">
        <v>0.013646288209606</v>
      </c>
      <c r="D2258">
        <v>0.155209953343701</v>
      </c>
      <c r="E2258">
        <v>0.1686595342983</v>
      </c>
      <c r="F2258">
        <v>0.128532360984503</v>
      </c>
      <c r="G2258">
        <v>-0.025324760530114</v>
      </c>
      <c r="H2258">
        <v>-0.292099494901362</v>
      </c>
      <c r="I2258">
        <v>1.352866645549572</v>
      </c>
    </row>
    <row r="2259" spans="1:9">
      <c r="A2259" s="8" t="s">
        <v>2271</v>
      </c>
      <c r="B2259">
        <f>HYPERLINK("https://www.suredividend.com/sure-analysis-PRGO/","Perrigo Company plc")</f>
        <v>0</v>
      </c>
      <c r="C2259">
        <v>-0.09743301103584101</v>
      </c>
      <c r="D2259">
        <v>-0.083449007920306</v>
      </c>
      <c r="E2259">
        <v>-0.100410725615253</v>
      </c>
      <c r="F2259">
        <v>-0.145976515939235</v>
      </c>
      <c r="G2259">
        <v>-0.171280915466962</v>
      </c>
      <c r="H2259">
        <v>-0.274282835738472</v>
      </c>
      <c r="I2259">
        <v>-0.302668702922372</v>
      </c>
    </row>
    <row r="2260" spans="1:9">
      <c r="A2260" s="8" t="s">
        <v>2272</v>
      </c>
      <c r="B2260">
        <f>HYPERLINK("https://www.suredividend.com/sure-analysis-research-database/","Progress Software Corp.")</f>
        <v>0</v>
      </c>
      <c r="C2260">
        <v>-0.016198596082446</v>
      </c>
      <c r="D2260">
        <v>-0.06309887146000401</v>
      </c>
      <c r="E2260">
        <v>-0.042271054857476</v>
      </c>
      <c r="F2260">
        <v>-0.06361307954808501</v>
      </c>
      <c r="G2260">
        <v>-0.138572083621706</v>
      </c>
      <c r="H2260">
        <v>0.038991167746532</v>
      </c>
      <c r="I2260">
        <v>0.33059221433782</v>
      </c>
    </row>
    <row r="2261" spans="1:9">
      <c r="A2261" s="8" t="s">
        <v>2273</v>
      </c>
      <c r="B2261">
        <f>HYPERLINK("https://www.suredividend.com/sure-analysis-research-database/","PRGX Global Inc")</f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</row>
    <row r="2262" spans="1:9">
      <c r="A2262" s="8" t="s">
        <v>2274</v>
      </c>
      <c r="B2262">
        <f>HYPERLINK("https://www.suredividend.com/sure-analysis-PRI/","Primerica Inc")</f>
        <v>0</v>
      </c>
      <c r="C2262">
        <v>0.036161055100206</v>
      </c>
      <c r="D2262">
        <v>-0.08589457686234001</v>
      </c>
      <c r="E2262">
        <v>0.09407477248860301</v>
      </c>
      <c r="F2262">
        <v>0.107261934282275</v>
      </c>
      <c r="G2262">
        <v>0.193559764714938</v>
      </c>
      <c r="H2262">
        <v>0.821574379679858</v>
      </c>
      <c r="I2262">
        <v>1.019719903149082</v>
      </c>
    </row>
    <row r="2263" spans="1:9">
      <c r="A2263" s="8" t="s">
        <v>2275</v>
      </c>
      <c r="B2263">
        <f>HYPERLINK("https://www.suredividend.com/sure-analysis-research-database/","Primoris Services Corp")</f>
        <v>0</v>
      </c>
      <c r="C2263">
        <v>0.09880427942101901</v>
      </c>
      <c r="D2263">
        <v>0.282864525293591</v>
      </c>
      <c r="E2263">
        <v>0.6720027324061451</v>
      </c>
      <c r="F2263">
        <v>0.57953777863553</v>
      </c>
      <c r="G2263">
        <v>0.7671885912085911</v>
      </c>
      <c r="H2263">
        <v>1.10988479819544</v>
      </c>
      <c r="I2263">
        <v>1.9340592861464</v>
      </c>
    </row>
    <row r="2264" spans="1:9">
      <c r="A2264" s="8" t="s">
        <v>2276</v>
      </c>
      <c r="B2264">
        <f>HYPERLINK("https://www.suredividend.com/sure-analysis-research-database/","Park National Corp.")</f>
        <v>0</v>
      </c>
      <c r="C2264">
        <v>0.012090157071569</v>
      </c>
      <c r="D2264">
        <v>0.03741134630040301</v>
      </c>
      <c r="E2264">
        <v>0.144536079524174</v>
      </c>
      <c r="F2264">
        <v>0.056925860525268</v>
      </c>
      <c r="G2264">
        <v>0.28046386331173</v>
      </c>
      <c r="H2264">
        <v>0.196896992399145</v>
      </c>
      <c r="I2264">
        <v>0.6953864643356711</v>
      </c>
    </row>
    <row r="2265" spans="1:9">
      <c r="A2265" s="8" t="s">
        <v>2277</v>
      </c>
      <c r="B2265">
        <f>HYPERLINK("https://www.suredividend.com/sure-analysis-research-database/","Proto Labs Inc")</f>
        <v>0</v>
      </c>
      <c r="C2265">
        <v>0.024149984111852</v>
      </c>
      <c r="D2265">
        <v>-0.147354497354497</v>
      </c>
      <c r="E2265">
        <v>-0.13150094314201</v>
      </c>
      <c r="F2265">
        <v>-0.172741273100616</v>
      </c>
      <c r="G2265">
        <v>-0.09211267605633801</v>
      </c>
      <c r="H2265">
        <v>-0.354237627729913</v>
      </c>
      <c r="I2265">
        <v>-0.689558851858986</v>
      </c>
    </row>
    <row r="2266" spans="1:9">
      <c r="A2266" s="8" t="s">
        <v>2278</v>
      </c>
      <c r="B2266">
        <f>HYPERLINK("https://www.suredividend.com/sure-analysis-research-database/","Primo Water Corporation")</f>
        <v>0</v>
      </c>
      <c r="C2266">
        <v>0.14260919872722</v>
      </c>
      <c r="D2266">
        <v>0.402484190679081</v>
      </c>
      <c r="E2266">
        <v>0.578780528143778</v>
      </c>
      <c r="F2266">
        <v>0.5368206394139821</v>
      </c>
      <c r="G2266">
        <v>0.7675696110729631</v>
      </c>
      <c r="H2266">
        <v>0.651802129822562</v>
      </c>
      <c r="I2266">
        <v>0.745151510534895</v>
      </c>
    </row>
    <row r="2267" spans="1:9">
      <c r="A2267" s="8" t="s">
        <v>2279</v>
      </c>
      <c r="B2267">
        <f>HYPERLINK("https://www.suredividend.com/sure-analysis-research-database/","Pros Holdings Inc")</f>
        <v>0</v>
      </c>
      <c r="C2267">
        <v>-0.149529875644525</v>
      </c>
      <c r="D2267">
        <v>-0.228186072116707</v>
      </c>
      <c r="E2267">
        <v>-0.253858435337945</v>
      </c>
      <c r="F2267">
        <v>-0.277133281773653</v>
      </c>
      <c r="G2267">
        <v>-0.066888519134775</v>
      </c>
      <c r="H2267">
        <v>-0.067198935462408</v>
      </c>
      <c r="I2267">
        <v>-0.5333666167415541</v>
      </c>
    </row>
    <row r="2268" spans="1:9">
      <c r="A2268" s="8" t="s">
        <v>2280</v>
      </c>
      <c r="B2268">
        <f>HYPERLINK("https://www.suredividend.com/sure-analysis-research-database/","Provident Financial Holdings, Inc.")</f>
        <v>0</v>
      </c>
      <c r="C2268">
        <v>0.04649546654893601</v>
      </c>
      <c r="D2268">
        <v>-0.07028094947558</v>
      </c>
      <c r="E2268">
        <v>0.150230944806887</v>
      </c>
      <c r="F2268">
        <v>0.058104835043109</v>
      </c>
      <c r="G2268">
        <v>0.127802986915723</v>
      </c>
      <c r="H2268">
        <v>-1.5624755863E-05</v>
      </c>
      <c r="I2268">
        <v>-0.208865649317337</v>
      </c>
    </row>
    <row r="2269" spans="1:9">
      <c r="A2269" s="8" t="s">
        <v>2281</v>
      </c>
      <c r="B2269">
        <f>HYPERLINK("https://www.suredividend.com/sure-analysis-research-database/","ProPhase Labs Inc")</f>
        <v>0</v>
      </c>
      <c r="C2269">
        <v>-0.08300395256916901</v>
      </c>
      <c r="D2269">
        <v>-0.016949152542372</v>
      </c>
      <c r="E2269">
        <v>-0.08840864440078501</v>
      </c>
      <c r="F2269">
        <v>0.026548672566371</v>
      </c>
      <c r="G2269">
        <v>-0.444311377245508</v>
      </c>
      <c r="H2269">
        <v>-0.574311926605504</v>
      </c>
      <c r="I2269">
        <v>1.002157497303128</v>
      </c>
    </row>
    <row r="2270" spans="1:9">
      <c r="A2270" s="8" t="s">
        <v>2282</v>
      </c>
      <c r="B2270">
        <f>HYPERLINK("https://www.suredividend.com/sure-analysis-research-database/","Providence Service Corp")</f>
        <v>0</v>
      </c>
      <c r="C2270">
        <v>0.125841233084883</v>
      </c>
      <c r="D2270">
        <v>0.654754307594129</v>
      </c>
      <c r="E2270">
        <v>0.9826685357461451</v>
      </c>
      <c r="F2270">
        <v>0.122267907379355</v>
      </c>
      <c r="G2270">
        <v>1.591704147926037</v>
      </c>
      <c r="H2270">
        <v>1.550909985243482</v>
      </c>
      <c r="I2270">
        <v>2.266428721394079</v>
      </c>
    </row>
    <row r="2271" spans="1:9">
      <c r="A2271" s="8" t="s">
        <v>2283</v>
      </c>
      <c r="B2271">
        <f>HYPERLINK("https://www.suredividend.com/sure-analysis-research-database/","Perspecta Inc")</f>
        <v>0</v>
      </c>
      <c r="C2271">
        <v>0.006518010291595</v>
      </c>
      <c r="D2271">
        <v>0.010671645389973</v>
      </c>
      <c r="E2271">
        <v>0.505256083358557</v>
      </c>
      <c r="F2271">
        <v>0.221365148216448</v>
      </c>
      <c r="G2271">
        <v>0.397868417416659</v>
      </c>
      <c r="H2271">
        <v>0.279914846837729</v>
      </c>
      <c r="I2271">
        <v>0.173599999999999</v>
      </c>
    </row>
    <row r="2272" spans="1:9">
      <c r="A2272" s="8" t="s">
        <v>2284</v>
      </c>
      <c r="B2272">
        <f>HYPERLINK("https://www.suredividend.com/sure-analysis-research-database/","Prothena Corporation plc")</f>
        <v>0</v>
      </c>
      <c r="C2272">
        <v>-0.102378929481733</v>
      </c>
      <c r="D2272">
        <v>-0.278839590443686</v>
      </c>
      <c r="E2272">
        <v>-0.44100529100529</v>
      </c>
      <c r="F2272">
        <v>-0.418547055586131</v>
      </c>
      <c r="G2272">
        <v>-0.7077050767741041</v>
      </c>
      <c r="H2272">
        <v>-0.2570323488045</v>
      </c>
      <c r="I2272">
        <v>1.324532453245324</v>
      </c>
    </row>
    <row r="2273" spans="1:9">
      <c r="A2273" s="8" t="s">
        <v>2285</v>
      </c>
      <c r="B2273">
        <f>HYPERLINK("https://www.suredividend.com/sure-analysis-research-database/","Paratek Pharmaceuticals Inc.")</f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</row>
    <row r="2274" spans="1:9">
      <c r="A2274" s="8" t="s">
        <v>2286</v>
      </c>
      <c r="B2274">
        <f>HYPERLINK("https://www.suredividend.com/sure-analysis-research-database/","CarParts.com Inc")</f>
        <v>0</v>
      </c>
      <c r="C2274">
        <v>-0.08620689655172301</v>
      </c>
      <c r="D2274">
        <v>-0.577689243027888</v>
      </c>
      <c r="E2274">
        <v>-0.664556962025316</v>
      </c>
      <c r="F2274">
        <v>-0.664556962025316</v>
      </c>
      <c r="G2274">
        <v>-0.7376237623762371</v>
      </c>
      <c r="H2274">
        <v>-0.8733572281959371</v>
      </c>
      <c r="I2274">
        <v>-0.009345794392523001</v>
      </c>
    </row>
    <row r="2275" spans="1:9">
      <c r="A2275" s="8" t="s">
        <v>2287</v>
      </c>
      <c r="B2275">
        <f>HYPERLINK("https://www.suredividend.com/sure-analysis-research-database/","Party City Holdco Inc")</f>
        <v>0</v>
      </c>
      <c r="C2275">
        <v>-0.109047619047619</v>
      </c>
      <c r="D2275">
        <v>-0.7616560509554141</v>
      </c>
      <c r="E2275">
        <v>-0.7165151515151511</v>
      </c>
      <c r="F2275">
        <v>0.023803009575923</v>
      </c>
      <c r="G2275">
        <v>-0.930703703703703</v>
      </c>
      <c r="H2275">
        <v>-0.9448895434462441</v>
      </c>
      <c r="I2275">
        <v>-0.975935691318328</v>
      </c>
    </row>
    <row r="2276" spans="1:9">
      <c r="A2276" s="8" t="s">
        <v>2288</v>
      </c>
      <c r="B2276">
        <f>HYPERLINK("https://www.suredividend.com/sure-analysis-PRU/","Prudential Financial Inc.")</f>
        <v>0</v>
      </c>
      <c r="C2276">
        <v>0.024834673225237</v>
      </c>
      <c r="D2276">
        <v>0.07583524675099301</v>
      </c>
      <c r="E2276">
        <v>0.209616574949727</v>
      </c>
      <c r="F2276">
        <v>0.162380077768198</v>
      </c>
      <c r="G2276">
        <v>0.44371248754945</v>
      </c>
      <c r="H2276">
        <v>0.226077239536621</v>
      </c>
      <c r="I2276">
        <v>0.5280043360883401</v>
      </c>
    </row>
    <row r="2277" spans="1:9">
      <c r="A2277" s="8" t="s">
        <v>2289</v>
      </c>
      <c r="B2277">
        <f>HYPERLINK("https://www.suredividend.com/sure-analysis-research-database/","Provention Bio Inc")</f>
        <v>0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</row>
    <row r="2278" spans="1:9">
      <c r="A2278" s="8" t="s">
        <v>2290</v>
      </c>
      <c r="B2278">
        <f>HYPERLINK("https://www.suredividend.com/sure-analysis-research-database/","Pluralsight Inc")</f>
        <v>0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</row>
    <row r="2279" spans="1:9">
      <c r="A2279" s="8" t="s">
        <v>2291</v>
      </c>
      <c r="B2279">
        <f>HYPERLINK("https://www.suredividend.com/sure-analysis-PSA/","Public Storage.")</f>
        <v>0</v>
      </c>
      <c r="C2279">
        <v>0.002269399707174</v>
      </c>
      <c r="D2279">
        <v>-0.032908380942693</v>
      </c>
      <c r="E2279">
        <v>0.024192058266212</v>
      </c>
      <c r="F2279">
        <v>-0.092899759162269</v>
      </c>
      <c r="G2279">
        <v>-0.03404240307616301</v>
      </c>
      <c r="H2279">
        <v>-0.03404240307616301</v>
      </c>
      <c r="I2279">
        <v>-0.03404240307616301</v>
      </c>
    </row>
    <row r="2280" spans="1:9">
      <c r="A2280" s="8" t="s">
        <v>2292</v>
      </c>
      <c r="B2280">
        <f>HYPERLINK("https://www.suredividend.com/sure-analysis-research-database/","PS Business Parks, Inc.")</f>
        <v>0</v>
      </c>
      <c r="C2280">
        <v>0.009343861871098001</v>
      </c>
      <c r="D2280">
        <v>0.122128452098513</v>
      </c>
      <c r="E2280">
        <v>0.116861728180261</v>
      </c>
      <c r="F2280">
        <v>0.031597914569559</v>
      </c>
      <c r="G2280">
        <v>0.29709171609303</v>
      </c>
      <c r="H2280">
        <v>0.5444855340439411</v>
      </c>
      <c r="I2280">
        <v>0.6893837588788631</v>
      </c>
    </row>
    <row r="2281" spans="1:9">
      <c r="A2281" s="8" t="s">
        <v>2293</v>
      </c>
      <c r="B2281">
        <f>HYPERLINK("https://www.suredividend.com/sure-analysis-research-database/","Pricesmart Inc.")</f>
        <v>0</v>
      </c>
      <c r="C2281">
        <v>-0.029627006610009</v>
      </c>
      <c r="D2281">
        <v>0.003918714456502</v>
      </c>
      <c r="E2281">
        <v>0.221124367231504</v>
      </c>
      <c r="F2281">
        <v>0.129114000546633</v>
      </c>
      <c r="G2281">
        <v>0.145999595742752</v>
      </c>
      <c r="H2281">
        <v>0.120932851745347</v>
      </c>
      <c r="I2281">
        <v>0.8062296357001141</v>
      </c>
    </row>
    <row r="2282" spans="1:9">
      <c r="A2282" s="8" t="s">
        <v>2294</v>
      </c>
      <c r="B2282">
        <f>HYPERLINK("https://www.suredividend.com/sure-analysis-research-database/","Parsons Corp")</f>
        <v>0</v>
      </c>
      <c r="C2282">
        <v>-0.047667731629392</v>
      </c>
      <c r="D2282">
        <v>-0.099673794853207</v>
      </c>
      <c r="E2282">
        <v>0.182481751824817</v>
      </c>
      <c r="F2282">
        <v>0.188327220538988</v>
      </c>
      <c r="G2282">
        <v>0.5981128029165771</v>
      </c>
      <c r="H2282">
        <v>0.782348720401817</v>
      </c>
      <c r="I2282">
        <v>1.300710095708551</v>
      </c>
    </row>
    <row r="2283" spans="1:9">
      <c r="A2283" s="8" t="s">
        <v>2295</v>
      </c>
      <c r="B2283">
        <f>HYPERLINK("https://www.suredividend.com/sure-analysis-research-database/","Pure Storage Inc")</f>
        <v>0</v>
      </c>
      <c r="C2283">
        <v>0.22113576532531</v>
      </c>
      <c r="D2283">
        <v>0.136109167249825</v>
      </c>
      <c r="E2283">
        <v>0.9975392187019371</v>
      </c>
      <c r="F2283">
        <v>0.821088053841839</v>
      </c>
      <c r="G2283">
        <v>0.9088771310993531</v>
      </c>
      <c r="H2283">
        <v>1.327598566308244</v>
      </c>
      <c r="I2283">
        <v>3.189677419354838</v>
      </c>
    </row>
    <row r="2284" spans="1:9">
      <c r="A2284" s="8" t="s">
        <v>2296</v>
      </c>
      <c r="B2284">
        <f>HYPERLINK("https://www.suredividend.com/sure-analysis-research-database/","Plus Therapeutics Inc")</f>
        <v>0</v>
      </c>
      <c r="C2284">
        <v>0.103286384976525</v>
      </c>
      <c r="D2284">
        <v>0.358381502890173</v>
      </c>
      <c r="E2284">
        <v>0.053811659192825</v>
      </c>
      <c r="F2284">
        <v>0.342780412547854</v>
      </c>
      <c r="G2284">
        <v>-0.352617079889807</v>
      </c>
      <c r="H2284">
        <v>-0.759085550258854</v>
      </c>
      <c r="I2284">
        <v>9.133678309616217</v>
      </c>
    </row>
    <row r="2285" spans="1:9">
      <c r="A2285" s="8" t="s">
        <v>2297</v>
      </c>
      <c r="B2285">
        <f>HYPERLINK("https://www.suredividend.com/sure-analysis-PSX/","Phillips 66")</f>
        <v>0</v>
      </c>
      <c r="C2285">
        <v>-0.04161316072606101</v>
      </c>
      <c r="D2285">
        <v>-0.06730571120726001</v>
      </c>
      <c r="E2285">
        <v>0.124801935633663</v>
      </c>
      <c r="F2285">
        <v>0.052822612314677</v>
      </c>
      <c r="G2285">
        <v>0.4129896392358161</v>
      </c>
      <c r="H2285">
        <v>0.3529350665639741</v>
      </c>
      <c r="I2285">
        <v>0.992567738211206</v>
      </c>
    </row>
    <row r="2286" spans="1:9">
      <c r="A2286" s="8" t="s">
        <v>2298</v>
      </c>
      <c r="B2286">
        <f>HYPERLINK("https://www.suredividend.com/sure-analysis-research-database/","PTC Inc")</f>
        <v>0</v>
      </c>
      <c r="C2286">
        <v>-0.021863437605112</v>
      </c>
      <c r="D2286">
        <v>-0.063395780771914</v>
      </c>
      <c r="E2286">
        <v>0.068855672629257</v>
      </c>
      <c r="F2286">
        <v>-0.002743484224965</v>
      </c>
      <c r="G2286">
        <v>0.28341301949246</v>
      </c>
      <c r="H2286">
        <v>0.480651731160896</v>
      </c>
      <c r="I2286">
        <v>0.965750337990085</v>
      </c>
    </row>
    <row r="2287" spans="1:9">
      <c r="A2287" s="8" t="s">
        <v>2299</v>
      </c>
      <c r="B2287">
        <f>HYPERLINK("https://www.suredividend.com/sure-analysis-research-database/","PTC Therapeutics Inc")</f>
        <v>0</v>
      </c>
      <c r="C2287">
        <v>0.14878892733564</v>
      </c>
      <c r="D2287">
        <v>0.187256176853056</v>
      </c>
      <c r="E2287">
        <v>0.3896499238964991</v>
      </c>
      <c r="F2287">
        <v>0.32510885341074</v>
      </c>
      <c r="G2287">
        <v>-0.162000917852225</v>
      </c>
      <c r="H2287">
        <v>0.287275290800141</v>
      </c>
      <c r="I2287">
        <v>-0.128192886130341</v>
      </c>
    </row>
    <row r="2288" spans="1:9">
      <c r="A2288" s="8" t="s">
        <v>2300</v>
      </c>
      <c r="B2288">
        <f>HYPERLINK("https://www.suredividend.com/sure-analysis-research-database/","PolarityTE Inc")</f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</row>
    <row r="2289" spans="1:9">
      <c r="A2289" s="8" t="s">
        <v>2301</v>
      </c>
      <c r="B2289">
        <f>HYPERLINK("https://www.suredividend.com/sure-analysis-research-database/","Patterson-UTI Energy Inc")</f>
        <v>0</v>
      </c>
      <c r="C2289">
        <v>-0.057265146483654</v>
      </c>
      <c r="D2289">
        <v>-0.142969752366896</v>
      </c>
      <c r="E2289">
        <v>-0.034938621340887</v>
      </c>
      <c r="F2289">
        <v>-0.033149171270718</v>
      </c>
      <c r="G2289">
        <v>-0.07135652821822201</v>
      </c>
      <c r="H2289">
        <v>-0.443097294499087</v>
      </c>
      <c r="I2289">
        <v>0.053532219324378</v>
      </c>
    </row>
    <row r="2290" spans="1:9">
      <c r="A2290" s="8" t="s">
        <v>2302</v>
      </c>
      <c r="B2290">
        <f>HYPERLINK("https://www.suredividend.com/sure-analysis-research-database/","Protagonist Therapeutics Inc")</f>
        <v>0</v>
      </c>
      <c r="C2290">
        <v>0.349360217138425</v>
      </c>
      <c r="D2290">
        <v>0.126578180640984</v>
      </c>
      <c r="E2290">
        <v>0.6642754662840741</v>
      </c>
      <c r="F2290">
        <v>0.5176624509376361</v>
      </c>
      <c r="G2290">
        <v>0.200413935839944</v>
      </c>
      <c r="H2290">
        <v>2.778501628664494</v>
      </c>
      <c r="I2290">
        <v>1.949152542372881</v>
      </c>
    </row>
    <row r="2291" spans="1:9">
      <c r="A2291" s="8" t="s">
        <v>2303</v>
      </c>
      <c r="B2291">
        <f>HYPERLINK("https://www.suredividend.com/sure-analysis-research-database/","Proteostasis Therapeutics Inc")</f>
        <v>0</v>
      </c>
      <c r="C2291">
        <v>0.067307692307692</v>
      </c>
      <c r="D2291">
        <v>-0.034782608695651</v>
      </c>
      <c r="E2291">
        <v>-0.255033557046979</v>
      </c>
      <c r="F2291">
        <v>-0.513157894736842</v>
      </c>
      <c r="G2291">
        <v>-0.108433734939759</v>
      </c>
      <c r="H2291">
        <v>-0.7272727272727271</v>
      </c>
      <c r="I2291">
        <v>-0.8328313253012041</v>
      </c>
    </row>
    <row r="2292" spans="1:9">
      <c r="A2292" s="8" t="s">
        <v>2304</v>
      </c>
      <c r="B2292">
        <f>HYPERLINK("https://www.suredividend.com/sure-analysis-research-database/","Palatin Technologies Inc.")</f>
        <v>0</v>
      </c>
      <c r="C2292">
        <v>-0.100961538461538</v>
      </c>
      <c r="D2292">
        <v>-0.01058201058201</v>
      </c>
      <c r="E2292">
        <v>-0.296992481203007</v>
      </c>
      <c r="F2292">
        <v>-0.530150753768844</v>
      </c>
      <c r="G2292">
        <v>-0.179824561403508</v>
      </c>
      <c r="H2292">
        <v>-0.7767164179104471</v>
      </c>
      <c r="I2292">
        <v>-0.9401600000000001</v>
      </c>
    </row>
    <row r="2293" spans="1:9">
      <c r="A2293" s="8" t="s">
        <v>2305</v>
      </c>
      <c r="B2293">
        <f>HYPERLINK("https://www.suredividend.com/sure-analysis-research-database/","P.A.M. Transportation Services, Inc.")</f>
        <v>0</v>
      </c>
      <c r="C2293">
        <v>-0.05652680652680601</v>
      </c>
      <c r="D2293">
        <v>-0.021160822249092</v>
      </c>
      <c r="E2293">
        <v>-0.190499999999999</v>
      </c>
      <c r="F2293">
        <v>-0.220885466794995</v>
      </c>
      <c r="G2293">
        <v>-0.4315308988764041</v>
      </c>
      <c r="H2293">
        <v>-0.455798319327731</v>
      </c>
      <c r="I2293">
        <v>0.165796579657965</v>
      </c>
    </row>
    <row r="2294" spans="1:9">
      <c r="A2294" s="8" t="s">
        <v>2306</v>
      </c>
      <c r="B2294">
        <f>HYPERLINK("https://www.suredividend.com/sure-analysis-research-database/","Protective Insurance Corp.")</f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</row>
    <row r="2295" spans="1:9">
      <c r="A2295" s="8" t="s">
        <v>2307</v>
      </c>
      <c r="B2295">
        <f>HYPERLINK("https://www.suredividend.com/sure-analysis-research-database/","Protective Insurance Corp.")</f>
        <v>0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</row>
    <row r="2296" spans="1:9">
      <c r="A2296" s="8" t="s">
        <v>2308</v>
      </c>
      <c r="B2296">
        <f>HYPERLINK("https://www.suredividend.com/sure-analysis-research-database/","Pulmatrix Inc")</f>
        <v>0</v>
      </c>
      <c r="C2296">
        <v>0.04232804232804201</v>
      </c>
      <c r="D2296">
        <v>-0.005050505050505001</v>
      </c>
      <c r="E2296">
        <v>0.005102040816326</v>
      </c>
      <c r="F2296">
        <v>0.05913978494623601</v>
      </c>
      <c r="G2296">
        <v>-0.2875226039783</v>
      </c>
      <c r="H2296">
        <v>-0.620789220404234</v>
      </c>
      <c r="I2296">
        <v>-0.8998372991661581</v>
      </c>
    </row>
    <row r="2297" spans="1:9">
      <c r="A2297" s="8" t="s">
        <v>2309</v>
      </c>
      <c r="B2297">
        <f>HYPERLINK("https://www.suredividend.com/sure-analysis-research-database/","ProPetro Holding Corp")</f>
        <v>0</v>
      </c>
      <c r="C2297">
        <v>-0.043294614572333</v>
      </c>
      <c r="D2297">
        <v>0.229308005427408</v>
      </c>
      <c r="E2297">
        <v>0.094202898550724</v>
      </c>
      <c r="F2297">
        <v>0.08114558472553601</v>
      </c>
      <c r="G2297">
        <v>0.17815344603381</v>
      </c>
      <c r="H2297">
        <v>-0.349605168700646</v>
      </c>
      <c r="I2297">
        <v>-0.529595015576324</v>
      </c>
    </row>
    <row r="2298" spans="1:9">
      <c r="A2298" s="8" t="s">
        <v>2310</v>
      </c>
      <c r="B2298">
        <f>HYPERLINK("https://www.suredividend.com/sure-analysis-research-database/","Penn Virginia Corp.")</f>
        <v>0</v>
      </c>
      <c r="C2298">
        <v>0.437412095639943</v>
      </c>
      <c r="D2298">
        <v>0.653721682847896</v>
      </c>
      <c r="E2298">
        <v>1.54862842892768</v>
      </c>
      <c r="F2298">
        <v>2.020689655172413</v>
      </c>
      <c r="G2298">
        <v>2.170630816959669</v>
      </c>
      <c r="H2298">
        <v>0.128865979381443</v>
      </c>
      <c r="I2298">
        <v>-0.3742857142857141</v>
      </c>
    </row>
    <row r="2299" spans="1:9">
      <c r="A2299" s="8" t="s">
        <v>2311</v>
      </c>
      <c r="B2299">
        <f>HYPERLINK("https://www.suredividend.com/sure-analysis-research-database/","Provident Bancorp Inc")</f>
        <v>0</v>
      </c>
      <c r="C2299">
        <v>0.03958333333333301</v>
      </c>
      <c r="D2299">
        <v>0.018367346938775</v>
      </c>
      <c r="E2299">
        <v>0.023589743589743</v>
      </c>
      <c r="F2299">
        <v>-0.008937437934458</v>
      </c>
      <c r="G2299">
        <v>0.221542227662178</v>
      </c>
      <c r="H2299">
        <v>-0.3938878631814201</v>
      </c>
      <c r="I2299">
        <v>-0.052105693064605</v>
      </c>
    </row>
    <row r="2300" spans="1:9">
      <c r="A2300" s="8" t="s">
        <v>2312</v>
      </c>
      <c r="B2300">
        <f>HYPERLINK("https://www.suredividend.com/sure-analysis-research-database/","PVH Corp")</f>
        <v>0</v>
      </c>
      <c r="C2300">
        <v>0.056327794526013</v>
      </c>
      <c r="D2300">
        <v>-0.114555572453036</v>
      </c>
      <c r="E2300">
        <v>0.128341561803841</v>
      </c>
      <c r="F2300">
        <v>-0.017274308613884</v>
      </c>
      <c r="G2300">
        <v>0.405675911655952</v>
      </c>
      <c r="H2300">
        <v>0.699389189028355</v>
      </c>
      <c r="I2300">
        <v>0.3668718759900531</v>
      </c>
    </row>
    <row r="2301" spans="1:9">
      <c r="A2301" s="8" t="s">
        <v>2313</v>
      </c>
      <c r="B2301">
        <f>HYPERLINK("https://www.suredividend.com/sure-analysis-research-database/","Power REIT")</f>
        <v>0</v>
      </c>
      <c r="C2301">
        <v>1.022785398744478</v>
      </c>
      <c r="D2301">
        <v>0.426931277677546</v>
      </c>
      <c r="E2301">
        <v>0.6087278106508871</v>
      </c>
      <c r="F2301">
        <v>0.339079575188548</v>
      </c>
      <c r="G2301">
        <v>-0.544502617801047</v>
      </c>
      <c r="H2301">
        <v>-0.9628363947031181</v>
      </c>
      <c r="I2301">
        <v>-0.8458785806657331</v>
      </c>
    </row>
    <row r="2302" spans="1:9">
      <c r="A2302" s="8" t="s">
        <v>2314</v>
      </c>
      <c r="B2302">
        <f>HYPERLINK("https://www.suredividend.com/sure-analysis-research-database/","Penns Woods Bancorp, Inc.")</f>
        <v>0</v>
      </c>
      <c r="C2302">
        <v>0.091056910569105</v>
      </c>
      <c r="D2302">
        <v>0.057814585544776</v>
      </c>
      <c r="E2302">
        <v>0.042551428393859</v>
      </c>
      <c r="F2302">
        <v>-0.07564723061522501</v>
      </c>
      <c r="G2302">
        <v>-0.170341672505461</v>
      </c>
      <c r="H2302">
        <v>-0.016739365105726</v>
      </c>
      <c r="I2302">
        <v>-0.043755433207765</v>
      </c>
    </row>
    <row r="2303" spans="1:9">
      <c r="A2303" s="8" t="s">
        <v>2315</v>
      </c>
      <c r="B2303">
        <f>HYPERLINK("https://www.suredividend.com/sure-analysis-research-database/","Quanta Services, Inc.")</f>
        <v>0</v>
      </c>
      <c r="C2303">
        <v>0.009142685851318002</v>
      </c>
      <c r="D2303">
        <v>0.102701684637636</v>
      </c>
      <c r="E2303">
        <v>0.386584236330957</v>
      </c>
      <c r="F2303">
        <v>0.248434357996386</v>
      </c>
      <c r="G2303">
        <v>0.466585782634692</v>
      </c>
      <c r="H2303">
        <v>1.021395327193291</v>
      </c>
      <c r="I2303">
        <v>6.328096387377999</v>
      </c>
    </row>
    <row r="2304" spans="1:9">
      <c r="A2304" s="8" t="s">
        <v>2316</v>
      </c>
      <c r="B2304">
        <f>HYPERLINK("https://www.suredividend.com/sure-analysis-research-database/","Pioneer Natural Resources Co.")</f>
        <v>0</v>
      </c>
      <c r="C2304">
        <v>0.000630914826498</v>
      </c>
      <c r="D2304">
        <v>0.19193821478937</v>
      </c>
      <c r="E2304">
        <v>0.112057004367057</v>
      </c>
      <c r="F2304">
        <v>0.205666210848938</v>
      </c>
      <c r="G2304">
        <v>0.319673571434514</v>
      </c>
      <c r="H2304">
        <v>0.299862743519368</v>
      </c>
      <c r="I2304">
        <v>1.183499121725095</v>
      </c>
    </row>
    <row r="2305" spans="1:9">
      <c r="A2305" s="8" t="s">
        <v>2317</v>
      </c>
      <c r="B2305">
        <f>HYPERLINK("https://www.suredividend.com/sure-analysis-research-database/","Pixelworks Inc")</f>
        <v>0</v>
      </c>
      <c r="C2305">
        <v>-0.473958333333333</v>
      </c>
      <c r="D2305">
        <v>-0.6541095890410961</v>
      </c>
      <c r="E2305">
        <v>-0.073394495412844</v>
      </c>
      <c r="F2305">
        <v>-0.229007633587786</v>
      </c>
      <c r="G2305">
        <v>-0.429378531073446</v>
      </c>
      <c r="H2305">
        <v>-0.532407407407407</v>
      </c>
      <c r="I2305">
        <v>-0.649305555555555</v>
      </c>
    </row>
    <row r="2306" spans="1:9">
      <c r="A2306" s="8" t="s">
        <v>2318</v>
      </c>
      <c r="B2306">
        <f>HYPERLINK("https://www.suredividend.com/sure-analysis-research-database/","PayPal Holdings Inc")</f>
        <v>0</v>
      </c>
      <c r="C2306">
        <v>0.020934466019417</v>
      </c>
      <c r="D2306">
        <v>0.15042735042735</v>
      </c>
      <c r="E2306">
        <v>0.150820793433652</v>
      </c>
      <c r="F2306">
        <v>0.095912717798404</v>
      </c>
      <c r="G2306">
        <v>0.050905683947532</v>
      </c>
      <c r="H2306">
        <v>-0.240320577943334</v>
      </c>
      <c r="I2306">
        <v>-0.409752674969303</v>
      </c>
    </row>
    <row r="2307" spans="1:9">
      <c r="A2307" s="8" t="s">
        <v>2319</v>
      </c>
      <c r="B2307">
        <f>HYPERLINK("https://www.suredividend.com/sure-analysis-research-database/","Paramount Gold Nevada Corp")</f>
        <v>0</v>
      </c>
      <c r="C2307">
        <v>0.108920187793427</v>
      </c>
      <c r="D2307">
        <v>0.36927536231884</v>
      </c>
      <c r="E2307">
        <v>0.297802197802197</v>
      </c>
      <c r="F2307">
        <v>0.259733333333333</v>
      </c>
      <c r="G2307">
        <v>0.680540732835289</v>
      </c>
      <c r="H2307">
        <v>-0.07372549019607801</v>
      </c>
      <c r="I2307">
        <v>-0.366161277337984</v>
      </c>
    </row>
    <row r="2308" spans="1:9">
      <c r="A2308" s="8" t="s">
        <v>2320</v>
      </c>
      <c r="B2308">
        <f>HYPERLINK("https://www.suredividend.com/sure-analysis-research-database/","Pzena Investment Management Inc")</f>
        <v>0</v>
      </c>
      <c r="C2308">
        <v>0.012591815320042</v>
      </c>
      <c r="D2308">
        <v>0.026573902682921</v>
      </c>
      <c r="E2308">
        <v>0.539050413868997</v>
      </c>
      <c r="F2308">
        <v>0.08135365307037201</v>
      </c>
      <c r="G2308">
        <v>-0.058784515298409</v>
      </c>
      <c r="H2308">
        <v>1.042025520028779</v>
      </c>
      <c r="I2308">
        <v>0.054448900204333</v>
      </c>
    </row>
    <row r="2309" spans="1:9">
      <c r="A2309" s="8" t="s">
        <v>2321</v>
      </c>
      <c r="B2309">
        <f>HYPERLINK("https://www.suredividend.com/sure-analysis-research-database/","Papa John`s International, Inc.")</f>
        <v>0</v>
      </c>
      <c r="C2309">
        <v>-0.181455615736951</v>
      </c>
      <c r="D2309">
        <v>-0.322402386296957</v>
      </c>
      <c r="E2309">
        <v>-0.324098894398361</v>
      </c>
      <c r="F2309">
        <v>-0.37011672943163</v>
      </c>
      <c r="G2309">
        <v>-0.306286373840797</v>
      </c>
      <c r="H2309">
        <v>-0.433995438244085</v>
      </c>
      <c r="I2309">
        <v>0.03598847628137401</v>
      </c>
    </row>
    <row r="2310" spans="1:9">
      <c r="A2310" s="8" t="s">
        <v>2322</v>
      </c>
      <c r="B2310">
        <f>HYPERLINK("https://www.suredividend.com/sure-analysis-research-database/","QAD, Inc.")</f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</row>
    <row r="2311" spans="1:9">
      <c r="A2311" s="8" t="s">
        <v>2323</v>
      </c>
      <c r="B2311">
        <f>HYPERLINK("https://www.suredividend.com/sure-analysis-research-database/","QAD, Inc.")</f>
        <v>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</row>
    <row r="2312" spans="1:9">
      <c r="A2312" s="8" t="s">
        <v>2324</v>
      </c>
      <c r="B2312">
        <f>HYPERLINK("https://www.suredividend.com/sure-analysis-QCOM/","Qualcomm, Inc.")</f>
        <v>0</v>
      </c>
      <c r="C2312">
        <v>0.156358573014792</v>
      </c>
      <c r="D2312">
        <v>0.185510402908293</v>
      </c>
      <c r="E2312">
        <v>0.582967508638059</v>
      </c>
      <c r="F2312">
        <v>0.455021238718691</v>
      </c>
      <c r="G2312">
        <v>0.8766592885188811</v>
      </c>
      <c r="H2312">
        <v>0.5727389878965621</v>
      </c>
      <c r="I2312">
        <v>2.479394246588722</v>
      </c>
    </row>
    <row r="2313" spans="1:9">
      <c r="A2313" s="8" t="s">
        <v>2325</v>
      </c>
      <c r="B2313">
        <f>HYPERLINK("https://www.suredividend.com/sure-analysis-research-database/","QCR Holding, Inc.")</f>
        <v>0</v>
      </c>
      <c r="C2313">
        <v>-0.033074935400516</v>
      </c>
      <c r="D2313">
        <v>-0.017321610521118</v>
      </c>
      <c r="E2313">
        <v>0.043341518226412</v>
      </c>
      <c r="F2313">
        <v>-0.03768509517711</v>
      </c>
      <c r="G2313">
        <v>0.256432698140533</v>
      </c>
      <c r="H2313">
        <v>0.01729381359219</v>
      </c>
      <c r="I2313">
        <v>0.7339861911308131</v>
      </c>
    </row>
    <row r="2314" spans="1:9">
      <c r="A2314" s="8" t="s">
        <v>2326</v>
      </c>
      <c r="B2314">
        <f>HYPERLINK("https://www.suredividend.com/sure-analysis-research-database/","QuidelOrtho Corporation")</f>
        <v>0</v>
      </c>
      <c r="C2314">
        <v>-0.050364630811303</v>
      </c>
      <c r="D2314">
        <v>-0.06841046277665901</v>
      </c>
      <c r="E2314">
        <v>-0.374981250937453</v>
      </c>
      <c r="F2314">
        <v>-0.434599728629579</v>
      </c>
      <c r="G2314">
        <v>-0.5179315131883381</v>
      </c>
      <c r="H2314">
        <v>-0.5813743218806511</v>
      </c>
      <c r="I2314">
        <v>-0.259989344698987</v>
      </c>
    </row>
    <row r="2315" spans="1:9">
      <c r="A2315" s="8" t="s">
        <v>2327</v>
      </c>
      <c r="B2315">
        <f>HYPERLINK("https://www.suredividend.com/sure-analysis-research-database/","QEP Resources Inc")</f>
        <v>0</v>
      </c>
      <c r="C2315">
        <v>0.182608695652173</v>
      </c>
      <c r="D2315">
        <v>0.7361702127659571</v>
      </c>
      <c r="E2315">
        <v>2.578947368421053</v>
      </c>
      <c r="F2315">
        <v>0.7071129707112971</v>
      </c>
      <c r="G2315">
        <v>6.266251113089938</v>
      </c>
      <c r="H2315">
        <v>-0.4499939337566221</v>
      </c>
      <c r="I2315">
        <v>-0.6848179591962851</v>
      </c>
    </row>
    <row r="2316" spans="1:9">
      <c r="A2316" s="8" t="s">
        <v>2328</v>
      </c>
      <c r="B2316">
        <f>HYPERLINK("https://www.suredividend.com/sure-analysis-research-database/","Qualys Inc")</f>
        <v>0</v>
      </c>
      <c r="C2316">
        <v>-0.180503675141583</v>
      </c>
      <c r="D2316">
        <v>-0.189874925550923</v>
      </c>
      <c r="E2316">
        <v>-0.270787540878142</v>
      </c>
      <c r="F2316">
        <v>-0.307010393315671</v>
      </c>
      <c r="G2316">
        <v>0.07423787711262</v>
      </c>
      <c r="H2316">
        <v>0.017504488330341</v>
      </c>
      <c r="I2316">
        <v>0.583653510303877</v>
      </c>
    </row>
    <row r="2317" spans="1:9">
      <c r="A2317" s="8" t="s">
        <v>2329</v>
      </c>
      <c r="B2317">
        <f>HYPERLINK("https://www.suredividend.com/sure-analysis-research-database/","QuinStreet Inc")</f>
        <v>0</v>
      </c>
      <c r="C2317">
        <v>-0.126608337622233</v>
      </c>
      <c r="D2317">
        <v>0.111329404060248</v>
      </c>
      <c r="E2317">
        <v>0.356514788169464</v>
      </c>
      <c r="F2317">
        <v>0.32371294851794</v>
      </c>
      <c r="G2317">
        <v>0.753099173553718</v>
      </c>
      <c r="H2317">
        <v>0.520609318996415</v>
      </c>
      <c r="I2317">
        <v>0.057980049875311</v>
      </c>
    </row>
    <row r="2318" spans="1:9">
      <c r="A2318" s="8" t="s">
        <v>2330</v>
      </c>
      <c r="B2318">
        <f>HYPERLINK("https://www.suredividend.com/sure-analysis-research-database/","Quest Resource Holding Corp")</f>
        <v>0</v>
      </c>
      <c r="C2318">
        <v>-0.176415094339622</v>
      </c>
      <c r="D2318">
        <v>0.234794908062234</v>
      </c>
      <c r="E2318">
        <v>0.3968</v>
      </c>
      <c r="F2318">
        <v>0.190995907230559</v>
      </c>
      <c r="G2318">
        <v>0.4288052373158751</v>
      </c>
      <c r="H2318">
        <v>0.869379014989293</v>
      </c>
      <c r="I2318">
        <v>2.464285714285714</v>
      </c>
    </row>
    <row r="2319" spans="1:9">
      <c r="A2319" s="8" t="s">
        <v>2331</v>
      </c>
      <c r="B2319">
        <f>HYPERLINK("https://www.suredividend.com/sure-analysis-research-database/","Qurate Retail Inc")</f>
        <v>0</v>
      </c>
      <c r="C2319">
        <v>-0.194833866872723</v>
      </c>
      <c r="D2319">
        <v>-0.421111111111111</v>
      </c>
      <c r="E2319">
        <v>-0.251820699558929</v>
      </c>
      <c r="F2319">
        <v>-0.166876070816676</v>
      </c>
      <c r="G2319">
        <v>-0.305333333333333</v>
      </c>
      <c r="H2319">
        <v>-0.8054933333333331</v>
      </c>
      <c r="I2319">
        <v>-0.9249997429385211</v>
      </c>
    </row>
    <row r="2320" spans="1:9">
      <c r="A2320" s="8" t="s">
        <v>2332</v>
      </c>
      <c r="B2320">
        <f>HYPERLINK("https://www.suredividend.com/sure-analysis-research-database/","Qorvo Inc")</f>
        <v>0</v>
      </c>
      <c r="C2320">
        <v>0.028320413436692</v>
      </c>
      <c r="D2320">
        <v>-0.162471588517552</v>
      </c>
      <c r="E2320">
        <v>-0.008273524720893001</v>
      </c>
      <c r="F2320">
        <v>-0.116508302992629</v>
      </c>
      <c r="G2320">
        <v>0.007391656541109</v>
      </c>
      <c r="H2320">
        <v>-0.108032992648377</v>
      </c>
      <c r="I2320">
        <v>0.545355700528114</v>
      </c>
    </row>
    <row r="2321" spans="1:9">
      <c r="A2321" s="8" t="s">
        <v>2333</v>
      </c>
      <c r="B2321">
        <f>HYPERLINK("https://www.suredividend.com/sure-analysis-research-database/","Quanterix Corp")</f>
        <v>0</v>
      </c>
      <c r="C2321">
        <v>-0.02073732718894</v>
      </c>
      <c r="D2321">
        <v>-0.393939393939393</v>
      </c>
      <c r="E2321">
        <v>-0.252747252747252</v>
      </c>
      <c r="F2321">
        <v>-0.378200438917337</v>
      </c>
      <c r="G2321">
        <v>-0.24478009773434</v>
      </c>
      <c r="H2321">
        <v>-0.019607843137254</v>
      </c>
      <c r="I2321">
        <v>-0.423728813559322</v>
      </c>
    </row>
    <row r="2322" spans="1:9">
      <c r="A2322" s="8" t="s">
        <v>2334</v>
      </c>
      <c r="B2322">
        <f>HYPERLINK("https://www.suredividend.com/sure-analysis-research-database/","Qts Realty Trust Inc")</f>
        <v>0</v>
      </c>
      <c r="C2322">
        <v>0.003088405610603</v>
      </c>
      <c r="D2322">
        <v>0.237832086767344</v>
      </c>
      <c r="E2322">
        <v>0.273106183098637</v>
      </c>
      <c r="F2322">
        <v>0.278042750079109</v>
      </c>
      <c r="G2322">
        <v>0.195862117634785</v>
      </c>
      <c r="H2322">
        <v>0.6937183582121981</v>
      </c>
      <c r="I2322">
        <v>0.709017561553134</v>
      </c>
    </row>
    <row r="2323" spans="1:9">
      <c r="A2323" s="8" t="s">
        <v>2335</v>
      </c>
      <c r="B2323">
        <f>HYPERLINK("https://www.suredividend.com/sure-analysis-research-database/","Q2 Holdings Inc")</f>
        <v>0</v>
      </c>
      <c r="C2323">
        <v>-0.019091930049735</v>
      </c>
      <c r="D2323">
        <v>0.289329396878954</v>
      </c>
      <c r="E2323">
        <v>0.6234731810939991</v>
      </c>
      <c r="F2323">
        <v>0.4084312370421561</v>
      </c>
      <c r="G2323">
        <v>1.143758765778401</v>
      </c>
      <c r="H2323">
        <v>0.321374540739139</v>
      </c>
      <c r="I2323">
        <v>-0.109654871122761</v>
      </c>
    </row>
    <row r="2324" spans="1:9">
      <c r="A2324" s="8" t="s">
        <v>2336</v>
      </c>
      <c r="B2324">
        <f>HYPERLINK("https://www.suredividend.com/sure-analysis-research-database/","Quad/Graphics Inc")</f>
        <v>0</v>
      </c>
      <c r="C2324">
        <v>0.151433691756272</v>
      </c>
      <c r="D2324">
        <v>-0.027528143032825</v>
      </c>
      <c r="E2324">
        <v>0.07199466088262201</v>
      </c>
      <c r="F2324">
        <v>-0.032834697525637</v>
      </c>
      <c r="G2324">
        <v>0.390466915544013</v>
      </c>
      <c r="H2324">
        <v>0.497756279503467</v>
      </c>
      <c r="I2324">
        <v>-0.358125827318364</v>
      </c>
    </row>
    <row r="2325" spans="1:9">
      <c r="A2325" s="8" t="s">
        <v>2337</v>
      </c>
      <c r="B2325">
        <f>HYPERLINK("https://www.suredividend.com/sure-analysis-research-database/","Quicklogic Corp")</f>
        <v>0</v>
      </c>
      <c r="C2325">
        <v>-0.101872659176029</v>
      </c>
      <c r="D2325">
        <v>-0.293042452830188</v>
      </c>
      <c r="E2325">
        <v>0.06106194690265401</v>
      </c>
      <c r="F2325">
        <v>-0.134920634920634</v>
      </c>
      <c r="G2325">
        <v>0.9720394736842101</v>
      </c>
      <c r="H2325">
        <v>0.527388535031847</v>
      </c>
      <c r="I2325">
        <v>0.189318943797488</v>
      </c>
    </row>
    <row r="2326" spans="1:9">
      <c r="A2326" s="8" t="s">
        <v>2338</v>
      </c>
      <c r="B2326">
        <f>HYPERLINK("https://www.suredividend.com/sure-analysis-research-database/","Qumu Corp")</f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</row>
    <row r="2327" spans="1:9">
      <c r="A2327" s="8" t="s">
        <v>2339</v>
      </c>
      <c r="B2327">
        <f>HYPERLINK("https://www.suredividend.com/sure-analysis-research-database/","Quotient Technology Inc")</f>
        <v>0</v>
      </c>
      <c r="C2327">
        <v>0.007575757575757001</v>
      </c>
      <c r="D2327">
        <v>0.321192052980132</v>
      </c>
      <c r="E2327">
        <v>0.209090909090909</v>
      </c>
      <c r="F2327">
        <v>0.163265306122448</v>
      </c>
      <c r="G2327">
        <v>1.293103448275862</v>
      </c>
      <c r="H2327">
        <v>-0.424242424242424</v>
      </c>
      <c r="I2327">
        <v>-0.7366336633663361</v>
      </c>
    </row>
    <row r="2328" spans="1:9">
      <c r="A2328" s="8" t="s">
        <v>2340</v>
      </c>
      <c r="B2328">
        <f>HYPERLINK("https://www.suredividend.com/sure-analysis-R/","Ryder System, Inc.")</f>
        <v>0</v>
      </c>
      <c r="C2328">
        <v>-0.035776967949916</v>
      </c>
      <c r="D2328">
        <v>0.04142469324993801</v>
      </c>
      <c r="E2328">
        <v>0.145458445551397</v>
      </c>
      <c r="F2328">
        <v>0.05705548243607501</v>
      </c>
      <c r="G2328">
        <v>0.46714940746213</v>
      </c>
      <c r="H2328">
        <v>0.539320905169376</v>
      </c>
      <c r="I2328">
        <v>1.695596183314002</v>
      </c>
    </row>
    <row r="2329" spans="1:9">
      <c r="A2329" s="8" t="s">
        <v>2341</v>
      </c>
      <c r="B2329">
        <f>HYPERLINK("https://www.suredividend.com/sure-analysis-research-database/","Rite Aid Corp.")</f>
        <v>0</v>
      </c>
      <c r="C2329">
        <v>-0.029200359389038</v>
      </c>
      <c r="D2329">
        <v>-0.579025974025974</v>
      </c>
      <c r="E2329">
        <v>-0.73538775510204</v>
      </c>
      <c r="F2329">
        <v>-0.8058982035928141</v>
      </c>
      <c r="G2329">
        <v>-0.832046632124352</v>
      </c>
      <c r="H2329">
        <v>-0.9531913357400721</v>
      </c>
      <c r="I2329">
        <v>-0.9699861111111111</v>
      </c>
    </row>
    <row r="2330" spans="1:9">
      <c r="A2330" s="8" t="s">
        <v>2342</v>
      </c>
      <c r="B2330">
        <f>HYPERLINK("https://www.suredividend.com/sure-analysis-research-database/","FreightCar America Inc")</f>
        <v>0</v>
      </c>
      <c r="C2330">
        <v>-0.076115485564304</v>
      </c>
      <c r="D2330">
        <v>0.142857142857142</v>
      </c>
      <c r="E2330">
        <v>0.491525423728813</v>
      </c>
      <c r="F2330">
        <v>0.303703703703703</v>
      </c>
      <c r="G2330">
        <v>0.257142857142857</v>
      </c>
      <c r="H2330">
        <v>-0.301587301587301</v>
      </c>
      <c r="I2330">
        <v>-0.428571428571428</v>
      </c>
    </row>
    <row r="2331" spans="1:9">
      <c r="A2331" s="8" t="s">
        <v>2343</v>
      </c>
      <c r="B2331">
        <f>HYPERLINK("https://www.suredividend.com/sure-analysis-research-database/","LiveRamp Holdings Inc")</f>
        <v>0</v>
      </c>
      <c r="C2331">
        <v>-0.06443842216199901</v>
      </c>
      <c r="D2331">
        <v>-0.09284671532846701</v>
      </c>
      <c r="E2331">
        <v>-0.108464849354375</v>
      </c>
      <c r="F2331">
        <v>-0.179778247096093</v>
      </c>
      <c r="G2331">
        <v>0.229521171349426</v>
      </c>
      <c r="H2331">
        <v>0.158032053671263</v>
      </c>
      <c r="I2331">
        <v>-0.406154434250764</v>
      </c>
    </row>
    <row r="2332" spans="1:9">
      <c r="A2332" s="8" t="s">
        <v>2344</v>
      </c>
      <c r="B2332">
        <f>HYPERLINK("https://www.suredividend.com/sure-analysis-research-database/","Ultragenyx Pharmaceutical Inc.")</f>
        <v>0</v>
      </c>
      <c r="C2332">
        <v>-0.013346043851287</v>
      </c>
      <c r="D2332">
        <v>-0.185840707964601</v>
      </c>
      <c r="E2332">
        <v>-0.000482858522453</v>
      </c>
      <c r="F2332">
        <v>-0.134253450439146</v>
      </c>
      <c r="G2332">
        <v>-0.201080663836356</v>
      </c>
      <c r="H2332">
        <v>-0.222243095998497</v>
      </c>
      <c r="I2332">
        <v>-0.309309309309309</v>
      </c>
    </row>
    <row r="2333" spans="1:9">
      <c r="A2333" s="8" t="s">
        <v>2345</v>
      </c>
      <c r="B2333">
        <f>HYPERLINK("https://www.suredividend.com/sure-analysis-research-database/","Rave Restaurant Group Inc")</f>
        <v>0</v>
      </c>
      <c r="C2333">
        <v>0.032967032967032</v>
      </c>
      <c r="D2333">
        <v>0.032967032967032</v>
      </c>
      <c r="E2333">
        <v>-0.149321266968325</v>
      </c>
      <c r="F2333">
        <v>-0.156950672645739</v>
      </c>
      <c r="G2333">
        <v>0.005347593582887</v>
      </c>
      <c r="H2333">
        <v>1</v>
      </c>
      <c r="I2333">
        <v>-0.360544217687074</v>
      </c>
    </row>
    <row r="2334" spans="1:9">
      <c r="A2334" s="8" t="s">
        <v>2346</v>
      </c>
      <c r="B2334">
        <f>HYPERLINK("https://www.suredividend.com/sure-analysis-research-database/","Raven Industries, Inc.")</f>
        <v>0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</row>
    <row r="2335" spans="1:9">
      <c r="A2335" s="8" t="s">
        <v>2347</v>
      </c>
      <c r="B2335">
        <f>HYPERLINK("https://www.suredividend.com/sure-analysis-research-database/","RBB Bancorp")</f>
        <v>0</v>
      </c>
      <c r="C2335">
        <v>-0.051948051948051</v>
      </c>
      <c r="D2335">
        <v>-6.278144637000001E-05</v>
      </c>
      <c r="E2335">
        <v>0.04979327700880801</v>
      </c>
      <c r="F2335">
        <v>-0.05552051493539</v>
      </c>
      <c r="G2335">
        <v>0.474598525401474</v>
      </c>
      <c r="H2335">
        <v>-0.078195536193452</v>
      </c>
      <c r="I2335">
        <v>0.109443568456847</v>
      </c>
    </row>
    <row r="2336" spans="1:9">
      <c r="A2336" s="8" t="s">
        <v>2348</v>
      </c>
      <c r="B2336">
        <f>HYPERLINK("https://www.suredividend.com/sure-analysis-research-database/","Ribbon Communications Inc")</f>
        <v>0</v>
      </c>
      <c r="C2336">
        <v>-0.048231511254019</v>
      </c>
      <c r="D2336">
        <v>0.006802721088435001</v>
      </c>
      <c r="E2336">
        <v>0.357798165137614</v>
      </c>
      <c r="F2336">
        <v>0.020689655172413</v>
      </c>
      <c r="G2336">
        <v>0.049645390070921</v>
      </c>
      <c r="H2336">
        <v>-0.006711409395973001</v>
      </c>
      <c r="I2336">
        <v>-0.314814814814814</v>
      </c>
    </row>
    <row r="2337" spans="1:9">
      <c r="A2337" s="8" t="s">
        <v>2349</v>
      </c>
      <c r="B2337">
        <f>HYPERLINK("https://www.suredividend.com/sure-analysis-research-database/","RBC Bearings Inc.")</f>
        <v>0</v>
      </c>
      <c r="C2337">
        <v>0.07027605719966301</v>
      </c>
      <c r="D2337">
        <v>0.035628399126863</v>
      </c>
      <c r="E2337">
        <v>0.0807722007722</v>
      </c>
      <c r="F2337">
        <v>-0.017445329776404</v>
      </c>
      <c r="G2337">
        <v>0.283918906522337</v>
      </c>
      <c r="H2337">
        <v>0.421635347892331</v>
      </c>
      <c r="I2337">
        <v>0.875762246197145</v>
      </c>
    </row>
    <row r="2338" spans="1:9">
      <c r="A2338" s="8" t="s">
        <v>2350</v>
      </c>
      <c r="B2338">
        <f>HYPERLINK("https://www.suredividend.com/sure-analysis-RBCAA/","Republic Bancorp, Inc. (KY)")</f>
        <v>0</v>
      </c>
      <c r="C2338">
        <v>-0.054868913857677</v>
      </c>
      <c r="D2338">
        <v>0.042135562282415</v>
      </c>
      <c r="E2338">
        <v>0.05402972668739701</v>
      </c>
      <c r="F2338">
        <v>-0.06971000094005901</v>
      </c>
      <c r="G2338">
        <v>0.131010805892819</v>
      </c>
      <c r="H2338">
        <v>0.186616415134708</v>
      </c>
      <c r="I2338">
        <v>0.301850242081722</v>
      </c>
    </row>
    <row r="2339" spans="1:9">
      <c r="A2339" s="8" t="s">
        <v>2351</v>
      </c>
      <c r="B2339">
        <f>HYPERLINK("https://www.suredividend.com/sure-analysis-research-database/","Rubicon Technology Inc")</f>
        <v>0</v>
      </c>
      <c r="C2339">
        <v>-0.109146341463414</v>
      </c>
      <c r="D2339">
        <v>0.000684931506849</v>
      </c>
      <c r="E2339">
        <v>-0.08687500000000001</v>
      </c>
      <c r="F2339">
        <v>-0.063461538461538</v>
      </c>
      <c r="G2339">
        <v>0.401304431229618</v>
      </c>
      <c r="H2339">
        <v>0.119540229885057</v>
      </c>
      <c r="I2339">
        <v>0.119540229885057</v>
      </c>
    </row>
    <row r="2340" spans="1:9">
      <c r="A2340" s="8" t="s">
        <v>2352</v>
      </c>
      <c r="B2340">
        <f>HYPERLINK("https://www.suredividend.com/sure-analysis-research-database/","Reliant Bancorp Inc")</f>
        <v>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</row>
    <row r="2341" spans="1:9">
      <c r="A2341" s="8" t="s">
        <v>2353</v>
      </c>
      <c r="B2341">
        <f>HYPERLINK("https://www.suredividend.com/sure-analysis-research-database/","Ready Capital Corp")</f>
        <v>0</v>
      </c>
      <c r="C2341">
        <v>-0.04147465437788</v>
      </c>
      <c r="D2341">
        <v>-0.011946892145452</v>
      </c>
      <c r="E2341">
        <v>-0.154969631721139</v>
      </c>
      <c r="F2341">
        <v>-0.160401634794893</v>
      </c>
      <c r="G2341">
        <v>-0.163104159332092</v>
      </c>
      <c r="H2341">
        <v>-0.211912249460084</v>
      </c>
      <c r="I2341">
        <v>0.07375621087952501</v>
      </c>
    </row>
    <row r="2342" spans="1:9">
      <c r="A2342" s="8" t="s">
        <v>2354</v>
      </c>
      <c r="B2342">
        <f>HYPERLINK("https://www.suredividend.com/sure-analysis-research-database/","Rocket Pharmaceuticals Inc")</f>
        <v>0</v>
      </c>
      <c r="C2342">
        <v>-0.029109589041095</v>
      </c>
      <c r="D2342">
        <v>-0.175872093023255</v>
      </c>
      <c r="E2342">
        <v>-0.13764258555133</v>
      </c>
      <c r="F2342">
        <v>-0.243243243243243</v>
      </c>
      <c r="G2342">
        <v>-0.022834984920293</v>
      </c>
      <c r="H2342">
        <v>0.667647058823529</v>
      </c>
      <c r="I2342">
        <v>0.426415094339622</v>
      </c>
    </row>
    <row r="2343" spans="1:9">
      <c r="A2343" s="8" t="s">
        <v>2355</v>
      </c>
      <c r="B2343">
        <f>HYPERLINK("https://www.suredividend.com/sure-analysis-research-database/","Rocky Brands, Inc")</f>
        <v>0</v>
      </c>
      <c r="C2343">
        <v>0.102682549359846</v>
      </c>
      <c r="D2343">
        <v>0.484779236771374</v>
      </c>
      <c r="E2343">
        <v>0.302884215775912</v>
      </c>
      <c r="F2343">
        <v>0.270937358531361</v>
      </c>
      <c r="G2343">
        <v>0.85543214504133</v>
      </c>
      <c r="H2343">
        <v>0.08155039472851901</v>
      </c>
      <c r="I2343">
        <v>0.6978143235595421</v>
      </c>
    </row>
    <row r="2344" spans="1:9">
      <c r="A2344" s="8" t="s">
        <v>2356</v>
      </c>
      <c r="B2344">
        <f>HYPERLINK("https://www.suredividend.com/sure-analysis-research-database/","Royal Caribbean Group")</f>
        <v>0</v>
      </c>
      <c r="C2344">
        <v>0.091673140758528</v>
      </c>
      <c r="D2344">
        <v>0.243023723361479</v>
      </c>
      <c r="E2344">
        <v>0.293581052807766</v>
      </c>
      <c r="F2344">
        <v>0.19368290987721</v>
      </c>
      <c r="G2344">
        <v>0.6983847928799031</v>
      </c>
      <c r="H2344">
        <v>1.724180472329926</v>
      </c>
      <c r="I2344">
        <v>0.307401276697604</v>
      </c>
    </row>
    <row r="2345" spans="1:9">
      <c r="A2345" s="8" t="s">
        <v>2357</v>
      </c>
      <c r="B2345">
        <f>HYPERLINK("https://www.suredividend.com/sure-analysis-research-database/","R1 RCM Inc.")</f>
        <v>0</v>
      </c>
      <c r="C2345">
        <v>0.030522088353413</v>
      </c>
      <c r="D2345">
        <v>-0.09584214235377</v>
      </c>
      <c r="E2345">
        <v>0.233653846153846</v>
      </c>
      <c r="F2345">
        <v>0.213812677388836</v>
      </c>
      <c r="G2345">
        <v>-0.243514150943396</v>
      </c>
      <c r="H2345">
        <v>-0.3726161369193151</v>
      </c>
      <c r="I2345">
        <v>-0.3726161369193151</v>
      </c>
    </row>
    <row r="2346" spans="1:9">
      <c r="A2346" s="8" t="s">
        <v>2358</v>
      </c>
      <c r="B2346">
        <f>HYPERLINK("https://www.suredividend.com/sure-analysis-research-database/","RCM Technologies, Inc.")</f>
        <v>0</v>
      </c>
      <c r="C2346">
        <v>0.026645768025078</v>
      </c>
      <c r="D2346">
        <v>-0.285714285714285</v>
      </c>
      <c r="E2346">
        <v>-0.266517357222844</v>
      </c>
      <c r="F2346">
        <v>-0.323347107438016</v>
      </c>
      <c r="G2346">
        <v>0.137811233352634</v>
      </c>
      <c r="H2346">
        <v>-0.269788182831661</v>
      </c>
      <c r="I2346">
        <v>5.06500200623476</v>
      </c>
    </row>
    <row r="2347" spans="1:9">
      <c r="A2347" s="8" t="s">
        <v>2359</v>
      </c>
      <c r="B2347">
        <f>HYPERLINK("https://www.suredividend.com/sure-analysis-research-database/","Arcus Biosciences Inc")</f>
        <v>0</v>
      </c>
      <c r="C2347">
        <v>-0.003856041131105</v>
      </c>
      <c r="D2347">
        <v>-0.135044642857142</v>
      </c>
      <c r="E2347">
        <v>-0.008951406649616</v>
      </c>
      <c r="F2347">
        <v>-0.18848167539267</v>
      </c>
      <c r="G2347">
        <v>-0.246841593780369</v>
      </c>
      <c r="H2347">
        <v>-0.33160845191893</v>
      </c>
      <c r="I2347">
        <v>0.923076923076922</v>
      </c>
    </row>
    <row r="2348" spans="1:9">
      <c r="A2348" s="8" t="s">
        <v>2360</v>
      </c>
      <c r="B2348">
        <f>HYPERLINK("https://www.suredividend.com/sure-analysis-research-database/","Redfin Corp")</f>
        <v>0</v>
      </c>
      <c r="C2348">
        <v>0.012558869701726</v>
      </c>
      <c r="D2348">
        <v>-0.004629629629629001</v>
      </c>
      <c r="E2348">
        <v>-0.18560606060606</v>
      </c>
      <c r="F2348">
        <v>-0.375</v>
      </c>
      <c r="G2348">
        <v>-0.3804034582132561</v>
      </c>
      <c r="H2348">
        <v>-0.4087992667277721</v>
      </c>
      <c r="I2348">
        <v>-0.617210682492581</v>
      </c>
    </row>
    <row r="2349" spans="1:9">
      <c r="A2349" s="8" t="s">
        <v>2361</v>
      </c>
      <c r="B2349">
        <f>HYPERLINK("https://www.suredividend.com/sure-analysis-research-database/","Reading International Inc")</f>
        <v>0</v>
      </c>
      <c r="C2349">
        <v>-0.122807017543859</v>
      </c>
      <c r="D2349">
        <v>-0.171270718232044</v>
      </c>
      <c r="E2349">
        <v>-0.206349206349206</v>
      </c>
      <c r="F2349">
        <v>-0.214659685863874</v>
      </c>
      <c r="G2349">
        <v>-0.491525423728813</v>
      </c>
      <c r="H2349">
        <v>-0.5901639344262291</v>
      </c>
      <c r="I2349">
        <v>-0.8857578065498851</v>
      </c>
    </row>
    <row r="2350" spans="1:9">
      <c r="A2350" s="8" t="s">
        <v>2362</v>
      </c>
      <c r="B2350">
        <f>HYPERLINK("https://www.suredividend.com/sure-analysis-research-database/","Radian Group, Inc.")</f>
        <v>0</v>
      </c>
      <c r="C2350">
        <v>-0.010490148090562</v>
      </c>
      <c r="D2350">
        <v>0.052312842775683</v>
      </c>
      <c r="E2350">
        <v>0.236734987644645</v>
      </c>
      <c r="F2350">
        <v>0.101582032780346</v>
      </c>
      <c r="G2350">
        <v>0.2012956748695</v>
      </c>
      <c r="H2350">
        <v>0.5254864245024781</v>
      </c>
      <c r="I2350">
        <v>0.5354752874362081</v>
      </c>
    </row>
    <row r="2351" spans="1:9">
      <c r="A2351" s="8" t="s">
        <v>2363</v>
      </c>
      <c r="B2351">
        <f>HYPERLINK("https://www.suredividend.com/sure-analysis-research-database/","Radnet Inc")</f>
        <v>0</v>
      </c>
      <c r="C2351">
        <v>0.167333714503525</v>
      </c>
      <c r="D2351">
        <v>0.261845900288421</v>
      </c>
      <c r="E2351">
        <v>0.7004441976679621</v>
      </c>
      <c r="F2351">
        <v>0.761576071325855</v>
      </c>
      <c r="G2351">
        <v>0.992517891997397</v>
      </c>
      <c r="H2351">
        <v>2.077889447236181</v>
      </c>
      <c r="I2351">
        <v>3.796397807361002</v>
      </c>
    </row>
    <row r="2352" spans="1:9">
      <c r="A2352" s="8" t="s">
        <v>2364</v>
      </c>
      <c r="B2352">
        <f>HYPERLINK("https://www.suredividend.com/sure-analysis-research-database/","Radius Recycling Inc.")</f>
        <v>0</v>
      </c>
      <c r="C2352">
        <v>-0.128219178082191</v>
      </c>
      <c r="D2352">
        <v>-0.173003851691677</v>
      </c>
      <c r="E2352">
        <v>-0.371397189264364</v>
      </c>
      <c r="F2352">
        <v>-0.453930771738943</v>
      </c>
      <c r="G2352">
        <v>-0.4935040541960211</v>
      </c>
      <c r="H2352">
        <v>-0.6261748120300751</v>
      </c>
      <c r="I2352">
        <v>-0.186821499396888</v>
      </c>
    </row>
    <row r="2353" spans="1:9">
      <c r="A2353" s="8" t="s">
        <v>2365</v>
      </c>
      <c r="B2353">
        <f>HYPERLINK("https://www.suredividend.com/sure-analysis-research-database/","Red Violet Inc")</f>
        <v>0</v>
      </c>
      <c r="C2353">
        <v>0.167036625971143</v>
      </c>
      <c r="D2353">
        <v>0.164451827242525</v>
      </c>
      <c r="E2353">
        <v>0.041089108910891</v>
      </c>
      <c r="F2353">
        <v>0.05307961942914301</v>
      </c>
      <c r="G2353">
        <v>-0.06366874443455001</v>
      </c>
      <c r="H2353">
        <v>-0.139877300613496</v>
      </c>
      <c r="I2353">
        <v>0.7568922305764411</v>
      </c>
    </row>
    <row r="2354" spans="1:9">
      <c r="A2354" s="8" t="s">
        <v>2366</v>
      </c>
      <c r="B2354">
        <f>HYPERLINK("https://www.suredividend.com/sure-analysis-research-database/","Reeds Inc")</f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</row>
    <row r="2355" spans="1:9">
      <c r="A2355" s="8" t="s">
        <v>2367</v>
      </c>
      <c r="B2355">
        <f>HYPERLINK("https://www.suredividend.com/sure-analysis-research-database/","Research Frontiers Inc.")</f>
        <v>0</v>
      </c>
      <c r="C2355">
        <v>0.04938271604938201</v>
      </c>
      <c r="D2355">
        <v>0.5044247787610621</v>
      </c>
      <c r="E2355">
        <v>0.683168316831683</v>
      </c>
      <c r="F2355">
        <v>0.683168316831683</v>
      </c>
      <c r="G2355">
        <v>-0.03409090909090901</v>
      </c>
      <c r="H2355">
        <v>-0.14572864321608</v>
      </c>
      <c r="I2355">
        <v>-0.423670203749533</v>
      </c>
    </row>
    <row r="2356" spans="1:9">
      <c r="A2356" s="8" t="s">
        <v>2368</v>
      </c>
      <c r="B2356">
        <f>HYPERLINK("https://www.suredividend.com/sure-analysis-REG/","Regency Centers Corporation")</f>
        <v>0</v>
      </c>
      <c r="C2356">
        <v>0.030282637954239</v>
      </c>
      <c r="D2356">
        <v>0.007807048724936001</v>
      </c>
      <c r="E2356">
        <v>-0.003913429602183</v>
      </c>
      <c r="F2356">
        <v>-0.07597690847584401</v>
      </c>
      <c r="G2356">
        <v>0.08240908488356601</v>
      </c>
      <c r="H2356">
        <v>0.03670975004866901</v>
      </c>
      <c r="I2356">
        <v>0.144880473655971</v>
      </c>
    </row>
    <row r="2357" spans="1:9">
      <c r="A2357" s="8" t="s">
        <v>2369</v>
      </c>
      <c r="B2357">
        <f>HYPERLINK("https://www.suredividend.com/sure-analysis-research-database/","Renewable Energy Group Inc")</f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</row>
    <row r="2358" spans="1:9">
      <c r="A2358" s="8" t="s">
        <v>2370</v>
      </c>
      <c r="B2358">
        <f>HYPERLINK("https://www.suredividend.com/sure-analysis-research-database/","Regeneron Pharmaceuticals, Inc.")</f>
        <v>0</v>
      </c>
      <c r="C2358">
        <v>0.034001051578914</v>
      </c>
      <c r="D2358">
        <v>0.030452784827033</v>
      </c>
      <c r="E2358">
        <v>0.18108057184578</v>
      </c>
      <c r="F2358">
        <v>0.141934896218788</v>
      </c>
      <c r="G2358">
        <v>0.357851698414632</v>
      </c>
      <c r="H2358">
        <v>0.6335222645688781</v>
      </c>
      <c r="I2358">
        <v>2.269920448617631</v>
      </c>
    </row>
    <row r="2359" spans="1:9">
      <c r="A2359" s="8" t="s">
        <v>2371</v>
      </c>
      <c r="B2359">
        <f>HYPERLINK("https://www.suredividend.com/sure-analysis-research-database/","Ring Energy Inc")</f>
        <v>0</v>
      </c>
      <c r="C2359">
        <v>-0.089385474860335</v>
      </c>
      <c r="D2359">
        <v>0.124137931034482</v>
      </c>
      <c r="E2359">
        <v>0.07947019867549601</v>
      </c>
      <c r="F2359">
        <v>0.116438356164383</v>
      </c>
      <c r="G2359">
        <v>-0.151041666666666</v>
      </c>
      <c r="H2359">
        <v>-0.658995815899581</v>
      </c>
      <c r="I2359">
        <v>-0.573298429319371</v>
      </c>
    </row>
    <row r="2360" spans="1:9">
      <c r="A2360" s="8" t="s">
        <v>2372</v>
      </c>
      <c r="B2360">
        <f>HYPERLINK("https://www.suredividend.com/sure-analysis-research-database/","Richardson Electronics, Ltd.")</f>
        <v>0</v>
      </c>
      <c r="C2360">
        <v>0.01303826508936</v>
      </c>
      <c r="D2360">
        <v>0.274922173902711</v>
      </c>
      <c r="E2360">
        <v>-0.209838359291579</v>
      </c>
      <c r="F2360">
        <v>-0.176692652384752</v>
      </c>
      <c r="G2360">
        <v>-0.393188784454774</v>
      </c>
      <c r="H2360">
        <v>-0.250022715994156</v>
      </c>
      <c r="I2360">
        <v>1.452739616430841</v>
      </c>
    </row>
    <row r="2361" spans="1:9">
      <c r="A2361" s="8" t="s">
        <v>2373</v>
      </c>
      <c r="B2361">
        <f>HYPERLINK("https://www.suredividend.com/sure-analysis-research-database/","Reliv` International, Inc.")</f>
        <v>0</v>
      </c>
      <c r="C2361">
        <v>0.010101010101009</v>
      </c>
      <c r="D2361">
        <v>0.5</v>
      </c>
      <c r="E2361">
        <v>0.382488479262672</v>
      </c>
      <c r="F2361">
        <v>0.621621621621621</v>
      </c>
      <c r="G2361">
        <v>0.568627450980392</v>
      </c>
      <c r="H2361">
        <v>0.511335012594458</v>
      </c>
      <c r="I2361">
        <v>1.334630350194553</v>
      </c>
    </row>
    <row r="2362" spans="1:9">
      <c r="A2362" s="8" t="s">
        <v>2374</v>
      </c>
      <c r="B2362">
        <f>HYPERLINK("https://www.suredividend.com/sure-analysis-research-database/","Replimune Group Inc")</f>
        <v>0</v>
      </c>
      <c r="C2362">
        <v>0.148255813953488</v>
      </c>
      <c r="D2362">
        <v>-0.106334841628959</v>
      </c>
      <c r="E2362">
        <v>0.039473684210526</v>
      </c>
      <c r="F2362">
        <v>-0.062870699881375</v>
      </c>
      <c r="G2362">
        <v>-0.6542669584245071</v>
      </c>
      <c r="H2362">
        <v>-0.5314353499406881</v>
      </c>
      <c r="I2362">
        <v>-0.3894899536321481</v>
      </c>
    </row>
    <row r="2363" spans="1:9">
      <c r="A2363" s="8" t="s">
        <v>2375</v>
      </c>
      <c r="B2363">
        <f>HYPERLINK("https://www.suredividend.com/sure-analysis-research-database/","RPC, Inc.")</f>
        <v>0</v>
      </c>
      <c r="C2363">
        <v>-0.045815642706037</v>
      </c>
      <c r="D2363">
        <v>-0.13832260133059</v>
      </c>
      <c r="E2363">
        <v>-0.06108070338884301</v>
      </c>
      <c r="F2363">
        <v>-0.103643792212123</v>
      </c>
      <c r="G2363">
        <v>-0.131336529655766</v>
      </c>
      <c r="H2363">
        <v>-0.300115019857201</v>
      </c>
      <c r="I2363">
        <v>-0.111435616966757</v>
      </c>
    </row>
    <row r="2364" spans="1:9">
      <c r="A2364" s="8" t="s">
        <v>2376</v>
      </c>
      <c r="B2364">
        <f>HYPERLINK("https://www.suredividend.com/sure-analysis-research-database/","Strategic Trust")</f>
        <v>0</v>
      </c>
      <c r="C2364">
        <v>0.06422742827059701</v>
      </c>
      <c r="D2364">
        <v>-0.081771124128206</v>
      </c>
      <c r="E2364">
        <v>-0.034478641153467</v>
      </c>
      <c r="F2364">
        <v>-0.010170459761907</v>
      </c>
      <c r="G2364">
        <v>-0.05592527729130101</v>
      </c>
      <c r="H2364">
        <v>-0.284018210930985</v>
      </c>
      <c r="I2364">
        <v>-0.284018210930985</v>
      </c>
    </row>
    <row r="2365" spans="1:9">
      <c r="A2365" s="8" t="s">
        <v>2377</v>
      </c>
      <c r="B2365">
        <f>HYPERLINK("https://www.suredividend.com/sure-analysis-research-database/","Resonant Inc")</f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</row>
    <row r="2366" spans="1:9">
      <c r="A2366" s="8" t="s">
        <v>2378</v>
      </c>
      <c r="B2366">
        <f>HYPERLINK("https://www.suredividend.com/sure-analysis-research-database/","Reata Pharmaceuticals Inc")</f>
        <v>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</row>
    <row r="2367" spans="1:9">
      <c r="A2367" s="8" t="s">
        <v>2379</v>
      </c>
      <c r="B2367">
        <f>HYPERLINK("https://www.suredividend.com/sure-analysis-research-database/","Revlon, Inc.")</f>
        <v>0</v>
      </c>
      <c r="C2367">
        <v>-0.4009370199692781</v>
      </c>
      <c r="D2367">
        <v>-0.281786372007366</v>
      </c>
      <c r="E2367">
        <v>-0.444458689458689</v>
      </c>
      <c r="F2367">
        <v>-0.6560934744268071</v>
      </c>
      <c r="G2367">
        <v>-0.6217361784675071</v>
      </c>
      <c r="H2367">
        <v>-0.283106617647058</v>
      </c>
      <c r="I2367">
        <v>-0.824723595505618</v>
      </c>
    </row>
    <row r="2368" spans="1:9">
      <c r="A2368" s="8" t="s">
        <v>2380</v>
      </c>
      <c r="B2368">
        <f>HYPERLINK("https://www.suredividend.com/sure-analysis-research-database/","REV Group Inc")</f>
        <v>0</v>
      </c>
      <c r="C2368">
        <v>0.111294993793959</v>
      </c>
      <c r="D2368">
        <v>0.3887739907346121</v>
      </c>
      <c r="E2368">
        <v>0.9401906963305401</v>
      </c>
      <c r="F2368">
        <v>0.750658289230127</v>
      </c>
      <c r="G2368">
        <v>1.731284700331496</v>
      </c>
      <c r="H2368">
        <v>2.212611233374796</v>
      </c>
      <c r="I2368">
        <v>1.771443606384844</v>
      </c>
    </row>
    <row r="2369" spans="1:9">
      <c r="A2369" s="8" t="s">
        <v>2381</v>
      </c>
      <c r="B2369">
        <f>HYPERLINK("https://www.suredividend.com/sure-analysis-research-database/","REX American Resources Corp")</f>
        <v>0</v>
      </c>
      <c r="C2369">
        <v>-0.188508939420239</v>
      </c>
      <c r="D2369">
        <v>0.06057168784029</v>
      </c>
      <c r="E2369">
        <v>0.134433389953894</v>
      </c>
      <c r="F2369">
        <v>-0.011627906976744</v>
      </c>
      <c r="G2369">
        <v>0.3315294787809741</v>
      </c>
      <c r="H2369">
        <v>0.4763142354586991</v>
      </c>
      <c r="I2369">
        <v>0.9857029388403491</v>
      </c>
    </row>
    <row r="2370" spans="1:9">
      <c r="A2370" s="8" t="s">
        <v>2382</v>
      </c>
      <c r="B2370">
        <f>HYPERLINK("https://www.suredividend.com/sure-analysis-REXR/","Rexford Industrial Realty Inc")</f>
        <v>0</v>
      </c>
      <c r="C2370">
        <v>-0.021729490022173</v>
      </c>
      <c r="D2370">
        <v>-0.150285132108321</v>
      </c>
      <c r="E2370">
        <v>-0.141465540894222</v>
      </c>
      <c r="F2370">
        <v>-0.206781550299794</v>
      </c>
      <c r="G2370">
        <v>-0.163167218612132</v>
      </c>
      <c r="H2370">
        <v>-0.295565511449455</v>
      </c>
      <c r="I2370">
        <v>0.243787405947739</v>
      </c>
    </row>
    <row r="2371" spans="1:9">
      <c r="A2371" s="8" t="s">
        <v>2383</v>
      </c>
      <c r="B2371">
        <f>HYPERLINK("https://www.suredividend.com/sure-analysis-research-database/","Resideo Technologies Inc")</f>
        <v>0</v>
      </c>
      <c r="C2371">
        <v>-0.014882381180988</v>
      </c>
      <c r="D2371">
        <v>-0.107826086956521</v>
      </c>
      <c r="E2371">
        <v>0.190946024376088</v>
      </c>
      <c r="F2371">
        <v>0.09032943676939401</v>
      </c>
      <c r="G2371">
        <v>0.161290322580645</v>
      </c>
      <c r="H2371">
        <v>-0.160049119934506</v>
      </c>
      <c r="I2371">
        <v>0.008849557522123</v>
      </c>
    </row>
    <row r="2372" spans="1:9">
      <c r="A2372" s="8" t="s">
        <v>2384</v>
      </c>
      <c r="B2372">
        <f>HYPERLINK("https://www.suredividend.com/sure-analysis-RF/","Regions Financial Corp.")</f>
        <v>0</v>
      </c>
      <c r="C2372">
        <v>-0.041548363160416</v>
      </c>
      <c r="D2372">
        <v>-0.036643791272821</v>
      </c>
      <c r="E2372">
        <v>0.106096016270315</v>
      </c>
      <c r="F2372">
        <v>-0.015471911837097</v>
      </c>
      <c r="G2372">
        <v>0.04951925247144801</v>
      </c>
      <c r="H2372">
        <v>-0.07299884872437601</v>
      </c>
      <c r="I2372">
        <v>0.6437048754407511</v>
      </c>
    </row>
    <row r="2373" spans="1:9">
      <c r="A2373" s="8" t="s">
        <v>2385</v>
      </c>
      <c r="B2373">
        <f>HYPERLINK("https://www.suredividend.com/sure-analysis-research-database/","RF Industries Ltd.")</f>
        <v>0</v>
      </c>
      <c r="C2373">
        <v>0.112068965517241</v>
      </c>
      <c r="D2373">
        <v>0.0078125</v>
      </c>
      <c r="E2373">
        <v>0.168478260869565</v>
      </c>
      <c r="F2373">
        <v>0.060855263157894</v>
      </c>
      <c r="G2373">
        <v>-0.325059645891758</v>
      </c>
      <c r="H2373">
        <v>-0.506880733944954</v>
      </c>
      <c r="I2373">
        <v>-0.564253962248854</v>
      </c>
    </row>
    <row r="2374" spans="1:9">
      <c r="A2374" s="8" t="s">
        <v>2386</v>
      </c>
      <c r="B2374">
        <f>HYPERLINK("https://www.suredividend.com/sure-analysis-research-database/","Rafael Holdings Inc")</f>
        <v>0</v>
      </c>
      <c r="C2374">
        <v>-0.0625</v>
      </c>
      <c r="D2374">
        <v>-0.122807017543859</v>
      </c>
      <c r="E2374">
        <v>-0.166666666666666</v>
      </c>
      <c r="F2374">
        <v>-0.180327868852459</v>
      </c>
      <c r="G2374">
        <v>-0.344978165938864</v>
      </c>
      <c r="H2374">
        <v>-0.285714285714285</v>
      </c>
      <c r="I2374">
        <v>-0.9169894853348091</v>
      </c>
    </row>
    <row r="2375" spans="1:9">
      <c r="A2375" s="8" t="s">
        <v>2387</v>
      </c>
      <c r="B2375">
        <f>HYPERLINK("https://www.suredividend.com/sure-analysis-research-database/","Resolute Forest Products Inc")</f>
        <v>0</v>
      </c>
      <c r="C2375">
        <v>0.033146591970121</v>
      </c>
      <c r="D2375">
        <v>0.044853635505193</v>
      </c>
      <c r="E2375">
        <v>0.083210964268233</v>
      </c>
      <c r="F2375">
        <v>0.025011579434923</v>
      </c>
      <c r="G2375">
        <v>0.8050570962479601</v>
      </c>
      <c r="H2375">
        <v>1.586851825875531</v>
      </c>
      <c r="I2375">
        <v>1.911803792055367</v>
      </c>
    </row>
    <row r="2376" spans="1:9">
      <c r="A2376" s="8" t="s">
        <v>2388</v>
      </c>
      <c r="B2376">
        <f>HYPERLINK("https://www.suredividend.com/sure-analysis-RGA/","Reinsurance Group Of America, Inc.")</f>
        <v>0</v>
      </c>
      <c r="C2376">
        <v>0.008584305947944001</v>
      </c>
      <c r="D2376">
        <v>0.116607936214462</v>
      </c>
      <c r="E2376">
        <v>0.265793742527891</v>
      </c>
      <c r="F2376">
        <v>0.273383520933818</v>
      </c>
      <c r="G2376">
        <v>0.421985499412063</v>
      </c>
      <c r="H2376">
        <v>0.676083156320844</v>
      </c>
      <c r="I2376">
        <v>0.514894021241021</v>
      </c>
    </row>
    <row r="2377" spans="1:9">
      <c r="A2377" s="8" t="s">
        <v>2389</v>
      </c>
      <c r="B2377">
        <f>HYPERLINK("https://www.suredividend.com/sure-analysis-RGCO/","RGC Resources, Inc.")</f>
        <v>0</v>
      </c>
      <c r="C2377">
        <v>-0.04616109279321701</v>
      </c>
      <c r="D2377">
        <v>0.056696323740444</v>
      </c>
      <c r="E2377">
        <v>0.01691851092999</v>
      </c>
      <c r="F2377">
        <v>0.036919453120999</v>
      </c>
      <c r="G2377">
        <v>0.047588993331643</v>
      </c>
      <c r="H2377">
        <v>0.102418788482581</v>
      </c>
      <c r="I2377">
        <v>-0.05914602982855501</v>
      </c>
    </row>
    <row r="2378" spans="1:9">
      <c r="A2378" s="8" t="s">
        <v>2390</v>
      </c>
      <c r="B2378">
        <f>HYPERLINK("https://www.suredividend.com/sure-analysis-research-database/","Repligen Corp.")</f>
        <v>0</v>
      </c>
      <c r="C2378">
        <v>-0.130813260195564</v>
      </c>
      <c r="D2378">
        <v>-0.265443918169908</v>
      </c>
      <c r="E2378">
        <v>-0.09940075369123301</v>
      </c>
      <c r="F2378">
        <v>-0.189210233592881</v>
      </c>
      <c r="G2378">
        <v>-0.156463372294873</v>
      </c>
      <c r="H2378">
        <v>-0.139941002949852</v>
      </c>
      <c r="I2378">
        <v>0.9354753053637811</v>
      </c>
    </row>
    <row r="2379" spans="1:9">
      <c r="A2379" s="8" t="s">
        <v>2391</v>
      </c>
      <c r="B2379">
        <f>HYPERLINK("https://www.suredividend.com/sure-analysis-RGLD/","Royal Gold, Inc.")</f>
        <v>0</v>
      </c>
      <c r="C2379">
        <v>-0.002419354838709</v>
      </c>
      <c r="D2379">
        <v>0.110852680459679</v>
      </c>
      <c r="E2379">
        <v>0.043746213572244</v>
      </c>
      <c r="F2379">
        <v>0.032959508321294</v>
      </c>
      <c r="G2379">
        <v>0.05075209046151501</v>
      </c>
      <c r="H2379">
        <v>0.101550095595313</v>
      </c>
      <c r="I2379">
        <v>0.404615587258762</v>
      </c>
    </row>
    <row r="2380" spans="1:9">
      <c r="A2380" s="8" t="s">
        <v>2392</v>
      </c>
      <c r="B2380">
        <f>HYPERLINK("https://www.suredividend.com/sure-analysis-research-database/","Regulus Therapeutics Inc")</f>
        <v>0</v>
      </c>
      <c r="C2380">
        <v>0</v>
      </c>
      <c r="D2380">
        <v>0.5704225352112671</v>
      </c>
      <c r="E2380">
        <v>0.5531411060036211</v>
      </c>
      <c r="F2380">
        <v>0.7421875</v>
      </c>
      <c r="G2380">
        <v>0.5928571428571431</v>
      </c>
      <c r="H2380">
        <v>-0.089052287581699</v>
      </c>
      <c r="I2380">
        <v>-0.751615059033192</v>
      </c>
    </row>
    <row r="2381" spans="1:9">
      <c r="A2381" s="8" t="s">
        <v>2393</v>
      </c>
      <c r="B2381">
        <f>HYPERLINK("https://www.suredividend.com/sure-analysis-research-database/","Regenxbio Inc")</f>
        <v>0</v>
      </c>
      <c r="C2381">
        <v>-0.169811320754717</v>
      </c>
      <c r="D2381">
        <v>-0.393887214808437</v>
      </c>
      <c r="E2381">
        <v>-0.316504854368932</v>
      </c>
      <c r="F2381">
        <v>-0.215598885793871</v>
      </c>
      <c r="G2381">
        <v>-0.307767944936086</v>
      </c>
      <c r="H2381">
        <v>-0.393887214808437</v>
      </c>
      <c r="I2381">
        <v>-0.7115345216144231</v>
      </c>
    </row>
    <row r="2382" spans="1:9">
      <c r="A2382" s="8" t="s">
        <v>2394</v>
      </c>
      <c r="B2382">
        <f>HYPERLINK("https://www.suredividend.com/sure-analysis-research-database/","Sturm, Ruger &amp; Co., Inc.")</f>
        <v>0</v>
      </c>
      <c r="C2382">
        <v>-0.067767234282247</v>
      </c>
      <c r="D2382">
        <v>-0.004817488199119001</v>
      </c>
      <c r="E2382">
        <v>-0.026902097712326</v>
      </c>
      <c r="F2382">
        <v>-0.044885710353767</v>
      </c>
      <c r="G2382">
        <v>-0.176563343194926</v>
      </c>
      <c r="H2382">
        <v>-0.259784248525331</v>
      </c>
      <c r="I2382">
        <v>0.06874172613089601</v>
      </c>
    </row>
    <row r="2383" spans="1:9">
      <c r="A2383" s="8" t="s">
        <v>2395</v>
      </c>
      <c r="B2383">
        <f>HYPERLINK("https://www.suredividend.com/sure-analysis-research-database/","Regis Corp.")</f>
        <v>0</v>
      </c>
      <c r="C2383">
        <v>-0.272805507745266</v>
      </c>
      <c r="D2383">
        <v>-0.51824401368301</v>
      </c>
      <c r="E2383">
        <v>-0.514367816091954</v>
      </c>
      <c r="F2383">
        <v>-0.552910052910052</v>
      </c>
      <c r="G2383">
        <v>-0.804398148148148</v>
      </c>
      <c r="H2383">
        <v>-0.671410794835899</v>
      </c>
      <c r="I2383">
        <v>-0.9886057173678531</v>
      </c>
    </row>
    <row r="2384" spans="1:9">
      <c r="A2384" s="8" t="s">
        <v>2396</v>
      </c>
      <c r="B2384">
        <f>HYPERLINK("https://www.suredividend.com/sure-analysis-research-database/","RH")</f>
        <v>0</v>
      </c>
      <c r="C2384">
        <v>-0.035662979456974</v>
      </c>
      <c r="D2384">
        <v>-0.021358020191711</v>
      </c>
      <c r="E2384">
        <v>-0.045806680881307</v>
      </c>
      <c r="F2384">
        <v>-0.078804720735556</v>
      </c>
      <c r="G2384">
        <v>0.005278921752152</v>
      </c>
      <c r="H2384">
        <v>-0.122774347414159</v>
      </c>
      <c r="I2384">
        <v>2.018662169758291</v>
      </c>
    </row>
    <row r="2385" spans="1:9">
      <c r="A2385" s="8" t="s">
        <v>2397</v>
      </c>
      <c r="B2385">
        <f>HYPERLINK("https://www.suredividend.com/sure-analysis-research-database/","Regional Health Properties Inc")</f>
        <v>0</v>
      </c>
      <c r="C2385">
        <v>-0.07665505226480801</v>
      </c>
      <c r="D2385">
        <v>0.127659574468085</v>
      </c>
      <c r="E2385">
        <v>0.423200859291084</v>
      </c>
      <c r="F2385">
        <v>0.306255237344111</v>
      </c>
      <c r="G2385">
        <v>-0.199395770392749</v>
      </c>
      <c r="H2385">
        <v>0.06</v>
      </c>
      <c r="I2385">
        <v>0.311881188118811</v>
      </c>
    </row>
    <row r="2386" spans="1:9">
      <c r="A2386" s="8" t="s">
        <v>2398</v>
      </c>
      <c r="B2386">
        <f>HYPERLINK("https://www.suredividend.com/sure-analysis-RHI/","Robert Half Inc")</f>
        <v>0</v>
      </c>
      <c r="C2386">
        <v>-0.103410927296348</v>
      </c>
      <c r="D2386">
        <v>-0.218249632671514</v>
      </c>
      <c r="E2386">
        <v>-0.239839493177483</v>
      </c>
      <c r="F2386">
        <v>-0.28160007570608</v>
      </c>
      <c r="G2386">
        <v>-0.120571423727759</v>
      </c>
      <c r="H2386">
        <v>-0.288403898517822</v>
      </c>
      <c r="I2386">
        <v>0.291386606920587</v>
      </c>
    </row>
    <row r="2387" spans="1:9">
      <c r="A2387" s="8" t="s">
        <v>2399</v>
      </c>
      <c r="B2387">
        <f>HYPERLINK("https://www.suredividend.com/sure-analysis-research-database/","Ryman Hospitality Properties Inc")</f>
        <v>0</v>
      </c>
      <c r="C2387">
        <v>-0.047641420785566</v>
      </c>
      <c r="D2387">
        <v>-0.12852363218624</v>
      </c>
      <c r="E2387">
        <v>0.002853705067008</v>
      </c>
      <c r="F2387">
        <v>-0.07016642507201901</v>
      </c>
      <c r="G2387">
        <v>0.110587564925814</v>
      </c>
      <c r="H2387">
        <v>0.10994537338409</v>
      </c>
      <c r="I2387">
        <v>0.4402403290029011</v>
      </c>
    </row>
    <row r="2388" spans="1:9">
      <c r="A2388" s="8" t="s">
        <v>2400</v>
      </c>
      <c r="B2388">
        <f>HYPERLINK("https://www.suredividend.com/sure-analysis-research-database/","RiceBran Technologies")</f>
        <v>0</v>
      </c>
      <c r="C2388">
        <v>-0.131249999999999</v>
      </c>
      <c r="D2388">
        <v>-0.338095238095238</v>
      </c>
      <c r="E2388">
        <v>-0.5366666666666661</v>
      </c>
      <c r="F2388">
        <v>-0.4021505376344081</v>
      </c>
      <c r="G2388">
        <v>-0.9747272727272721</v>
      </c>
      <c r="H2388">
        <v>-0.9747272727272721</v>
      </c>
      <c r="I2388">
        <v>-0.9747272727272721</v>
      </c>
    </row>
    <row r="2389" spans="1:9">
      <c r="A2389" s="8" t="s">
        <v>2401</v>
      </c>
      <c r="B2389">
        <f>HYPERLINK("https://www.suredividend.com/sure-analysis-research-database/","RCI Hospitality Holdings Inc")</f>
        <v>0</v>
      </c>
      <c r="C2389">
        <v>-0.108944050433412</v>
      </c>
      <c r="D2389">
        <v>-0.178844209154171</v>
      </c>
      <c r="E2389">
        <v>-0.27005296675134</v>
      </c>
      <c r="F2389">
        <v>-0.315909675272622</v>
      </c>
      <c r="G2389">
        <v>-0.417299868335278</v>
      </c>
      <c r="H2389">
        <v>-0.197121495061667</v>
      </c>
      <c r="I2389">
        <v>1.76612400161454</v>
      </c>
    </row>
    <row r="2390" spans="1:9">
      <c r="A2390" s="8" t="s">
        <v>2402</v>
      </c>
      <c r="B2390">
        <f>HYPERLINK("https://www.suredividend.com/sure-analysis-research-database/","Transocean Ltd")</f>
        <v>0</v>
      </c>
      <c r="C2390">
        <v>-0.05594405594405501</v>
      </c>
      <c r="D2390">
        <v>0.048543689320388</v>
      </c>
      <c r="E2390">
        <v>-0.044247787610619</v>
      </c>
      <c r="F2390">
        <v>-0.149606299212598</v>
      </c>
      <c r="G2390">
        <v>-0.148264984227129</v>
      </c>
      <c r="H2390">
        <v>0.122661122661122</v>
      </c>
      <c r="I2390">
        <v>-0.113300492610837</v>
      </c>
    </row>
    <row r="2391" spans="1:9">
      <c r="A2391" s="8" t="s">
        <v>2403</v>
      </c>
      <c r="B2391">
        <f>HYPERLINK("https://www.suredividend.com/sure-analysis-research-database/","Rigel Pharmaceuticals")</f>
        <v>0</v>
      </c>
      <c r="C2391">
        <v>-0.201680672268907</v>
      </c>
      <c r="D2391">
        <v>-0.379084967320261</v>
      </c>
      <c r="E2391">
        <v>-0.166666666666666</v>
      </c>
      <c r="F2391">
        <v>-0.344827586206896</v>
      </c>
      <c r="G2391">
        <v>-0.391025641025641</v>
      </c>
      <c r="H2391">
        <v>-0.460227272727272</v>
      </c>
      <c r="I2391">
        <v>-0.547619047619047</v>
      </c>
    </row>
    <row r="2392" spans="1:9">
      <c r="A2392" s="8" t="s">
        <v>2404</v>
      </c>
      <c r="B2392">
        <f>HYPERLINK("https://www.suredividend.com/sure-analysis-research-database/","B. Riley Financial Inc")</f>
        <v>0</v>
      </c>
      <c r="C2392">
        <v>-0.269590036325895</v>
      </c>
      <c r="D2392">
        <v>0.05595828683428201</v>
      </c>
      <c r="E2392">
        <v>-0.035715356190133</v>
      </c>
      <c r="F2392">
        <v>0.132426520503859</v>
      </c>
      <c r="G2392">
        <v>-0.282235651087483</v>
      </c>
      <c r="H2392">
        <v>-0.4370816231646411</v>
      </c>
      <c r="I2392">
        <v>0.7250492159911751</v>
      </c>
    </row>
    <row r="2393" spans="1:9">
      <c r="A2393" s="8" t="s">
        <v>2405</v>
      </c>
      <c r="B2393">
        <f>HYPERLINK("https://www.suredividend.com/sure-analysis-research-database/","Riot Platforms Inc")</f>
        <v>0</v>
      </c>
      <c r="C2393">
        <v>-0.044247787610619</v>
      </c>
      <c r="D2393">
        <v>-0.18796992481203</v>
      </c>
      <c r="E2393">
        <v>-0.346774193548387</v>
      </c>
      <c r="F2393">
        <v>-0.371687136393018</v>
      </c>
      <c r="G2393">
        <v>-0.06807286673058401</v>
      </c>
      <c r="H2393">
        <v>0.575364667747163</v>
      </c>
      <c r="I2393">
        <v>2.6</v>
      </c>
    </row>
    <row r="2394" spans="1:9">
      <c r="A2394" s="8" t="s">
        <v>2406</v>
      </c>
      <c r="B2394">
        <f>HYPERLINK("https://www.suredividend.com/sure-analysis-RJF/","Raymond James Financial, Inc.")</f>
        <v>0</v>
      </c>
      <c r="C2394">
        <v>-0.041829647960405</v>
      </c>
      <c r="D2394">
        <v>-0.003924386881975</v>
      </c>
      <c r="E2394">
        <v>0.147748059595309</v>
      </c>
      <c r="F2394">
        <v>0.08031775004455201</v>
      </c>
      <c r="G2394">
        <v>0.258780420789016</v>
      </c>
      <c r="H2394">
        <v>0.25563193236346</v>
      </c>
      <c r="I2394">
        <v>1.327994507306136</v>
      </c>
    </row>
    <row r="2395" spans="1:9">
      <c r="A2395" s="8" t="s">
        <v>2407</v>
      </c>
      <c r="B2395">
        <f>HYPERLINK("https://www.suredividend.com/sure-analysis-research-database/","Arcadia Biosciences Inc")</f>
        <v>0</v>
      </c>
      <c r="C2395">
        <v>0.459303482587064</v>
      </c>
      <c r="D2395">
        <v>0.187530364372469</v>
      </c>
      <c r="E2395">
        <v>-0.137294117647058</v>
      </c>
      <c r="F2395">
        <v>-0.062875399361022</v>
      </c>
      <c r="G2395">
        <v>-0.383781512605042</v>
      </c>
      <c r="H2395">
        <v>-0.941801587301587</v>
      </c>
      <c r="I2395">
        <v>-0.985275100401606</v>
      </c>
    </row>
    <row r="2396" spans="1:9">
      <c r="A2396" s="8" t="s">
        <v>2408</v>
      </c>
      <c r="B2396">
        <f>HYPERLINK("https://www.suredividend.com/sure-analysis-RL/","Ralph Lauren Corp")</f>
        <v>0</v>
      </c>
      <c r="C2396">
        <v>0.09027111324376201</v>
      </c>
      <c r="D2396">
        <v>0.015628055628502</v>
      </c>
      <c r="E2396">
        <v>0.398668660111281</v>
      </c>
      <c r="F2396">
        <v>0.265731115176169</v>
      </c>
      <c r="G2396">
        <v>0.5610065258780821</v>
      </c>
      <c r="H2396">
        <v>0.798178969111327</v>
      </c>
      <c r="I2396">
        <v>0.8211164143934021</v>
      </c>
    </row>
    <row r="2397" spans="1:9">
      <c r="A2397" s="8" t="s">
        <v>2409</v>
      </c>
      <c r="B2397">
        <f>HYPERLINK("https://www.suredividend.com/sure-analysis-research-database/","Radiant Logistics, Inc.")</f>
        <v>0</v>
      </c>
      <c r="C2397">
        <v>0.04296875</v>
      </c>
      <c r="D2397">
        <v>-0.036101083032491</v>
      </c>
      <c r="E2397">
        <v>-0.146964856230031</v>
      </c>
      <c r="F2397">
        <v>-0.19578313253012</v>
      </c>
      <c r="G2397">
        <v>-0.226086956521739</v>
      </c>
      <c r="H2397">
        <v>-0.243626062322946</v>
      </c>
      <c r="I2397">
        <v>-0.156398104265402</v>
      </c>
    </row>
    <row r="2398" spans="1:9">
      <c r="A2398" s="8" t="s">
        <v>2410</v>
      </c>
      <c r="B2398">
        <f>HYPERLINK("https://www.suredividend.com/sure-analysis-research-database/","Red Lion Hotels Corporation")</f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</row>
    <row r="2399" spans="1:9">
      <c r="A2399" s="8" t="s">
        <v>2411</v>
      </c>
      <c r="B2399">
        <f>HYPERLINK("https://www.suredividend.com/sure-analysis-RLI/","RLI Corp.")</f>
        <v>0</v>
      </c>
      <c r="C2399">
        <v>-0.029948937504686</v>
      </c>
      <c r="D2399">
        <v>-0.025972692460923</v>
      </c>
      <c r="E2399">
        <v>0.072282011148598</v>
      </c>
      <c r="F2399">
        <v>0.07300652219650701</v>
      </c>
      <c r="G2399">
        <v>0.1009033767536</v>
      </c>
      <c r="H2399">
        <v>0.225045372050816</v>
      </c>
      <c r="I2399">
        <v>0.7554876724767561</v>
      </c>
    </row>
    <row r="2400" spans="1:9">
      <c r="A2400" s="8" t="s">
        <v>2412</v>
      </c>
      <c r="B2400">
        <f>HYPERLINK("https://www.suredividend.com/sure-analysis-research-database/","RLJ Lodging Trust")</f>
        <v>0</v>
      </c>
      <c r="C2400">
        <v>-0.088180112570356</v>
      </c>
      <c r="D2400">
        <v>-0.188369976369208</v>
      </c>
      <c r="E2400">
        <v>-0.07512250820686001</v>
      </c>
      <c r="F2400">
        <v>-0.163439194422927</v>
      </c>
      <c r="G2400">
        <v>-0.088607594936708</v>
      </c>
      <c r="H2400">
        <v>-0.275027223771946</v>
      </c>
      <c r="I2400">
        <v>-0.388744599634001</v>
      </c>
    </row>
    <row r="2401" spans="1:9">
      <c r="A2401" s="8" t="s">
        <v>2413</v>
      </c>
      <c r="B2401">
        <f>HYPERLINK("https://www.suredividend.com/sure-analysis-research-database/","Regional Management Corp")</f>
        <v>0</v>
      </c>
      <c r="C2401">
        <v>-0.074086369913948</v>
      </c>
      <c r="D2401">
        <v>0.222768305354488</v>
      </c>
      <c r="E2401">
        <v>0.240057089756301</v>
      </c>
      <c r="F2401">
        <v>0.138692687706691</v>
      </c>
      <c r="G2401">
        <v>-0.07220438781790001</v>
      </c>
      <c r="H2401">
        <v>-0.340744540282186</v>
      </c>
      <c r="I2401">
        <v>0.269048236573524</v>
      </c>
    </row>
    <row r="2402" spans="1:9">
      <c r="A2402" s="8" t="s">
        <v>2414</v>
      </c>
      <c r="B2402">
        <f>HYPERLINK("https://www.suredividend.com/sure-analysis-research-database/","RE/MAX Holdings Inc")</f>
        <v>0</v>
      </c>
      <c r="C2402">
        <v>0.06071871127633201</v>
      </c>
      <c r="D2402">
        <v>0.05940594059405901</v>
      </c>
      <c r="E2402">
        <v>-0.154985192497532</v>
      </c>
      <c r="F2402">
        <v>-0.357839459864966</v>
      </c>
      <c r="G2402">
        <v>-0.558580858085808</v>
      </c>
      <c r="H2402">
        <v>-0.6336039926892011</v>
      </c>
      <c r="I2402">
        <v>-0.692303268199399</v>
      </c>
    </row>
    <row r="2403" spans="1:9">
      <c r="A2403" s="8" t="s">
        <v>2415</v>
      </c>
      <c r="B2403">
        <f>HYPERLINK("https://www.suredividend.com/sure-analysis-research-database/","Rambus Inc.")</f>
        <v>0</v>
      </c>
      <c r="C2403">
        <v>-0.013667021654242</v>
      </c>
      <c r="D2403">
        <v>-0.150305810397553</v>
      </c>
      <c r="E2403">
        <v>-0.140714396165146</v>
      </c>
      <c r="F2403">
        <v>-0.185787545787545</v>
      </c>
      <c r="G2403">
        <v>-0.132125566140871</v>
      </c>
      <c r="H2403">
        <v>1.194707740916271</v>
      </c>
      <c r="I2403">
        <v>3.681550126368997</v>
      </c>
    </row>
    <row r="2404" spans="1:9">
      <c r="A2404" s="8" t="s">
        <v>2416</v>
      </c>
      <c r="B2404">
        <f>HYPERLINK("https://www.suredividend.com/sure-analysis-research-database/","Rocky Mountain Chocolate Factory Inc")</f>
        <v>0</v>
      </c>
      <c r="C2404">
        <v>-0.217514124293785</v>
      </c>
      <c r="D2404">
        <v>-0.3075</v>
      </c>
      <c r="E2404">
        <v>-0.327669902912621</v>
      </c>
      <c r="F2404">
        <v>-0.3978260869565211</v>
      </c>
      <c r="G2404">
        <v>-0.453648915187376</v>
      </c>
      <c r="H2404">
        <v>-0.586567164179104</v>
      </c>
      <c r="I2404">
        <v>-0.675061879010405</v>
      </c>
    </row>
    <row r="2405" spans="1:9">
      <c r="A2405" s="8" t="s">
        <v>2417</v>
      </c>
      <c r="B2405">
        <f>HYPERLINK("https://www.suredividend.com/sure-analysis-RMD/","Resmed Inc.")</f>
        <v>0</v>
      </c>
      <c r="C2405">
        <v>-0.022116097922848</v>
      </c>
      <c r="D2405">
        <v>0.097504687199976</v>
      </c>
      <c r="E2405">
        <v>0.296181577271867</v>
      </c>
      <c r="F2405">
        <v>0.231907760242047</v>
      </c>
      <c r="G2405">
        <v>-0.007543534963256</v>
      </c>
      <c r="H2405">
        <v>0.001482922178162</v>
      </c>
      <c r="I2405">
        <v>0.8761630948017891</v>
      </c>
    </row>
    <row r="2406" spans="1:9">
      <c r="A2406" s="8" t="s">
        <v>2418</v>
      </c>
      <c r="B2406">
        <f>HYPERLINK("https://www.suredividend.com/sure-analysis-research-database/","RMR Group Inc (The)")</f>
        <v>0</v>
      </c>
      <c r="C2406">
        <v>-0.032745591939546</v>
      </c>
      <c r="D2406">
        <v>0.012983244448157</v>
      </c>
      <c r="E2406">
        <v>-0.046373404413834</v>
      </c>
      <c r="F2406">
        <v>-0.138256690292297</v>
      </c>
      <c r="G2406">
        <v>0.08777247425746701</v>
      </c>
      <c r="H2406">
        <v>-0.079857505710953</v>
      </c>
      <c r="I2406">
        <v>-0.260277139224575</v>
      </c>
    </row>
    <row r="2407" spans="1:9">
      <c r="A2407" s="8" t="s">
        <v>2419</v>
      </c>
      <c r="B2407">
        <f>HYPERLINK("https://www.suredividend.com/sure-analysis-research-database/","Rockwell Medical Inc")</f>
        <v>0</v>
      </c>
      <c r="C2407">
        <v>0.152439024390243</v>
      </c>
      <c r="D2407">
        <v>0.235294117647058</v>
      </c>
      <c r="E2407">
        <v>0.145454545454545</v>
      </c>
      <c r="F2407">
        <v>0</v>
      </c>
      <c r="G2407">
        <v>-0.548926014319809</v>
      </c>
      <c r="H2407">
        <v>0.281355932203389</v>
      </c>
      <c r="I2407">
        <v>-0.9594768439108061</v>
      </c>
    </row>
    <row r="2408" spans="1:9">
      <c r="A2408" s="8" t="s">
        <v>2420</v>
      </c>
      <c r="B2408">
        <f>HYPERLINK("https://www.suredividend.com/sure-analysis-research-database/","Randolph Bancorp Inc")</f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</row>
    <row r="2409" spans="1:9">
      <c r="A2409" s="8" t="s">
        <v>2421</v>
      </c>
      <c r="B2409">
        <f>HYPERLINK("https://www.suredividend.com/sure-analysis-research-database/","RigNet Inc")</f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</row>
    <row r="2410" spans="1:9">
      <c r="A2410" s="8" t="s">
        <v>2422</v>
      </c>
      <c r="B2410">
        <f>HYPERLINK("https://www.suredividend.com/sure-analysis-research-database/","RingCentral Inc.")</f>
        <v>0</v>
      </c>
      <c r="C2410">
        <v>0.143381127042347</v>
      </c>
      <c r="D2410">
        <v>-0.021683309557774</v>
      </c>
      <c r="E2410">
        <v>0.047342700061087</v>
      </c>
      <c r="F2410">
        <v>0.0100147275405</v>
      </c>
      <c r="G2410">
        <v>0.008232872684504001</v>
      </c>
      <c r="H2410">
        <v>-0.445145631067961</v>
      </c>
      <c r="I2410">
        <v>-0.719486256544502</v>
      </c>
    </row>
    <row r="2411" spans="1:9">
      <c r="A2411" s="8" t="s">
        <v>2423</v>
      </c>
      <c r="B2411">
        <f>HYPERLINK("https://www.suredividend.com/sure-analysis-RNR/","RenaissanceRe Holdings Ltd")</f>
        <v>0</v>
      </c>
      <c r="C2411">
        <v>0.012256861177724</v>
      </c>
      <c r="D2411">
        <v>0.0003774346730800001</v>
      </c>
      <c r="E2411">
        <v>0.145857840032333</v>
      </c>
      <c r="F2411">
        <v>0.164878261176192</v>
      </c>
      <c r="G2411">
        <v>0.187165240651737</v>
      </c>
      <c r="H2411">
        <v>0.484577819519</v>
      </c>
      <c r="I2411">
        <v>0.3482906804449341</v>
      </c>
    </row>
    <row r="2412" spans="1:9">
      <c r="A2412" s="8" t="s">
        <v>2424</v>
      </c>
      <c r="B2412">
        <f>HYPERLINK("https://www.suredividend.com/sure-analysis-research-database/","Renasant Corp.")</f>
        <v>0</v>
      </c>
      <c r="C2412">
        <v>-0.029519071310116</v>
      </c>
      <c r="D2412">
        <v>-0.06813505990560301</v>
      </c>
      <c r="E2412">
        <v>-0.025975106773234</v>
      </c>
      <c r="F2412">
        <v>-0.12485344435671</v>
      </c>
      <c r="G2412">
        <v>0.004224883223678</v>
      </c>
      <c r="H2412">
        <v>0.005249560246262001</v>
      </c>
      <c r="I2412">
        <v>-0.013675726512436</v>
      </c>
    </row>
    <row r="2413" spans="1:9">
      <c r="A2413" s="8" t="s">
        <v>2425</v>
      </c>
      <c r="B2413">
        <f>HYPERLINK("https://www.suredividend.com/sure-analysis-research-database/","Realnetworks, Inc.")</f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</row>
    <row r="2414" spans="1:9">
      <c r="A2414" s="8" t="s">
        <v>2426</v>
      </c>
      <c r="B2414">
        <f>HYPERLINK("https://www.suredividend.com/sure-analysis-research-database/","Construction Partners Inc")</f>
        <v>0</v>
      </c>
      <c r="C2414">
        <v>-0.003904797322424</v>
      </c>
      <c r="D2414">
        <v>0.042015172145497</v>
      </c>
      <c r="E2414">
        <v>0.26973216401991</v>
      </c>
      <c r="F2414">
        <v>0.230928308823529</v>
      </c>
      <c r="G2414">
        <v>0.6652160397886221</v>
      </c>
      <c r="H2414">
        <v>1.201808466913275</v>
      </c>
      <c r="I2414">
        <v>2.799290780141844</v>
      </c>
    </row>
    <row r="2415" spans="1:9">
      <c r="A2415" s="8" t="s">
        <v>2427</v>
      </c>
      <c r="B2415">
        <f>HYPERLINK("https://www.suredividend.com/sure-analysis-research-database/","Gibraltar Industries Inc.")</f>
        <v>0</v>
      </c>
      <c r="C2415">
        <v>-0.042122538293216</v>
      </c>
      <c r="D2415">
        <v>-0.082885949980358</v>
      </c>
      <c r="E2415">
        <v>-0.000285469597487</v>
      </c>
      <c r="F2415">
        <v>-0.113193213471764</v>
      </c>
      <c r="G2415">
        <v>0.161525704809287</v>
      </c>
      <c r="H2415">
        <v>0.506884681583477</v>
      </c>
      <c r="I2415">
        <v>0.862270672693432</v>
      </c>
    </row>
    <row r="2416" spans="1:9">
      <c r="A2416" s="8" t="s">
        <v>2428</v>
      </c>
      <c r="B2416">
        <f>HYPERLINK("https://www.suredividend.com/sure-analysis-research-database/","Rogers Corp.")</f>
        <v>0</v>
      </c>
      <c r="C2416">
        <v>-0.007302946361118</v>
      </c>
      <c r="D2416">
        <v>0.058160343593414</v>
      </c>
      <c r="E2416">
        <v>-0.07385073224214801</v>
      </c>
      <c r="F2416">
        <v>-0.104565760581509</v>
      </c>
      <c r="G2416">
        <v>-0.236490412550842</v>
      </c>
      <c r="H2416">
        <v>-0.5473994412338781</v>
      </c>
      <c r="I2416">
        <v>-0.243281289992321</v>
      </c>
    </row>
    <row r="2417" spans="1:9">
      <c r="A2417" s="8" t="s">
        <v>2429</v>
      </c>
      <c r="B2417">
        <f>HYPERLINK("https://www.suredividend.com/sure-analysis-research-database/","Retail Opportunity Investments Corp")</f>
        <v>0</v>
      </c>
      <c r="C2417">
        <v>-0.005564387917329001</v>
      </c>
      <c r="D2417">
        <v>-0.021134419918466</v>
      </c>
      <c r="E2417">
        <v>-0.04368034002476801</v>
      </c>
      <c r="F2417">
        <v>-0.09788424650619401</v>
      </c>
      <c r="G2417">
        <v>-0.019300418619965</v>
      </c>
      <c r="H2417">
        <v>-0.212974904531528</v>
      </c>
      <c r="I2417">
        <v>-0.105649208596062</v>
      </c>
    </row>
    <row r="2418" spans="1:9">
      <c r="A2418" s="8" t="s">
        <v>2430</v>
      </c>
      <c r="B2418">
        <f>HYPERLINK("https://www.suredividend.com/sure-analysis-ROK/","Rockwell Automation Inc")</f>
        <v>0</v>
      </c>
      <c r="C2418">
        <v>-0.054925551059538</v>
      </c>
      <c r="D2418">
        <v>-0.125933121297571</v>
      </c>
      <c r="E2418">
        <v>-0.07069251582647901</v>
      </c>
      <c r="F2418">
        <v>-0.168238414702916</v>
      </c>
      <c r="G2418">
        <v>-0.128939192188193</v>
      </c>
      <c r="H2418">
        <v>0.225596778611945</v>
      </c>
      <c r="I2418">
        <v>0.7926203526960051</v>
      </c>
    </row>
    <row r="2419" spans="1:9">
      <c r="A2419" s="8" t="s">
        <v>2431</v>
      </c>
      <c r="B2419">
        <f>HYPERLINK("https://www.suredividend.com/sure-analysis-research-database/","Roku Inc")</f>
        <v>0</v>
      </c>
      <c r="C2419">
        <v>-0.04639175257731901</v>
      </c>
      <c r="D2419">
        <v>-0.09069288092595501</v>
      </c>
      <c r="E2419">
        <v>-0.430373460468812</v>
      </c>
      <c r="F2419">
        <v>-0.374318132227798</v>
      </c>
      <c r="G2419">
        <v>-0.156989563427899</v>
      </c>
      <c r="H2419">
        <v>-0.386105758938128</v>
      </c>
      <c r="I2419">
        <v>-0.43702758417591</v>
      </c>
    </row>
    <row r="2420" spans="1:9">
      <c r="A2420" s="8" t="s">
        <v>2432</v>
      </c>
      <c r="B2420">
        <f>HYPERLINK("https://www.suredividend.com/sure-analysis-ROL/","Rollins, Inc.")</f>
        <v>0</v>
      </c>
      <c r="C2420">
        <v>-0.010164044533053</v>
      </c>
      <c r="D2420">
        <v>0.0327201765182</v>
      </c>
      <c r="E2420">
        <v>0.133743788997548</v>
      </c>
      <c r="F2420">
        <v>0.07377134227182</v>
      </c>
      <c r="G2420">
        <v>0.147722791798107</v>
      </c>
      <c r="H2420">
        <v>0.347176339221142</v>
      </c>
      <c r="I2420">
        <v>0.92042029039295</v>
      </c>
    </row>
    <row r="2421" spans="1:9">
      <c r="A2421" s="8" t="s">
        <v>2433</v>
      </c>
      <c r="B2421">
        <f>HYPERLINK("https://www.suredividend.com/sure-analysis-research-database/","RBC Bearings Inc.")</f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</row>
    <row r="2422" spans="1:9">
      <c r="A2422" s="8" t="s">
        <v>2434</v>
      </c>
      <c r="B2422">
        <f>HYPERLINK("https://www.suredividend.com/sure-analysis-ROP/","Roper Technologies Inc")</f>
        <v>0</v>
      </c>
      <c r="C2422">
        <v>0.06490985276592401</v>
      </c>
      <c r="D2422">
        <v>0.015510998909942</v>
      </c>
      <c r="E2422">
        <v>0.040368428217995</v>
      </c>
      <c r="F2422">
        <v>0.020579027499799</v>
      </c>
      <c r="G2422">
        <v>0.240087669898479</v>
      </c>
      <c r="H2422">
        <v>0.312929833861755</v>
      </c>
      <c r="I2422">
        <v>0.5638125152421121</v>
      </c>
    </row>
    <row r="2423" spans="1:9">
      <c r="A2423" s="8" t="s">
        <v>2435</v>
      </c>
      <c r="B2423">
        <f>HYPERLINK("https://www.suredividend.com/sure-analysis-ROST/","Ross Stores, Inc.")</f>
        <v>0</v>
      </c>
      <c r="C2423">
        <v>0.09648122815017401</v>
      </c>
      <c r="D2423">
        <v>-0.00699422951975</v>
      </c>
      <c r="E2423">
        <v>0.101311497684402</v>
      </c>
      <c r="F2423">
        <v>0.047754055394617</v>
      </c>
      <c r="G2423">
        <v>0.433183500136588</v>
      </c>
      <c r="H2423">
        <v>0.8325894161372021</v>
      </c>
      <c r="I2423">
        <v>0.5290722444904641</v>
      </c>
    </row>
    <row r="2424" spans="1:9">
      <c r="A2424" s="8" t="s">
        <v>2436</v>
      </c>
      <c r="B2424">
        <f>HYPERLINK("https://www.suredividend.com/sure-analysis-research-database/","RealPage Inc.")</f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</row>
    <row r="2425" spans="1:9">
      <c r="A2425" s="8" t="s">
        <v>2437</v>
      </c>
      <c r="B2425">
        <f>HYPERLINK("https://www.suredividend.com/sure-analysis-research-database/","Retail Properties of America Inc")</f>
        <v>0</v>
      </c>
      <c r="C2425">
        <v>0.03646954040654801</v>
      </c>
      <c r="D2425">
        <v>0.08582564034812401</v>
      </c>
      <c r="E2425">
        <v>0.151448285524149</v>
      </c>
      <c r="F2425">
        <v>0.565532102336988</v>
      </c>
      <c r="G2425">
        <v>1.431313093961469</v>
      </c>
      <c r="H2425">
        <v>0.074346405228758</v>
      </c>
      <c r="I2425">
        <v>0.06087742226955101</v>
      </c>
    </row>
    <row r="2426" spans="1:9">
      <c r="A2426" s="8" t="s">
        <v>2438</v>
      </c>
      <c r="B2426">
        <f>HYPERLINK("https://www.suredividend.com/sure-analysis-research-database/","Rapid7 Inc")</f>
        <v>0</v>
      </c>
      <c r="C2426">
        <v>-0.178165938864628</v>
      </c>
      <c r="D2426">
        <v>-0.310496427917201</v>
      </c>
      <c r="E2426">
        <v>-0.327136217375759</v>
      </c>
      <c r="F2426">
        <v>-0.340805604203152</v>
      </c>
      <c r="G2426">
        <v>-0.204900718208703</v>
      </c>
      <c r="H2426">
        <v>-0.478598143787228</v>
      </c>
      <c r="I2426">
        <v>-0.270542635658914</v>
      </c>
    </row>
    <row r="2427" spans="1:9">
      <c r="A2427" s="8" t="s">
        <v>2439</v>
      </c>
      <c r="B2427">
        <f>HYPERLINK("https://www.suredividend.com/sure-analysis-RPM/","RPM International, Inc.")</f>
        <v>0</v>
      </c>
      <c r="C2427">
        <v>-0.037043633125556</v>
      </c>
      <c r="D2427">
        <v>-0.08411738948894601</v>
      </c>
      <c r="E2427">
        <v>0.021074895192053</v>
      </c>
      <c r="F2427">
        <v>-0.02292167561614</v>
      </c>
      <c r="G2427">
        <v>0.313006461827621</v>
      </c>
      <c r="H2427">
        <v>0.261743525601235</v>
      </c>
      <c r="I2427">
        <v>1.000517981352671</v>
      </c>
    </row>
    <row r="2428" spans="1:9">
      <c r="A2428" s="8" t="s">
        <v>2440</v>
      </c>
      <c r="B2428">
        <f>HYPERLINK("https://www.suredividend.com/sure-analysis-research-database/","RPT Realty")</f>
        <v>0</v>
      </c>
      <c r="C2428">
        <v>0.07333478340890401</v>
      </c>
      <c r="D2428">
        <v>0.228844809256084</v>
      </c>
      <c r="E2428">
        <v>0.257362381050382</v>
      </c>
      <c r="F2428">
        <v>0</v>
      </c>
      <c r="G2428">
        <v>0.346585780557946</v>
      </c>
      <c r="H2428">
        <v>0.06207730068459601</v>
      </c>
      <c r="I2428">
        <v>0.363732993197279</v>
      </c>
    </row>
    <row r="2429" spans="1:9">
      <c r="A2429" s="8" t="s">
        <v>2441</v>
      </c>
      <c r="B2429">
        <f>HYPERLINK("https://www.suredividend.com/sure-analysis-research-database/","Range Resources Corp")</f>
        <v>0</v>
      </c>
      <c r="C2429">
        <v>-0.029930518439337</v>
      </c>
      <c r="D2429">
        <v>0.107416333628237</v>
      </c>
      <c r="E2429">
        <v>0.240669346239028</v>
      </c>
      <c r="F2429">
        <v>0.195455293923925</v>
      </c>
      <c r="G2429">
        <v>0.276604723789159</v>
      </c>
      <c r="H2429">
        <v>-0.000280912801361</v>
      </c>
      <c r="I2429">
        <v>4.139095349331067</v>
      </c>
    </row>
    <row r="2430" spans="1:9">
      <c r="A2430" s="8" t="s">
        <v>2442</v>
      </c>
      <c r="B2430">
        <f>HYPERLINK("https://www.suredividend.com/sure-analysis-research-database/","R.R. Donnelley &amp; Sons Co.")</f>
        <v>0</v>
      </c>
      <c r="C2430">
        <v>-0.020776874435411</v>
      </c>
      <c r="D2430">
        <v>0.170626349892008</v>
      </c>
      <c r="E2430">
        <v>1.163672654690618</v>
      </c>
      <c r="F2430">
        <v>-0.037300177619893</v>
      </c>
      <c r="G2430">
        <v>2.419558359621451</v>
      </c>
      <c r="H2430">
        <v>3.106060606060605</v>
      </c>
      <c r="I2430">
        <v>-0.308532353541539</v>
      </c>
    </row>
    <row r="2431" spans="1:9">
      <c r="A2431" s="8" t="s">
        <v>2443</v>
      </c>
      <c r="B2431">
        <f>HYPERLINK("https://www.suredividend.com/sure-analysis-research-database/","Red Robin Gourmet Burgers Inc")</f>
        <v>0</v>
      </c>
      <c r="C2431">
        <v>0.101827676240208</v>
      </c>
      <c r="D2431">
        <v>0.185393258426966</v>
      </c>
      <c r="E2431">
        <v>-0.170923379174852</v>
      </c>
      <c r="F2431">
        <v>-0.323175621491579</v>
      </c>
      <c r="G2431">
        <v>-0.365413533834586</v>
      </c>
      <c r="H2431">
        <v>-0.127197518097207</v>
      </c>
      <c r="I2431">
        <v>-0.6776165011459131</v>
      </c>
    </row>
    <row r="2432" spans="1:9">
      <c r="A2432" s="8" t="s">
        <v>2444</v>
      </c>
      <c r="B2432">
        <f>HYPERLINK("https://www.suredividend.com/sure-analysis-research-database/","Red Rock Resorts Inc")</f>
        <v>0</v>
      </c>
      <c r="C2432">
        <v>-0.07266372332597501</v>
      </c>
      <c r="D2432">
        <v>-0.122639079371488</v>
      </c>
      <c r="E2432">
        <v>0.160483254601876</v>
      </c>
      <c r="F2432">
        <v>-0.012699183679864</v>
      </c>
      <c r="G2432">
        <v>0.114203049746812</v>
      </c>
      <c r="H2432">
        <v>0.3908662494895641</v>
      </c>
      <c r="I2432">
        <v>1.876117555100387</v>
      </c>
    </row>
    <row r="2433" spans="1:9">
      <c r="A2433" s="8" t="s">
        <v>2445</v>
      </c>
      <c r="B2433">
        <f>HYPERLINK("https://www.suredividend.com/sure-analysis-research-database/","Roadrunner Transportation Systems Inc")</f>
        <v>0</v>
      </c>
      <c r="C2433">
        <v>-0.154411764705882</v>
      </c>
      <c r="D2433">
        <v>-0.08730158730158701</v>
      </c>
      <c r="E2433">
        <v>-0.28125</v>
      </c>
      <c r="F2433">
        <v>-0.272151898734177</v>
      </c>
      <c r="G2433">
        <v>-0.4700460829493081</v>
      </c>
      <c r="H2433">
        <v>-0.5444822942248271</v>
      </c>
      <c r="I2433">
        <v>-0.4523809523809521</v>
      </c>
    </row>
    <row r="2434" spans="1:9">
      <c r="A2434" s="8" t="s">
        <v>2446</v>
      </c>
      <c r="B2434">
        <f>HYPERLINK("https://www.suredividend.com/sure-analysis-RS/","Reliance Inc.")</f>
        <v>0</v>
      </c>
      <c r="C2434">
        <v>-0.024891168462147</v>
      </c>
      <c r="D2434">
        <v>-0.105509427281027</v>
      </c>
      <c r="E2434">
        <v>0.079828512876398</v>
      </c>
      <c r="F2434">
        <v>0.03330403430039301</v>
      </c>
      <c r="G2434">
        <v>0.168252644812275</v>
      </c>
      <c r="H2434">
        <v>0.4758325730278941</v>
      </c>
      <c r="I2434">
        <v>2.634502953603598</v>
      </c>
    </row>
    <row r="2435" spans="1:9">
      <c r="A2435" s="8" t="s">
        <v>2447</v>
      </c>
      <c r="B2435">
        <f>HYPERLINK("https://www.suredividend.com/sure-analysis-RSG/","Republic Services, Inc.")</f>
        <v>0</v>
      </c>
      <c r="C2435">
        <v>-0.00853839626644</v>
      </c>
      <c r="D2435">
        <v>0.018879935123044</v>
      </c>
      <c r="E2435">
        <v>0.16397293630618</v>
      </c>
      <c r="F2435">
        <v>0.136825923644459</v>
      </c>
      <c r="G2435">
        <v>0.335227435049166</v>
      </c>
      <c r="H2435">
        <v>0.419745820312351</v>
      </c>
      <c r="I2435">
        <v>1.331425293376731</v>
      </c>
    </row>
    <row r="2436" spans="1:9">
      <c r="A2436" s="8" t="s">
        <v>2448</v>
      </c>
      <c r="B2436">
        <f>HYPERLINK("https://www.suredividend.com/sure-analysis-research-database/","Rubius Therapeutics Inc")</f>
        <v>0</v>
      </c>
      <c r="C2436">
        <v>1.984293193717277</v>
      </c>
      <c r="D2436">
        <v>2.518518518518519</v>
      </c>
      <c r="E2436">
        <v>1.714285714285714</v>
      </c>
      <c r="F2436">
        <v>0</v>
      </c>
      <c r="G2436">
        <v>-0.178674351585014</v>
      </c>
      <c r="H2436">
        <v>-0.178674351585014</v>
      </c>
      <c r="I2436">
        <v>-0.178674351585014</v>
      </c>
    </row>
    <row r="2437" spans="1:9">
      <c r="A2437" s="8" t="s">
        <v>2449</v>
      </c>
      <c r="B2437">
        <f>HYPERLINK("https://www.suredividend.com/sure-analysis-research-database/","Sunrun Inc")</f>
        <v>0</v>
      </c>
      <c r="C2437">
        <v>0.14176570458404</v>
      </c>
      <c r="D2437">
        <v>0.09083536090835301</v>
      </c>
      <c r="E2437">
        <v>-0.030281182408074</v>
      </c>
      <c r="F2437">
        <v>-0.314824248599083</v>
      </c>
      <c r="G2437">
        <v>-0.303469704816157</v>
      </c>
      <c r="H2437">
        <v>-0.5284011220196351</v>
      </c>
      <c r="I2437">
        <v>-0.176866585067319</v>
      </c>
    </row>
    <row r="2438" spans="1:9">
      <c r="A2438" s="8" t="s">
        <v>2450</v>
      </c>
      <c r="B2438">
        <f>HYPERLINK("https://www.suredividend.com/sure-analysis-research-database/","Rush Enterprises Inc")</f>
        <v>0</v>
      </c>
      <c r="C2438">
        <v>-0.026197110596345</v>
      </c>
      <c r="D2438">
        <v>-0.08627373567249501</v>
      </c>
      <c r="E2438">
        <v>0.092839901842832</v>
      </c>
      <c r="F2438">
        <v>-0.122035280016465</v>
      </c>
      <c r="G2438">
        <v>0.134754362584141</v>
      </c>
      <c r="H2438">
        <v>0.292305864532129</v>
      </c>
      <c r="I2438">
        <v>2.021800579218957</v>
      </c>
    </row>
    <row r="2439" spans="1:9">
      <c r="A2439" s="8" t="s">
        <v>2451</v>
      </c>
      <c r="B2439">
        <f>HYPERLINK("https://www.suredividend.com/sure-analysis-research-database/","Rush Enterprises Inc")</f>
        <v>0</v>
      </c>
      <c r="C2439">
        <v>-0.038914494163654</v>
      </c>
      <c r="D2439">
        <v>-0.182163921745576</v>
      </c>
      <c r="E2439">
        <v>-0.07575402308793701</v>
      </c>
      <c r="F2439">
        <v>-0.221943493167092</v>
      </c>
      <c r="G2439">
        <v>-0.043796926961158</v>
      </c>
      <c r="H2439">
        <v>0.231411300473456</v>
      </c>
      <c r="I2439">
        <v>3.18302269753449</v>
      </c>
    </row>
    <row r="2440" spans="1:9">
      <c r="A2440" s="8" t="s">
        <v>2452</v>
      </c>
      <c r="B2440">
        <f>HYPERLINK("https://www.suredividend.com/sure-analysis-research-database/","Ruths Hospitality Group Inc")</f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</row>
    <row r="2441" spans="1:9">
      <c r="A2441" s="8" t="s">
        <v>2453</v>
      </c>
      <c r="B2441">
        <f>HYPERLINK("https://www.suredividend.com/sure-analysis-research-database/","Retail Value Inc")</f>
        <v>0</v>
      </c>
      <c r="C2441">
        <v>-0.11504424778761</v>
      </c>
      <c r="D2441">
        <v>-0.016812506144921</v>
      </c>
      <c r="E2441">
        <v>0.20491605751466</v>
      </c>
      <c r="F2441">
        <v>-0.039784911820247</v>
      </c>
      <c r="G2441">
        <v>0.6727069974909391</v>
      </c>
      <c r="H2441">
        <v>2.332963004110654</v>
      </c>
      <c r="I2441">
        <v>-0.9047619047619041</v>
      </c>
    </row>
    <row r="2442" spans="1:9">
      <c r="A2442" s="8" t="s">
        <v>2454</v>
      </c>
      <c r="B2442">
        <f>HYPERLINK("https://www.suredividend.com/sure-analysis-research-database/","Revance Therapeutics Inc")</f>
        <v>0</v>
      </c>
      <c r="C2442">
        <v>-0.383561643835616</v>
      </c>
      <c r="D2442">
        <v>-0.561688311688311</v>
      </c>
      <c r="E2442">
        <v>-0.6191819464033851</v>
      </c>
      <c r="F2442">
        <v>-0.6928327645051191</v>
      </c>
      <c r="G2442">
        <v>-0.91601866251944</v>
      </c>
      <c r="H2442">
        <v>-0.7976011994002991</v>
      </c>
      <c r="I2442">
        <v>-0.7506925207756231</v>
      </c>
    </row>
    <row r="2443" spans="1:9">
      <c r="A2443" s="8" t="s">
        <v>2455</v>
      </c>
      <c r="B2443">
        <f>HYPERLINK("https://www.suredividend.com/sure-analysis-research-database/","Retractable Technologies Inc")</f>
        <v>0</v>
      </c>
      <c r="C2443">
        <v>0.073394495412843</v>
      </c>
      <c r="D2443">
        <v>-0.040983606557377</v>
      </c>
      <c r="E2443">
        <v>0.06373306664242101</v>
      </c>
      <c r="F2443">
        <v>0.054054054054053</v>
      </c>
      <c r="G2443">
        <v>0.06363636363636301</v>
      </c>
      <c r="H2443">
        <v>-0.7505330490405111</v>
      </c>
      <c r="I2443">
        <v>0.7080291970802911</v>
      </c>
    </row>
    <row r="2444" spans="1:9">
      <c r="A2444" s="8" t="s">
        <v>2456</v>
      </c>
      <c r="B2444">
        <f>HYPERLINK("https://www.suredividend.com/sure-analysis-research-database/","Riverview Bancorp, Inc.")</f>
        <v>0</v>
      </c>
      <c r="C2444">
        <v>-0.056097560975609</v>
      </c>
      <c r="D2444">
        <v>-0.143956821801451</v>
      </c>
      <c r="E2444">
        <v>-0.374636416521233</v>
      </c>
      <c r="F2444">
        <v>-0.375605033881897</v>
      </c>
      <c r="G2444">
        <v>-0.064539521392313</v>
      </c>
      <c r="H2444">
        <v>-0.345299521239701</v>
      </c>
      <c r="I2444">
        <v>-0.408148284088823</v>
      </c>
    </row>
    <row r="2445" spans="1:9">
      <c r="A2445" s="8" t="s">
        <v>2457</v>
      </c>
      <c r="B2445">
        <f>HYPERLINK("https://www.suredividend.com/sure-analysis-research-database/","Redwood Trust Inc.")</f>
        <v>0</v>
      </c>
      <c r="C2445">
        <v>0</v>
      </c>
      <c r="D2445">
        <v>0.077923847149376</v>
      </c>
      <c r="E2445">
        <v>-0.07637085242361401</v>
      </c>
      <c r="F2445">
        <v>-0.122819173260535</v>
      </c>
      <c r="G2445">
        <v>0.08190332945921901</v>
      </c>
      <c r="H2445">
        <v>-0.154059977548511</v>
      </c>
      <c r="I2445">
        <v>-0.3859734212823741</v>
      </c>
    </row>
    <row r="2446" spans="1:9">
      <c r="A2446" s="8" t="s">
        <v>2458</v>
      </c>
      <c r="B2446">
        <f>HYPERLINK("https://www.suredividend.com/sure-analysis-research-database/","Rayonier Advanced Materials Inc")</f>
        <v>0</v>
      </c>
      <c r="C2446">
        <v>0.419999999999999</v>
      </c>
      <c r="D2446">
        <v>0.494736842105263</v>
      </c>
      <c r="E2446">
        <v>0.6275071633237821</v>
      </c>
      <c r="F2446">
        <v>0.402469135802469</v>
      </c>
      <c r="G2446">
        <v>0.302752293577981</v>
      </c>
      <c r="H2446">
        <v>0.5106382978723401</v>
      </c>
      <c r="I2446">
        <v>-0.145826127494473</v>
      </c>
    </row>
    <row r="2447" spans="1:9">
      <c r="A2447" s="8" t="s">
        <v>2459</v>
      </c>
      <c r="B2447">
        <f>HYPERLINK("https://www.suredividend.com/sure-analysis-research-database/","Ryerson Holding Corp.")</f>
        <v>0</v>
      </c>
      <c r="C2447">
        <v>0.004428269210082001</v>
      </c>
      <c r="D2447">
        <v>-0.267436386934804</v>
      </c>
      <c r="E2447">
        <v>-0.229714262144632</v>
      </c>
      <c r="F2447">
        <v>-0.34432464853636</v>
      </c>
      <c r="G2447">
        <v>-0.389702558292801</v>
      </c>
      <c r="H2447">
        <v>-0.2799167132584</v>
      </c>
      <c r="I2447">
        <v>2.12739857934326</v>
      </c>
    </row>
    <row r="2448" spans="1:9">
      <c r="A2448" s="8" t="s">
        <v>2460</v>
      </c>
      <c r="B2448">
        <f>HYPERLINK("https://www.suredividend.com/sure-analysis-RYN/","Rayonier Inc.")</f>
        <v>0</v>
      </c>
      <c r="C2448">
        <v>0.024266936299292</v>
      </c>
      <c r="D2448">
        <v>-0.115139586075167</v>
      </c>
      <c r="E2448">
        <v>0.007372147602063001</v>
      </c>
      <c r="F2448">
        <v>-0.08282907543496901</v>
      </c>
      <c r="G2448">
        <v>0.041085003100302</v>
      </c>
      <c r="H2448">
        <v>-0.208241169895969</v>
      </c>
      <c r="I2448">
        <v>0.210935476544351</v>
      </c>
    </row>
    <row r="2449" spans="1:9">
      <c r="A2449" s="8" t="s">
        <v>2461</v>
      </c>
      <c r="B2449">
        <f>HYPERLINK("https://www.suredividend.com/sure-analysis-research-database/","Rhythm Pharmaceuticals Inc.")</f>
        <v>0</v>
      </c>
      <c r="C2449">
        <v>0.015756035578144</v>
      </c>
      <c r="D2449">
        <v>-0.040796736261099</v>
      </c>
      <c r="E2449">
        <v>0.051842105263157</v>
      </c>
      <c r="F2449">
        <v>-0.130519904285403</v>
      </c>
      <c r="G2449">
        <v>1.311740890688259</v>
      </c>
      <c r="H2449">
        <v>9.602122015915119</v>
      </c>
      <c r="I2449">
        <v>0.6287693561532191</v>
      </c>
    </row>
    <row r="2450" spans="1:9">
      <c r="A2450" s="8" t="s">
        <v>2462</v>
      </c>
      <c r="B2450">
        <f>HYPERLINK("https://www.suredividend.com/sure-analysis-research-database/","SentinelOne Inc")</f>
        <v>0</v>
      </c>
      <c r="C2450">
        <v>-0.20719889247808</v>
      </c>
      <c r="D2450">
        <v>-0.36698599852616</v>
      </c>
      <c r="E2450">
        <v>-0.266438941076003</v>
      </c>
      <c r="F2450">
        <v>-0.373906705539358</v>
      </c>
      <c r="G2450">
        <v>0.255847953216374</v>
      </c>
      <c r="H2450">
        <v>-0.291546391752577</v>
      </c>
      <c r="I2450">
        <v>-0.5957647058823531</v>
      </c>
    </row>
    <row r="2451" spans="1:9">
      <c r="A2451" s="8" t="s">
        <v>2463</v>
      </c>
      <c r="B2451">
        <f>HYPERLINK("https://www.suredividend.com/sure-analysis-research-database/","Sabre Corp")</f>
        <v>0</v>
      </c>
      <c r="C2451">
        <v>0.052631578947368</v>
      </c>
      <c r="D2451">
        <v>0.28440366972477</v>
      </c>
      <c r="E2451">
        <v>-0.237057220708446</v>
      </c>
      <c r="F2451">
        <v>-0.363636363636363</v>
      </c>
      <c r="G2451">
        <v>-0.186046511627906</v>
      </c>
      <c r="H2451">
        <v>-0.6296296296296291</v>
      </c>
      <c r="I2451">
        <v>-0.8644297576681911</v>
      </c>
    </row>
    <row r="2452" spans="1:9">
      <c r="A2452" s="8" t="s">
        <v>2464</v>
      </c>
      <c r="B2452">
        <f>HYPERLINK("https://www.suredividend.com/sure-analysis-SACH/","Sachem Capital Corp")</f>
        <v>0</v>
      </c>
      <c r="C2452">
        <v>-0.06012658227848101</v>
      </c>
      <c r="D2452">
        <v>-0.172724993732765</v>
      </c>
      <c r="E2452">
        <v>-0.129568301046276</v>
      </c>
      <c r="F2452">
        <v>-0.155025747531935</v>
      </c>
      <c r="G2452">
        <v>0.132032322000305</v>
      </c>
      <c r="H2452">
        <v>-0.08945980746826801</v>
      </c>
      <c r="I2452">
        <v>0.156046864660776</v>
      </c>
    </row>
    <row r="2453" spans="1:9">
      <c r="A2453" s="8" t="s">
        <v>2465</v>
      </c>
      <c r="B2453">
        <f>HYPERLINK("https://www.suredividend.com/sure-analysis-SAFE/","Safehold Inc.")</f>
        <v>0</v>
      </c>
      <c r="C2453">
        <v>-0.037373737373737</v>
      </c>
      <c r="D2453">
        <v>-0.05496194560825</v>
      </c>
      <c r="E2453">
        <v>-0.11470308181797</v>
      </c>
      <c r="F2453">
        <v>-0.178140078391465</v>
      </c>
      <c r="G2453">
        <v>-0.246702842847036</v>
      </c>
      <c r="H2453">
        <v>0.420098944984204</v>
      </c>
      <c r="I2453">
        <v>1.282279405601523</v>
      </c>
    </row>
    <row r="2454" spans="1:9">
      <c r="A2454" s="8" t="s">
        <v>2466</v>
      </c>
      <c r="B2454">
        <f>HYPERLINK("https://www.suredividend.com/sure-analysis-research-database/","Sanderson Farms, Inc.")</f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</row>
    <row r="2455" spans="1:9">
      <c r="A2455" s="8" t="s">
        <v>2467</v>
      </c>
      <c r="B2455">
        <f>HYPERLINK("https://www.suredividend.com/sure-analysis-SAFT/","Safety Insurance Group, Inc.")</f>
        <v>0</v>
      </c>
      <c r="C2455">
        <v>-0.030871572190732</v>
      </c>
      <c r="D2455">
        <v>-0.004621861261235</v>
      </c>
      <c r="E2455">
        <v>0.019423724360139</v>
      </c>
      <c r="F2455">
        <v>0.057925628461807</v>
      </c>
      <c r="G2455">
        <v>0.09181042691749</v>
      </c>
      <c r="H2455">
        <v>-0.042316591534687</v>
      </c>
      <c r="I2455">
        <v>0.085363975580017</v>
      </c>
    </row>
    <row r="2456" spans="1:9">
      <c r="A2456" s="8" t="s">
        <v>2468</v>
      </c>
      <c r="B2456">
        <f>HYPERLINK("https://www.suredividend.com/sure-analysis-research-database/","Sage Therapeutics Inc")</f>
        <v>0</v>
      </c>
      <c r="C2456">
        <v>-0.184899845916795</v>
      </c>
      <c r="D2456">
        <v>-0.5049134300421151</v>
      </c>
      <c r="E2456">
        <v>-0.4935375777884151</v>
      </c>
      <c r="F2456">
        <v>-0.5117674203968621</v>
      </c>
      <c r="G2456">
        <v>-0.8128427383690071</v>
      </c>
      <c r="H2456">
        <v>-0.7130458367236231</v>
      </c>
      <c r="I2456">
        <v>-0.9398316651501361</v>
      </c>
    </row>
    <row r="2457" spans="1:9">
      <c r="A2457" s="8" t="s">
        <v>2469</v>
      </c>
      <c r="B2457">
        <f>HYPERLINK("https://www.suredividend.com/sure-analysis-research-database/","Sonic Automotive, Inc.")</f>
        <v>0</v>
      </c>
      <c r="C2457">
        <v>-0.013435700575815</v>
      </c>
      <c r="D2457">
        <v>0.055203136868469</v>
      </c>
      <c r="E2457">
        <v>0.130171624576735</v>
      </c>
      <c r="F2457">
        <v>0.011651708392379</v>
      </c>
      <c r="G2457">
        <v>0.24695649105473</v>
      </c>
      <c r="H2457">
        <v>0.3057344698658001</v>
      </c>
      <c r="I2457">
        <v>1.84220580103554</v>
      </c>
    </row>
    <row r="2458" spans="1:9">
      <c r="A2458" s="8" t="s">
        <v>2470</v>
      </c>
      <c r="B2458">
        <f>HYPERLINK("https://www.suredividend.com/sure-analysis-research-database/","Saia Inc.")</f>
        <v>0</v>
      </c>
      <c r="C2458">
        <v>0.09654086502976901</v>
      </c>
      <c r="D2458">
        <v>-0.258846614340827</v>
      </c>
      <c r="E2458">
        <v>0.141737326126495</v>
      </c>
      <c r="F2458">
        <v>0.0170690520743</v>
      </c>
      <c r="G2458">
        <v>0.474265678750992</v>
      </c>
      <c r="H2458">
        <v>1.025817008317803</v>
      </c>
      <c r="I2458">
        <v>6.618803418803418</v>
      </c>
    </row>
    <row r="2459" spans="1:9">
      <c r="A2459" s="8" t="s">
        <v>2471</v>
      </c>
      <c r="B2459">
        <f>HYPERLINK("https://www.suredividend.com/sure-analysis-research-database/","Science Applications International Corp.")</f>
        <v>0</v>
      </c>
      <c r="C2459">
        <v>-0.140862849929457</v>
      </c>
      <c r="D2459">
        <v>-0.177236838456106</v>
      </c>
      <c r="E2459">
        <v>-0.09514648147279101</v>
      </c>
      <c r="F2459">
        <v>-0.06115629516207401</v>
      </c>
      <c r="G2459">
        <v>0.131667620319155</v>
      </c>
      <c r="H2459">
        <v>0.258721021946568</v>
      </c>
      <c r="I2459">
        <v>0.460661249048424</v>
      </c>
    </row>
    <row r="2460" spans="1:9">
      <c r="A2460" s="8" t="s">
        <v>2472</v>
      </c>
      <c r="B2460">
        <f>HYPERLINK("https://www.suredividend.com/sure-analysis-research-database/","SailPoint Technologies Holdings Inc")</f>
        <v>0</v>
      </c>
      <c r="C2460">
        <v>0.025302530253025</v>
      </c>
      <c r="D2460">
        <v>0.08192371475953501</v>
      </c>
      <c r="E2460">
        <v>0.577369439071566</v>
      </c>
      <c r="F2460">
        <v>0.349606950765411</v>
      </c>
      <c r="G2460">
        <v>0.476352115863317</v>
      </c>
      <c r="H2460">
        <v>0.7878870923540691</v>
      </c>
      <c r="I2460">
        <v>4.018461538461538</v>
      </c>
    </row>
    <row r="2461" spans="1:9">
      <c r="A2461" s="8" t="s">
        <v>2473</v>
      </c>
      <c r="B2461">
        <f>HYPERLINK("https://www.suredividend.com/sure-analysis-research-database/","Salisbury Bancorp, Inc.")</f>
        <v>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</row>
    <row r="2462" spans="1:9">
      <c r="A2462" s="8" t="s">
        <v>2474</v>
      </c>
      <c r="B2462">
        <f>HYPERLINK("https://www.suredividend.com/sure-analysis-research-database/","Salem Media Group Inc")</f>
        <v>0</v>
      </c>
      <c r="C2462">
        <v>-0.114538703227649</v>
      </c>
      <c r="D2462">
        <v>0.028192371475953</v>
      </c>
      <c r="E2462">
        <v>-0.08823529411764701</v>
      </c>
      <c r="F2462">
        <v>-0.08823529411764701</v>
      </c>
      <c r="G2462">
        <v>-0.08823529411764701</v>
      </c>
      <c r="H2462">
        <v>-0.08823529411764701</v>
      </c>
      <c r="I2462">
        <v>-0.08823529411764701</v>
      </c>
    </row>
    <row r="2463" spans="1:9">
      <c r="A2463" s="8" t="s">
        <v>2475</v>
      </c>
      <c r="B2463">
        <f>HYPERLINK("https://www.suredividend.com/sure-analysis-research-database/","Boston Beer Co., Inc.")</f>
        <v>0</v>
      </c>
      <c r="C2463">
        <v>0.06674228841157701</v>
      </c>
      <c r="D2463">
        <v>-0.023905983192151</v>
      </c>
      <c r="E2463">
        <v>-0.165698423146266</v>
      </c>
      <c r="F2463">
        <v>-0.156428137388234</v>
      </c>
      <c r="G2463">
        <v>-0.122901498285095</v>
      </c>
      <c r="H2463">
        <v>-0.125637334293083</v>
      </c>
      <c r="I2463">
        <v>-0.09010611735330801</v>
      </c>
    </row>
    <row r="2464" spans="1:9">
      <c r="A2464" s="8" t="s">
        <v>2476</v>
      </c>
      <c r="B2464">
        <f>HYPERLINK("https://www.suredividend.com/sure-analysis-research-database/","Silvercrest Asset Management Group Inc")</f>
        <v>0</v>
      </c>
      <c r="C2464">
        <v>0.013280212483399</v>
      </c>
      <c r="D2464">
        <v>-0.079613992762364</v>
      </c>
      <c r="E2464">
        <v>-0.044572029627032</v>
      </c>
      <c r="F2464">
        <v>-0.08166888325881101</v>
      </c>
      <c r="G2464">
        <v>-0.203054088917438</v>
      </c>
      <c r="H2464">
        <v>-0.109373176141006</v>
      </c>
      <c r="I2464">
        <v>0.528552682980577</v>
      </c>
    </row>
    <row r="2465" spans="1:9">
      <c r="A2465" s="8" t="s">
        <v>2477</v>
      </c>
      <c r="B2465">
        <f>HYPERLINK("https://www.suredividend.com/sure-analysis-research-database/","Sanmina Corp")</f>
        <v>0</v>
      </c>
      <c r="C2465">
        <v>0.024941543257988</v>
      </c>
      <c r="D2465">
        <v>0.012161330049261</v>
      </c>
      <c r="E2465">
        <v>0.333941976060052</v>
      </c>
      <c r="F2465">
        <v>0.279929920186879</v>
      </c>
      <c r="G2465">
        <v>0.171387849634776</v>
      </c>
      <c r="H2465">
        <v>0.446963028169014</v>
      </c>
      <c r="I2465">
        <v>1.3323873714083</v>
      </c>
    </row>
    <row r="2466" spans="1:9">
      <c r="A2466" s="8" t="s">
        <v>2478</v>
      </c>
      <c r="B2466">
        <f>HYPERLINK("https://www.suredividend.com/sure-analysis-research-database/","S&amp;W Seed Co")</f>
        <v>0</v>
      </c>
      <c r="C2466">
        <v>-0.356941176470588</v>
      </c>
      <c r="D2466">
        <v>-0.430387661525635</v>
      </c>
      <c r="E2466">
        <v>-0.505518364392979</v>
      </c>
      <c r="F2466">
        <v>-0.6095714285714281</v>
      </c>
      <c r="G2466">
        <v>-0.78813953488372</v>
      </c>
      <c r="H2466">
        <v>-0.7664102564102561</v>
      </c>
      <c r="I2466">
        <v>-0.8982122905027931</v>
      </c>
    </row>
    <row r="2467" spans="1:9">
      <c r="A2467" s="8" t="s">
        <v>2479</v>
      </c>
      <c r="B2467">
        <f>HYPERLINK("https://www.suredividend.com/sure-analysis-research-database/","Sandy Spring Bancorp")</f>
        <v>0</v>
      </c>
      <c r="C2467">
        <v>0.03149606299212501</v>
      </c>
      <c r="D2467">
        <v>0.032213209733487</v>
      </c>
      <c r="E2467">
        <v>-0.0043946120179</v>
      </c>
      <c r="F2467">
        <v>-0.131949858118432</v>
      </c>
      <c r="G2467">
        <v>-0.015163910865037</v>
      </c>
      <c r="H2467">
        <v>-0.370475380131671</v>
      </c>
      <c r="I2467">
        <v>-0.10028563002226</v>
      </c>
    </row>
    <row r="2468" spans="1:9">
      <c r="A2468" s="8" t="s">
        <v>2480</v>
      </c>
      <c r="B2468">
        <f>HYPERLINK("https://www.suredividend.com/sure-analysis-research-database/","EchoStar Corp")</f>
        <v>0</v>
      </c>
      <c r="C2468">
        <v>0.08414985590778001</v>
      </c>
      <c r="D2468">
        <v>0.351293103448275</v>
      </c>
      <c r="E2468">
        <v>0.510843373493975</v>
      </c>
      <c r="F2468">
        <v>0.135184067592033</v>
      </c>
      <c r="G2468">
        <v>0.08414985590778001</v>
      </c>
      <c r="H2468">
        <v>-0.20632911392405</v>
      </c>
      <c r="I2468">
        <v>-0.5620488940628631</v>
      </c>
    </row>
    <row r="2469" spans="1:9">
      <c r="A2469" s="8" t="s">
        <v>2481</v>
      </c>
      <c r="B2469">
        <f>HYPERLINK("https://www.suredividend.com/sure-analysis-research-database/","Cassava Sciences Inc")</f>
        <v>0</v>
      </c>
      <c r="C2469">
        <v>-0.100778744846541</v>
      </c>
      <c r="D2469">
        <v>0.019740259740259</v>
      </c>
      <c r="E2469">
        <v>-0.05534167468719901</v>
      </c>
      <c r="F2469">
        <v>-0.127943136383829</v>
      </c>
      <c r="G2469">
        <v>-0.182423990004164</v>
      </c>
      <c r="H2469">
        <v>-0.320290858725761</v>
      </c>
      <c r="I2469">
        <v>17.34579439252336</v>
      </c>
    </row>
    <row r="2470" spans="1:9">
      <c r="A2470" s="8" t="s">
        <v>2482</v>
      </c>
      <c r="B2470">
        <f>HYPERLINK("https://www.suredividend.com/sure-analysis-research-database/","Spirit Airlines Inc")</f>
        <v>0</v>
      </c>
      <c r="C2470">
        <v>0.05421686746987901</v>
      </c>
      <c r="D2470">
        <v>-0.313725490196078</v>
      </c>
      <c r="E2470">
        <v>-0.750799222493574</v>
      </c>
      <c r="F2470">
        <v>-0.780455523425395</v>
      </c>
      <c r="G2470">
        <v>-0.7607181191076831</v>
      </c>
      <c r="H2470">
        <v>-0.8293906320833351</v>
      </c>
      <c r="I2470">
        <v>-0.9212598425196851</v>
      </c>
    </row>
    <row r="2471" spans="1:9">
      <c r="A2471" s="8" t="s">
        <v>2483</v>
      </c>
      <c r="B2471">
        <f>HYPERLINK("https://www.suredividend.com/sure-analysis-SBAC/","SBA Communications Corp")</f>
        <v>0</v>
      </c>
      <c r="C2471">
        <v>-0.008417605958416001</v>
      </c>
      <c r="D2471">
        <v>-0.101017148961351</v>
      </c>
      <c r="E2471">
        <v>-0.219135480942932</v>
      </c>
      <c r="F2471">
        <v>-0.227045995939183</v>
      </c>
      <c r="G2471">
        <v>-0.125795650721481</v>
      </c>
      <c r="H2471">
        <v>-0.401522452114678</v>
      </c>
      <c r="I2471">
        <v>-0.063289814905408</v>
      </c>
    </row>
    <row r="2472" spans="1:9">
      <c r="A2472" s="8" t="s">
        <v>2484</v>
      </c>
      <c r="B2472">
        <f>HYPERLINK("https://www.suredividend.com/sure-analysis-research-database/","Seacoast Banking Corp. Of Florida")</f>
        <v>0</v>
      </c>
      <c r="C2472">
        <v>-0.06149401568303701</v>
      </c>
      <c r="D2472">
        <v>-0.082076267594547</v>
      </c>
      <c r="E2472">
        <v>-0.09564525750646201</v>
      </c>
      <c r="F2472">
        <v>-0.18915738690457</v>
      </c>
      <c r="G2472">
        <v>0.013730385164051</v>
      </c>
      <c r="H2472">
        <v>-0.280959984822374</v>
      </c>
      <c r="I2472">
        <v>0.068167299237157</v>
      </c>
    </row>
    <row r="2473" spans="1:9">
      <c r="A2473" s="8" t="s">
        <v>2485</v>
      </c>
      <c r="B2473">
        <f>HYPERLINK("https://www.suredividend.com/sure-analysis-research-database/","SB Financial Group Inc")</f>
        <v>0</v>
      </c>
      <c r="C2473">
        <v>0.045111987072025</v>
      </c>
      <c r="D2473">
        <v>0.029118705570923</v>
      </c>
      <c r="E2473">
        <v>-0.032303174381205</v>
      </c>
      <c r="F2473">
        <v>-0.06319380516597101</v>
      </c>
      <c r="G2473">
        <v>0.174603444032352</v>
      </c>
      <c r="H2473">
        <v>-0.148538241952948</v>
      </c>
      <c r="I2473">
        <v>0.025990777944163</v>
      </c>
    </row>
    <row r="2474" spans="1:9">
      <c r="A2474" s="8" t="s">
        <v>2486</v>
      </c>
      <c r="B2474">
        <f>HYPERLINK("https://www.suredividend.com/sure-analysis-research-database/","Sinclair Inc")</f>
        <v>0</v>
      </c>
      <c r="C2474">
        <v>-0.030710993307475</v>
      </c>
      <c r="D2474">
        <v>-0.010670792177396</v>
      </c>
      <c r="E2474">
        <v>0.027944934465419</v>
      </c>
      <c r="F2474">
        <v>0.010592172975776</v>
      </c>
      <c r="G2474">
        <v>-0.086004954776668</v>
      </c>
      <c r="H2474">
        <v>-0.058164213261229</v>
      </c>
      <c r="I2474">
        <v>-0.058164213261229</v>
      </c>
    </row>
    <row r="2475" spans="1:9">
      <c r="A2475" s="8" t="s">
        <v>2487</v>
      </c>
      <c r="B2475">
        <f>HYPERLINK("https://www.suredividend.com/sure-analysis-research-database/","Sally Beauty Holdings Inc")</f>
        <v>0</v>
      </c>
      <c r="C2475">
        <v>0.075542965061378</v>
      </c>
      <c r="D2475">
        <v>-0.08660785886126701</v>
      </c>
      <c r="E2475">
        <v>0.068480300187617</v>
      </c>
      <c r="F2475">
        <v>-0.142319277108433</v>
      </c>
      <c r="G2475">
        <v>-0.087339743589743</v>
      </c>
      <c r="H2475">
        <v>-0.220930232558139</v>
      </c>
      <c r="I2475">
        <v>-0.243691899070385</v>
      </c>
    </row>
    <row r="2476" spans="1:9">
      <c r="A2476" s="8" t="s">
        <v>2488</v>
      </c>
      <c r="B2476">
        <f>HYPERLINK("https://www.suredividend.com/sure-analysis-research-database/","Signature Bank")</f>
        <v>0</v>
      </c>
      <c r="C2476">
        <v>-0.284375</v>
      </c>
      <c r="D2476">
        <v>0.5266666666666661</v>
      </c>
      <c r="E2476">
        <v>27.625</v>
      </c>
      <c r="F2476">
        <v>0.430445374476856</v>
      </c>
      <c r="G2476">
        <v>18.08333333333334</v>
      </c>
      <c r="H2476">
        <v>16.61538461538462</v>
      </c>
      <c r="I2476">
        <v>16.61538461538462</v>
      </c>
    </row>
    <row r="2477" spans="1:9">
      <c r="A2477" s="8" t="s">
        <v>2489</v>
      </c>
      <c r="B2477">
        <f>HYPERLINK("https://www.suredividend.com/sure-analysis-research-database/","SilverBow Resources Inc")</f>
        <v>0</v>
      </c>
      <c r="C2477">
        <v>0.107226107226107</v>
      </c>
      <c r="D2477">
        <v>0.243455497382198</v>
      </c>
      <c r="E2477">
        <v>0.284217641094964</v>
      </c>
      <c r="F2477">
        <v>0.306740027510316</v>
      </c>
      <c r="G2477">
        <v>0.4074074074074071</v>
      </c>
      <c r="H2477">
        <v>-0.1792656587473</v>
      </c>
      <c r="I2477">
        <v>1.755620014503263</v>
      </c>
    </row>
    <row r="2478" spans="1:9">
      <c r="A2478" s="8" t="s">
        <v>2490</v>
      </c>
      <c r="B2478">
        <f>HYPERLINK("https://www.suredividend.com/sure-analysis-SBRA/","Sabra Healthcare REIT Inc")</f>
        <v>0</v>
      </c>
      <c r="C2478">
        <v>-0.010293233348661</v>
      </c>
      <c r="D2478">
        <v>0.066400384178551</v>
      </c>
      <c r="E2478">
        <v>0.072531988132383</v>
      </c>
      <c r="F2478">
        <v>0.068028613089648</v>
      </c>
      <c r="G2478">
        <v>0.372012513852521</v>
      </c>
      <c r="H2478">
        <v>0.253617928797369</v>
      </c>
      <c r="I2478">
        <v>0.172320171616276</v>
      </c>
    </row>
    <row r="2479" spans="1:9">
      <c r="A2479" s="8" t="s">
        <v>2491</v>
      </c>
      <c r="B2479">
        <f>HYPERLINK("https://www.suredividend.com/sure-analysis-SBSI/","Southside Bancshares Inc")</f>
        <v>0</v>
      </c>
      <c r="C2479">
        <v>-0.03400835034670401</v>
      </c>
      <c r="D2479">
        <v>-0.071760085683684</v>
      </c>
      <c r="E2479">
        <v>-0.09898163651834901</v>
      </c>
      <c r="F2479">
        <v>-0.129477752952018</v>
      </c>
      <c r="G2479">
        <v>-0.034949101466318</v>
      </c>
      <c r="H2479">
        <v>-0.275248322666291</v>
      </c>
      <c r="I2479">
        <v>-0.035682678642905</v>
      </c>
    </row>
    <row r="2480" spans="1:9">
      <c r="A2480" s="8" t="s">
        <v>2492</v>
      </c>
      <c r="B2480">
        <f>HYPERLINK("https://www.suredividend.com/sure-analysis-research-database/","Sterling Bancorp Inc")</f>
        <v>0</v>
      </c>
      <c r="C2480">
        <v>-0.028056112224449</v>
      </c>
      <c r="D2480">
        <v>-0.026104417670682</v>
      </c>
      <c r="E2480">
        <v>-0.149122807017544</v>
      </c>
      <c r="F2480">
        <v>-0.159445407279029</v>
      </c>
      <c r="G2480">
        <v>-0.119782214156079</v>
      </c>
      <c r="H2480">
        <v>-0.213938411669368</v>
      </c>
      <c r="I2480">
        <v>-0.4919870116266891</v>
      </c>
    </row>
    <row r="2481" spans="1:9">
      <c r="A2481" s="8" t="s">
        <v>2493</v>
      </c>
      <c r="B2481">
        <f>HYPERLINK("https://www.suredividend.com/sure-analysis-SBUX/","Starbucks Corp.")</f>
        <v>0</v>
      </c>
      <c r="C2481">
        <v>0.140278158975192</v>
      </c>
      <c r="D2481">
        <v>-0.09103695236734401</v>
      </c>
      <c r="E2481">
        <v>-0.132439599449824</v>
      </c>
      <c r="F2481">
        <v>-0.128554061111444</v>
      </c>
      <c r="G2481">
        <v>-0.126901158520567</v>
      </c>
      <c r="H2481">
        <v>0.105439637267013</v>
      </c>
      <c r="I2481">
        <v>0.128311288101117</v>
      </c>
    </row>
    <row r="2482" spans="1:9">
      <c r="A2482" s="8" t="s">
        <v>2494</v>
      </c>
      <c r="B2482">
        <f>HYPERLINK("https://www.suredividend.com/sure-analysis-research-database/","Santander Consumer USA Holdings Inc")</f>
        <v>0</v>
      </c>
      <c r="C2482">
        <v>-0.017477562588568</v>
      </c>
      <c r="D2482">
        <v>-0.002398081534772</v>
      </c>
      <c r="E2482">
        <v>0.019308046652945</v>
      </c>
      <c r="F2482">
        <v>-0.009995240361732001</v>
      </c>
      <c r="G2482">
        <v>0.920076803072122</v>
      </c>
      <c r="H2482">
        <v>0.6448018725436701</v>
      </c>
      <c r="I2482">
        <v>2.619185161340838</v>
      </c>
    </row>
    <row r="2483" spans="1:9">
      <c r="A2483" s="8" t="s">
        <v>2495</v>
      </c>
      <c r="B2483">
        <f>HYPERLINK("https://www.suredividend.com/sure-analysis-SCHL/","Scholastic Corp.")</f>
        <v>0</v>
      </c>
      <c r="C2483">
        <v>-0.034204671857619</v>
      </c>
      <c r="D2483">
        <v>-0.08977974399563901</v>
      </c>
      <c r="E2483">
        <v>-0.09898691157203801</v>
      </c>
      <c r="F2483">
        <v>-0.05907533086791</v>
      </c>
      <c r="G2483">
        <v>-0.166190501342066</v>
      </c>
      <c r="H2483">
        <v>0.003739819540701</v>
      </c>
      <c r="I2483">
        <v>0.192610143882421</v>
      </c>
    </row>
    <row r="2484" spans="1:9">
      <c r="A2484" s="8" t="s">
        <v>2496</v>
      </c>
      <c r="B2484">
        <f>HYPERLINK("https://www.suredividend.com/sure-analysis-SCHW/","Charles Schwab Corp.")</f>
        <v>0</v>
      </c>
      <c r="C2484">
        <v>-0.018100004250074</v>
      </c>
      <c r="D2484">
        <v>0.087735353532381</v>
      </c>
      <c r="E2484">
        <v>0.182828901791442</v>
      </c>
      <c r="F2484">
        <v>0.082425699447879</v>
      </c>
      <c r="G2484">
        <v>0.349976900841612</v>
      </c>
      <c r="H2484">
        <v>0.131947783109434</v>
      </c>
      <c r="I2484">
        <v>0.8534675110435871</v>
      </c>
    </row>
    <row r="2485" spans="1:9">
      <c r="A2485" s="8" t="s">
        <v>2497</v>
      </c>
      <c r="B2485">
        <f>HYPERLINK("https://www.suredividend.com/sure-analysis-SCI/","Service Corp. International")</f>
        <v>0</v>
      </c>
      <c r="C2485">
        <v>0.048403707518022</v>
      </c>
      <c r="D2485">
        <v>-0.044530048497541</v>
      </c>
      <c r="E2485">
        <v>0.101559589488963</v>
      </c>
      <c r="F2485">
        <v>0.04522359512326701</v>
      </c>
      <c r="G2485">
        <v>0.112352955868028</v>
      </c>
      <c r="H2485">
        <v>0.0280380573168</v>
      </c>
      <c r="I2485">
        <v>0.7148275065455101</v>
      </c>
    </row>
    <row r="2486" spans="1:9">
      <c r="A2486" s="8" t="s">
        <v>2498</v>
      </c>
      <c r="B2486">
        <f>HYPERLINK("https://www.suredividend.com/sure-analysis-SCL/","Stepan Co.")</f>
        <v>0</v>
      </c>
      <c r="C2486">
        <v>-0.027445542266135</v>
      </c>
      <c r="D2486">
        <v>-0.03839781719960701</v>
      </c>
      <c r="E2486">
        <v>-0.049773960012826</v>
      </c>
      <c r="F2486">
        <v>-0.102135309147743</v>
      </c>
      <c r="G2486">
        <v>-0.146850920916445</v>
      </c>
      <c r="H2486">
        <v>-0.217702820025171</v>
      </c>
      <c r="I2486">
        <v>0.001124123451356</v>
      </c>
    </row>
    <row r="2487" spans="1:9">
      <c r="A2487" s="8" t="s">
        <v>2499</v>
      </c>
      <c r="B2487">
        <f>HYPERLINK("https://www.suredividend.com/sure-analysis-research-database/","Superconductor Technologies Inc.")</f>
        <v>0</v>
      </c>
      <c r="C2487">
        <v>-0.018518518518518</v>
      </c>
      <c r="D2487">
        <v>0.48876404494382</v>
      </c>
      <c r="E2487">
        <v>1.022900763358778</v>
      </c>
      <c r="F2487">
        <v>2.354430379746835</v>
      </c>
      <c r="G2487">
        <v>0.892857142857143</v>
      </c>
      <c r="H2487">
        <v>0.892857142857143</v>
      </c>
      <c r="I2487">
        <v>0.892857142857143</v>
      </c>
    </row>
    <row r="2488" spans="1:9">
      <c r="A2488" s="8" t="s">
        <v>2500</v>
      </c>
      <c r="B2488">
        <f>HYPERLINK("https://www.suredividend.com/sure-analysis-research-database/","Comscore Inc.")</f>
        <v>0</v>
      </c>
      <c r="C2488">
        <v>-0.07878369039391801</v>
      </c>
      <c r="D2488">
        <v>-0.250281214848144</v>
      </c>
      <c r="E2488">
        <v>0.04140624999999901</v>
      </c>
      <c r="F2488">
        <v>-0.201796407185628</v>
      </c>
      <c r="G2488">
        <v>-0.283333333333333</v>
      </c>
      <c r="H2488">
        <v>-0.695662100456621</v>
      </c>
      <c r="I2488">
        <v>-0.9208432304038001</v>
      </c>
    </row>
    <row r="2489" spans="1:9">
      <c r="A2489" s="8" t="s">
        <v>2501</v>
      </c>
      <c r="B2489">
        <f>HYPERLINK("https://www.suredividend.com/sure-analysis-research-database/","Sciplay Corp")</f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</row>
    <row r="2490" spans="1:9">
      <c r="A2490" s="8" t="s">
        <v>2502</v>
      </c>
      <c r="B2490">
        <f>HYPERLINK("https://www.suredividend.com/sure-analysis-research-database/","Steelcase, Inc.")</f>
        <v>0</v>
      </c>
      <c r="C2490">
        <v>-0.013385826771653</v>
      </c>
      <c r="D2490">
        <v>-0.020412630657253</v>
      </c>
      <c r="E2490">
        <v>0.008142378990731001</v>
      </c>
      <c r="F2490">
        <v>-0.058970199471281</v>
      </c>
      <c r="G2490">
        <v>0.776221595339013</v>
      </c>
      <c r="H2490">
        <v>0.103916127042861</v>
      </c>
      <c r="I2490">
        <v>-0.09482976586937501</v>
      </c>
    </row>
    <row r="2491" spans="1:9">
      <c r="A2491" s="8" t="s">
        <v>2503</v>
      </c>
      <c r="B2491">
        <f>HYPERLINK("https://www.suredividend.com/sure-analysis-research-database/","Scansource, Inc.")</f>
        <v>0</v>
      </c>
      <c r="C2491">
        <v>0.026304057066428</v>
      </c>
      <c r="D2491">
        <v>0.04470161107329201</v>
      </c>
      <c r="E2491">
        <v>0.256207366984993</v>
      </c>
      <c r="F2491">
        <v>0.1623327442565</v>
      </c>
      <c r="G2491">
        <v>0.4904499838135311</v>
      </c>
      <c r="H2491">
        <v>0.169418338836677</v>
      </c>
      <c r="I2491">
        <v>0.525513585155732</v>
      </c>
    </row>
    <row r="2492" spans="1:9">
      <c r="A2492" s="8" t="s">
        <v>2504</v>
      </c>
      <c r="B2492">
        <f>HYPERLINK("https://www.suredividend.com/sure-analysis-research-database/","Shoe Carnival, Inc.")</f>
        <v>0</v>
      </c>
      <c r="C2492">
        <v>0.037153472420691</v>
      </c>
      <c r="D2492">
        <v>0.156266428764875</v>
      </c>
      <c r="E2492">
        <v>0.36473207402421</v>
      </c>
      <c r="F2492">
        <v>0.221075582862545</v>
      </c>
      <c r="G2492">
        <v>0.6996145542082901</v>
      </c>
      <c r="H2492">
        <v>0.37620071521481</v>
      </c>
      <c r="I2492">
        <v>2.142127364820988</v>
      </c>
    </row>
    <row r="2493" spans="1:9">
      <c r="A2493" s="8" t="s">
        <v>2505</v>
      </c>
      <c r="B2493">
        <f>HYPERLINK("https://www.suredividend.com/sure-analysis-research-database/","SecureWorks Corp")</f>
        <v>0</v>
      </c>
      <c r="C2493">
        <v>0.07432432432432401</v>
      </c>
      <c r="D2493">
        <v>-0.003134796238244</v>
      </c>
      <c r="E2493">
        <v>0.06176961602671101</v>
      </c>
      <c r="F2493">
        <v>-0.138211382113821</v>
      </c>
      <c r="G2493">
        <v>-0.205992509363295</v>
      </c>
      <c r="H2493">
        <v>-0.435168738898756</v>
      </c>
      <c r="I2493">
        <v>-0.519637462235649</v>
      </c>
    </row>
    <row r="2494" spans="1:9">
      <c r="A2494" s="8" t="s">
        <v>2506</v>
      </c>
      <c r="B2494">
        <f>HYPERLINK("https://www.suredividend.com/sure-analysis-research-database/","L.S. Starrett Co.")</f>
        <v>0</v>
      </c>
      <c r="C2494">
        <v>0.011249999999999</v>
      </c>
      <c r="D2494">
        <v>0.624497991967871</v>
      </c>
      <c r="E2494">
        <v>0.756786102062974</v>
      </c>
      <c r="F2494">
        <v>0.337190082644628</v>
      </c>
      <c r="G2494">
        <v>0.461607949412827</v>
      </c>
      <c r="H2494">
        <v>1.262937062937062</v>
      </c>
      <c r="I2494">
        <v>1.077021822849807</v>
      </c>
    </row>
    <row r="2495" spans="1:9">
      <c r="A2495" s="8" t="s">
        <v>2507</v>
      </c>
      <c r="B2495">
        <f>HYPERLINK("https://www.suredividend.com/sure-analysis-research-database/","Scynexis Inc")</f>
        <v>0</v>
      </c>
      <c r="C2495">
        <v>0.203252032520325</v>
      </c>
      <c r="D2495">
        <v>0.313609467455621</v>
      </c>
      <c r="E2495">
        <v>0.3058823529411761</v>
      </c>
      <c r="F2495">
        <v>-0.004484304932735</v>
      </c>
      <c r="G2495">
        <v>-0.125984251968503</v>
      </c>
      <c r="H2495">
        <v>0.0935960591133</v>
      </c>
      <c r="I2495">
        <v>-0.81025641025641</v>
      </c>
    </row>
    <row r="2496" spans="1:9">
      <c r="A2496" s="8" t="s">
        <v>2508</v>
      </c>
      <c r="B2496">
        <f>HYPERLINK("https://www.suredividend.com/sure-analysis-research-database/","Sandridge Energy Inc")</f>
        <v>0</v>
      </c>
      <c r="C2496">
        <v>-0.049619629038022</v>
      </c>
      <c r="D2496">
        <v>-0.029321493489078</v>
      </c>
      <c r="E2496">
        <v>0.09608169720217301</v>
      </c>
      <c r="F2496">
        <v>0.080046086387109</v>
      </c>
      <c r="G2496">
        <v>-0.010675291938104</v>
      </c>
      <c r="H2496">
        <v>-0.404574222587794</v>
      </c>
      <c r="I2496">
        <v>1.613998836439504</v>
      </c>
    </row>
    <row r="2497" spans="1:9">
      <c r="A2497" s="8" t="s">
        <v>2509</v>
      </c>
      <c r="B2497">
        <f>HYPERLINK("https://www.suredividend.com/sure-analysis-research-database/","Superior Drilling Products Inc")</f>
        <v>0</v>
      </c>
      <c r="C2497">
        <v>-0.008064516129032001</v>
      </c>
      <c r="D2497">
        <v>0.33695652173913</v>
      </c>
      <c r="E2497">
        <v>0.795882610600087</v>
      </c>
      <c r="F2497">
        <v>0.7226890756302521</v>
      </c>
      <c r="G2497">
        <v>0.042372881355932</v>
      </c>
      <c r="H2497">
        <v>-0.053846153846153</v>
      </c>
      <c r="I2497">
        <v>0.060344827586206</v>
      </c>
    </row>
    <row r="2498" spans="1:9">
      <c r="A2498" s="8" t="s">
        <v>2510</v>
      </c>
      <c r="B2498">
        <f>HYPERLINK("https://www.suredividend.com/sure-analysis-research-database/","Seachange International Inc.")</f>
        <v>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</row>
    <row r="2499" spans="1:9">
      <c r="A2499" s="8" t="s">
        <v>2511</v>
      </c>
      <c r="B2499">
        <f>HYPERLINK("https://www.suredividend.com/sure-analysis-research-database/","Seaboard Corp.")</f>
        <v>0</v>
      </c>
      <c r="C2499">
        <v>-0.007636080299394001</v>
      </c>
      <c r="D2499">
        <v>0.0004671804921940001</v>
      </c>
      <c r="E2499">
        <v>-0.119715096120973</v>
      </c>
      <c r="F2499">
        <v>-0.102038370035314</v>
      </c>
      <c r="G2499">
        <v>-0.182238466880895</v>
      </c>
      <c r="H2499">
        <v>-0.20898920925863</v>
      </c>
      <c r="I2499">
        <v>-0.179262984187118</v>
      </c>
    </row>
    <row r="2500" spans="1:9">
      <c r="A2500" s="8" t="s">
        <v>2512</v>
      </c>
      <c r="B2500">
        <f>HYPERLINK("https://www.suredividend.com/sure-analysis-research-database/","Solaredge Technologies Inc")</f>
        <v>0</v>
      </c>
      <c r="C2500">
        <v>-0.211548288196218</v>
      </c>
      <c r="D2500">
        <v>-0.384932234918947</v>
      </c>
      <c r="E2500">
        <v>-0.422745978301533</v>
      </c>
      <c r="F2500">
        <v>-0.505448717948717</v>
      </c>
      <c r="G2500">
        <v>-0.8404783237990211</v>
      </c>
      <c r="H2500">
        <v>-0.8489328372821611</v>
      </c>
      <c r="I2500">
        <v>-0.178089488636363</v>
      </c>
    </row>
    <row r="2501" spans="1:9">
      <c r="A2501" s="8" t="s">
        <v>2513</v>
      </c>
      <c r="B2501">
        <f>HYPERLINK("https://www.suredividend.com/sure-analysis-research-database/","Sealed Air Corp.")</f>
        <v>0</v>
      </c>
      <c r="C2501">
        <v>0.06409903713892601</v>
      </c>
      <c r="D2501">
        <v>0.07924107142857101</v>
      </c>
      <c r="E2501">
        <v>0.136727646756299</v>
      </c>
      <c r="F2501">
        <v>0.065136336349567</v>
      </c>
      <c r="G2501">
        <v>-0.019023537855597</v>
      </c>
      <c r="H2501">
        <v>-0.3721981828156291</v>
      </c>
      <c r="I2501">
        <v>-0.064993582104344</v>
      </c>
    </row>
    <row r="2502" spans="1:9">
      <c r="A2502" s="8" t="s">
        <v>2514</v>
      </c>
      <c r="B2502">
        <f>HYPERLINK("https://www.suredividend.com/sure-analysis-research-database/","Seelos Therapeutics Inc")</f>
        <v>0</v>
      </c>
      <c r="C2502">
        <v>-0.545222713362801</v>
      </c>
      <c r="D2502">
        <v>-0.8846982758620691</v>
      </c>
      <c r="E2502">
        <v>-0.9208579881656801</v>
      </c>
      <c r="F2502">
        <v>-0.9037769784172661</v>
      </c>
      <c r="G2502">
        <v>-0.995046296296296</v>
      </c>
      <c r="H2502">
        <v>-0.9938292964244521</v>
      </c>
      <c r="I2502">
        <v>-0.9981876693766931</v>
      </c>
    </row>
    <row r="2503" spans="1:9">
      <c r="A2503" s="8" t="s">
        <v>2515</v>
      </c>
      <c r="B2503">
        <f>HYPERLINK("https://www.suredividend.com/sure-analysis-SEIC/","SEI Investments Co.")</f>
        <v>0</v>
      </c>
      <c r="C2503">
        <v>-0.044509516837481</v>
      </c>
      <c r="D2503">
        <v>-0.052279988382224</v>
      </c>
      <c r="E2503">
        <v>0.104807759048301</v>
      </c>
      <c r="F2503">
        <v>0.02690794649882</v>
      </c>
      <c r="G2503">
        <v>0.138296183760005</v>
      </c>
      <c r="H2503">
        <v>0.169102446050382</v>
      </c>
      <c r="I2503">
        <v>0.313221154813601</v>
      </c>
    </row>
    <row r="2504" spans="1:9">
      <c r="A2504" s="8" t="s">
        <v>2516</v>
      </c>
      <c r="B2504">
        <f>HYPERLINK("https://www.suredividend.com/sure-analysis-research-database/","Selecta Biosciences Inc")</f>
        <v>0</v>
      </c>
      <c r="C2504">
        <v>-0.184074074074074</v>
      </c>
      <c r="D2504">
        <v>-0.198909090909091</v>
      </c>
      <c r="E2504">
        <v>-0.240344827586206</v>
      </c>
      <c r="F2504">
        <v>-0.220176991150442</v>
      </c>
      <c r="G2504">
        <v>-0.4277922077922071</v>
      </c>
      <c r="H2504">
        <v>-0.7579120879120881</v>
      </c>
      <c r="I2504">
        <v>-0.8437588652482271</v>
      </c>
    </row>
    <row r="2505" spans="1:9">
      <c r="A2505" s="8" t="s">
        <v>2517</v>
      </c>
      <c r="B2505">
        <f>HYPERLINK("https://www.suredividend.com/sure-analysis-research-database/","Global Self Storage Inc")</f>
        <v>0</v>
      </c>
      <c r="C2505">
        <v>-0.08253283302063701</v>
      </c>
      <c r="D2505">
        <v>0.206032505487459</v>
      </c>
      <c r="E2505">
        <v>0.122818699485672</v>
      </c>
      <c r="F2505">
        <v>0.09285746211951901</v>
      </c>
      <c r="G2505">
        <v>0.09936826959825501</v>
      </c>
      <c r="H2505">
        <v>-0.109401180155897</v>
      </c>
      <c r="I2505">
        <v>0.73987760620508</v>
      </c>
    </row>
    <row r="2506" spans="1:9">
      <c r="A2506" s="8" t="s">
        <v>2518</v>
      </c>
      <c r="B2506">
        <f>HYPERLINK("https://www.suredividend.com/sure-analysis-research-database/","Select Medical Holdings Corporation")</f>
        <v>0</v>
      </c>
      <c r="C2506">
        <v>0.026065624041704</v>
      </c>
      <c r="D2506">
        <v>0.187522847215567</v>
      </c>
      <c r="E2506">
        <v>0.4302140191749551</v>
      </c>
      <c r="F2506">
        <v>0.435694119060491</v>
      </c>
      <c r="G2506">
        <v>0.166715483214081</v>
      </c>
      <c r="H2506">
        <v>0.396884771618107</v>
      </c>
      <c r="I2506">
        <v>1.358680097843633</v>
      </c>
    </row>
    <row r="2507" spans="1:9">
      <c r="A2507" s="8" t="s">
        <v>2519</v>
      </c>
      <c r="B2507">
        <f>HYPERLINK("https://www.suredividend.com/sure-analysis-research-database/","Seneca Foods Corp.")</f>
        <v>0</v>
      </c>
      <c r="C2507">
        <v>-0.012242159986583</v>
      </c>
      <c r="D2507">
        <v>0.18439573697969</v>
      </c>
      <c r="E2507">
        <v>0.160133937364585</v>
      </c>
      <c r="F2507">
        <v>0.123188405797101</v>
      </c>
      <c r="G2507">
        <v>0.188938231731933</v>
      </c>
      <c r="H2507">
        <v>0.013246172372268</v>
      </c>
      <c r="I2507">
        <v>1.348484848484848</v>
      </c>
    </row>
    <row r="2508" spans="1:9">
      <c r="A2508" s="8" t="s">
        <v>2520</v>
      </c>
      <c r="B2508">
        <f>HYPERLINK("https://www.suredividend.com/sure-analysis-research-database/","Seneca Foods Corp.")</f>
        <v>0</v>
      </c>
      <c r="C2508">
        <v>-0.006924505995608001</v>
      </c>
      <c r="D2508">
        <v>0.17341847934544</v>
      </c>
      <c r="E2508">
        <v>0.14396887159533</v>
      </c>
      <c r="F2508">
        <v>0.138211382113821</v>
      </c>
      <c r="G2508">
        <v>0.230898053171446</v>
      </c>
      <c r="H2508">
        <v>0.003412969283276</v>
      </c>
      <c r="I2508">
        <v>1.416769420468557</v>
      </c>
    </row>
    <row r="2509" spans="1:9">
      <c r="A2509" s="8" t="s">
        <v>2521</v>
      </c>
      <c r="B2509">
        <f>HYPERLINK("https://www.suredividend.com/sure-analysis-research-database/","Senseonics Holdings Inc")</f>
        <v>0</v>
      </c>
      <c r="C2509">
        <v>-0.181800039912193</v>
      </c>
      <c r="D2509">
        <v>-0.306377939434951</v>
      </c>
      <c r="E2509">
        <v>-0.347133757961783</v>
      </c>
      <c r="F2509">
        <v>-0.280827924925451</v>
      </c>
      <c r="G2509">
        <v>-0.448776552836784</v>
      </c>
      <c r="H2509">
        <v>-0.649572649572649</v>
      </c>
      <c r="I2509">
        <v>-0.784210526315789</v>
      </c>
    </row>
    <row r="2510" spans="1:9">
      <c r="A2510" s="8" t="s">
        <v>2522</v>
      </c>
      <c r="B2510">
        <f>HYPERLINK("https://www.suredividend.com/sure-analysis-research-database/","Serve Robotics Inc")</f>
        <v>0</v>
      </c>
      <c r="C2510">
        <v>0.052631578947368</v>
      </c>
      <c r="D2510">
        <v>-0.09967845659163901</v>
      </c>
      <c r="E2510">
        <v>-0.09967845659163901</v>
      </c>
      <c r="F2510">
        <v>-0.09967845659163901</v>
      </c>
      <c r="G2510">
        <v>-0.09967845659163901</v>
      </c>
      <c r="H2510">
        <v>-0.09967845659163901</v>
      </c>
      <c r="I2510">
        <v>-0.09967845659163901</v>
      </c>
    </row>
    <row r="2511" spans="1:9">
      <c r="A2511" s="8" t="s">
        <v>2523</v>
      </c>
      <c r="B2511">
        <f>HYPERLINK("https://www.suredividend.com/sure-analysis-research-database/","SES AI Corporation")</f>
        <v>0</v>
      </c>
      <c r="C2511">
        <v>-0.107913669064748</v>
      </c>
      <c r="D2511">
        <v>-0.24390243902439</v>
      </c>
      <c r="E2511">
        <v>-0.415094339622641</v>
      </c>
      <c r="F2511">
        <v>-0.322404371584699</v>
      </c>
      <c r="G2511">
        <v>-0.415094339622641</v>
      </c>
      <c r="H2511">
        <v>-0.7669172932330821</v>
      </c>
      <c r="I2511">
        <v>-0.8846511627906971</v>
      </c>
    </row>
    <row r="2512" spans="1:9">
      <c r="A2512" s="8" t="s">
        <v>2524</v>
      </c>
      <c r="B2512">
        <f>HYPERLINK("https://www.suredividend.com/sure-analysis-research-database/","Stifel Financial Corp.")</f>
        <v>0</v>
      </c>
      <c r="C2512">
        <v>-0.050394303094323</v>
      </c>
      <c r="D2512">
        <v>0.042540060011703</v>
      </c>
      <c r="E2512">
        <v>0.249081675024754</v>
      </c>
      <c r="F2512">
        <v>0.143230514212543</v>
      </c>
      <c r="G2512">
        <v>0.334987914954049</v>
      </c>
      <c r="H2512">
        <v>0.26212949858553</v>
      </c>
      <c r="I2512">
        <v>1.247400877006454</v>
      </c>
    </row>
    <row r="2513" spans="1:9">
      <c r="A2513" s="8" t="s">
        <v>2525</v>
      </c>
      <c r="B2513">
        <f>HYPERLINK("https://www.suredividend.com/sure-analysis-research-database/","Sound Financial Bancorp Inc")</f>
        <v>0</v>
      </c>
      <c r="C2513">
        <v>0.124299541518084</v>
      </c>
      <c r="D2513">
        <v>0.124591717664803</v>
      </c>
      <c r="E2513">
        <v>0.229324428575804</v>
      </c>
      <c r="F2513">
        <v>0.14333670929356</v>
      </c>
      <c r="G2513">
        <v>0.242260497579646</v>
      </c>
      <c r="H2513">
        <v>0.25943003229893</v>
      </c>
      <c r="I2513">
        <v>0.368050110181652</v>
      </c>
    </row>
    <row r="2514" spans="1:9">
      <c r="A2514" s="8" t="s">
        <v>2526</v>
      </c>
      <c r="B2514">
        <f>HYPERLINK("https://www.suredividend.com/sure-analysis-research-database/","ServisFirst Bancshares Inc")</f>
        <v>0</v>
      </c>
      <c r="C2514">
        <v>-0.050482671308751</v>
      </c>
      <c r="D2514">
        <v>-0.071720426946718</v>
      </c>
      <c r="E2514">
        <v>0.07655180456996201</v>
      </c>
      <c r="F2514">
        <v>-0.09540465565070501</v>
      </c>
      <c r="G2514">
        <v>0.329024341080806</v>
      </c>
      <c r="H2514">
        <v>-0.237592775429139</v>
      </c>
      <c r="I2514">
        <v>1.072739332301569</v>
      </c>
    </row>
    <row r="2515" spans="1:9">
      <c r="A2515" s="8" t="s">
        <v>2527</v>
      </c>
      <c r="B2515">
        <f>HYPERLINK("https://www.suredividend.com/sure-analysis-research-database/","Safeguard Scientifics, Inc.")</f>
        <v>0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</row>
    <row r="2516" spans="1:9">
      <c r="A2516" s="8" t="s">
        <v>2528</v>
      </c>
      <c r="B2516">
        <f>HYPERLINK("https://www.suredividend.com/sure-analysis-research-database/","Stitch Fix Inc")</f>
        <v>0</v>
      </c>
      <c r="C2516">
        <v>0.693181818181818</v>
      </c>
      <c r="D2516">
        <v>0.514227642276422</v>
      </c>
      <c r="E2516">
        <v>-0.019736842105263</v>
      </c>
      <c r="F2516">
        <v>0.043417366946778</v>
      </c>
      <c r="G2516">
        <v>-0.209129511677282</v>
      </c>
      <c r="H2516">
        <v>-0.5479368932038831</v>
      </c>
      <c r="I2516">
        <v>-0.866821594565606</v>
      </c>
    </row>
    <row r="2517" spans="1:9">
      <c r="A2517" s="8" t="s">
        <v>2529</v>
      </c>
      <c r="B2517">
        <f>HYPERLINK("https://www.suredividend.com/sure-analysis-research-database/","Sprouts Farmers Market Inc")</f>
        <v>0</v>
      </c>
      <c r="C2517">
        <v>0.030226026481209</v>
      </c>
      <c r="D2517">
        <v>0.21671141999684</v>
      </c>
      <c r="E2517">
        <v>0.6655135135135131</v>
      </c>
      <c r="F2517">
        <v>0.601122427769694</v>
      </c>
      <c r="G2517">
        <v>1.286435143959632</v>
      </c>
      <c r="H2517">
        <v>1.851906701221769</v>
      </c>
      <c r="I2517">
        <v>2.768590998043052</v>
      </c>
    </row>
    <row r="2518" spans="1:9">
      <c r="A2518" s="8" t="s">
        <v>2530</v>
      </c>
      <c r="B2518">
        <f>HYPERLINK("https://www.suredividend.com/sure-analysis-research-database/","Simmons First National Corp.")</f>
        <v>0</v>
      </c>
      <c r="C2518">
        <v>-0.061132922041503</v>
      </c>
      <c r="D2518">
        <v>-0.131922837585563</v>
      </c>
      <c r="E2518">
        <v>-0.013128806145248</v>
      </c>
      <c r="F2518">
        <v>-0.137171220485225</v>
      </c>
      <c r="G2518">
        <v>-0.041698152091777</v>
      </c>
      <c r="H2518">
        <v>-0.257912935543931</v>
      </c>
      <c r="I2518">
        <v>-0.124952954459917</v>
      </c>
    </row>
    <row r="2519" spans="1:9">
      <c r="A2519" s="8" t="s">
        <v>2531</v>
      </c>
      <c r="B2519">
        <f>HYPERLINK("https://www.suredividend.com/sure-analysis-research-database/","Southern First Bancshares Inc")</f>
        <v>0</v>
      </c>
      <c r="C2519">
        <v>-0.028476331360946</v>
      </c>
      <c r="D2519">
        <v>-0.179575265459088</v>
      </c>
      <c r="E2519">
        <v>-0.1657669101302</v>
      </c>
      <c r="F2519">
        <v>-0.291913746630727</v>
      </c>
      <c r="G2519">
        <v>-0.05740940078937901</v>
      </c>
      <c r="H2519">
        <v>-0.4356605800214821</v>
      </c>
      <c r="I2519">
        <v>-0.256649688737974</v>
      </c>
    </row>
    <row r="2520" spans="1:9">
      <c r="A2520" s="8" t="s">
        <v>2532</v>
      </c>
      <c r="B2520">
        <f>HYPERLINK("https://www.suredividend.com/sure-analysis-research-database/","Saga Communications, Inc.")</f>
        <v>0</v>
      </c>
      <c r="C2520">
        <v>-0.21827746109716</v>
      </c>
      <c r="D2520">
        <v>-0.23936063490648</v>
      </c>
      <c r="E2520">
        <v>0.08068388412737601</v>
      </c>
      <c r="F2520">
        <v>-0.151889357851983</v>
      </c>
      <c r="G2520">
        <v>0.06135450235787401</v>
      </c>
      <c r="H2520">
        <v>0.128687586421345</v>
      </c>
      <c r="I2520">
        <v>-0.025816435493173</v>
      </c>
    </row>
    <row r="2521" spans="1:9">
      <c r="A2521" s="8" t="s">
        <v>2533</v>
      </c>
      <c r="B2521">
        <f>HYPERLINK("https://www.suredividend.com/sure-analysis-research-database/","Superior Group of Companies Inc..")</f>
        <v>0</v>
      </c>
      <c r="C2521">
        <v>0.268659898044326</v>
      </c>
      <c r="D2521">
        <v>0.491746338668671</v>
      </c>
      <c r="E2521">
        <v>0.6432110062793851</v>
      </c>
      <c r="F2521">
        <v>0.595740605967747</v>
      </c>
      <c r="G2521">
        <v>1.556675217556736</v>
      </c>
      <c r="H2521">
        <v>0.353221290335154</v>
      </c>
      <c r="I2521">
        <v>0.6638576255481621</v>
      </c>
    </row>
    <row r="2522" spans="1:9">
      <c r="A2522" s="8" t="s">
        <v>2534</v>
      </c>
      <c r="B2522">
        <f>HYPERLINK("https://www.suredividend.com/sure-analysis-research-database/","Seagen Inc")</f>
        <v>0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</row>
    <row r="2523" spans="1:9">
      <c r="A2523" s="8" t="s">
        <v>2535</v>
      </c>
      <c r="B2523">
        <f>HYPERLINK("https://www.suredividend.com/sure-analysis-research-database/","SMART Global Holdings Inc")</f>
        <v>0</v>
      </c>
      <c r="C2523">
        <v>0.153264975715056</v>
      </c>
      <c r="D2523">
        <v>-0.116577097974369</v>
      </c>
      <c r="E2523">
        <v>0.219053051911009</v>
      </c>
      <c r="F2523">
        <v>0.128895932382461</v>
      </c>
      <c r="G2523">
        <v>-0.111064891846921</v>
      </c>
      <c r="H2523">
        <v>-0.143486973947895</v>
      </c>
      <c r="I2523">
        <v>1.278251599147121</v>
      </c>
    </row>
    <row r="2524" spans="1:9">
      <c r="A2524" s="8" t="s">
        <v>2536</v>
      </c>
      <c r="B2524">
        <f>HYPERLINK("https://www.suredividend.com/sure-analysis-research-database/","Sigmatron International Inc.")</f>
        <v>0</v>
      </c>
      <c r="C2524">
        <v>0.08260869565217401</v>
      </c>
      <c r="D2524">
        <v>0.464705882352941</v>
      </c>
      <c r="E2524">
        <v>0.358799454297408</v>
      </c>
      <c r="F2524">
        <v>0.654485049833887</v>
      </c>
      <c r="G2524">
        <v>0.387186629526462</v>
      </c>
      <c r="H2524">
        <v>-0.343873517786561</v>
      </c>
      <c r="I2524">
        <v>1.253291706257635</v>
      </c>
    </row>
    <row r="2525" spans="1:9">
      <c r="A2525" s="8" t="s">
        <v>2537</v>
      </c>
      <c r="B2525">
        <f>HYPERLINK("https://www.suredividend.com/sure-analysis-research-database/","Sangamo Therapeutics Inc")</f>
        <v>0</v>
      </c>
      <c r="C2525">
        <v>0.06371550287090201</v>
      </c>
      <c r="D2525">
        <v>-0.375285543348199</v>
      </c>
      <c r="E2525">
        <v>0.255300546448087</v>
      </c>
      <c r="F2525">
        <v>0.057058715258604</v>
      </c>
      <c r="G2525">
        <v>-0.5582307692307691</v>
      </c>
      <c r="H2525">
        <v>-0.857139303482587</v>
      </c>
      <c r="I2525">
        <v>-0.9398638743455491</v>
      </c>
    </row>
    <row r="2526" spans="1:9">
      <c r="A2526" s="8" t="s">
        <v>2538</v>
      </c>
      <c r="B2526">
        <f>HYPERLINK("https://www.suredividend.com/sure-analysis-research-database/","Spar Group, Inc.")</f>
        <v>0</v>
      </c>
      <c r="C2526">
        <v>0.254335260115606</v>
      </c>
      <c r="D2526">
        <v>1.106796116504854</v>
      </c>
      <c r="E2526">
        <v>1.358695652173913</v>
      </c>
      <c r="F2526">
        <v>1.148514851485148</v>
      </c>
      <c r="G2526">
        <v>0.631578947368421</v>
      </c>
      <c r="H2526">
        <v>0.8235294117647051</v>
      </c>
      <c r="I2526">
        <v>2.149949194367833</v>
      </c>
    </row>
    <row r="2527" spans="1:9">
      <c r="A2527" s="8" t="s">
        <v>2539</v>
      </c>
      <c r="B2527">
        <f>HYPERLINK("https://www.suredividend.com/sure-analysis-research-database/","Surgery Partners Inc")</f>
        <v>0</v>
      </c>
      <c r="C2527">
        <v>-0.083183291321569</v>
      </c>
      <c r="D2527">
        <v>-0.151616127957347</v>
      </c>
      <c r="E2527">
        <v>-0.216133004926108</v>
      </c>
      <c r="F2527">
        <v>-0.204126289465457</v>
      </c>
      <c r="G2527">
        <v>-0.342118863049095</v>
      </c>
      <c r="H2527">
        <v>-0.357395254921756</v>
      </c>
      <c r="I2527">
        <v>1.906392694063927</v>
      </c>
    </row>
    <row r="2528" spans="1:9">
      <c r="A2528" s="8" t="s">
        <v>2540</v>
      </c>
      <c r="B2528">
        <f>HYPERLINK("https://www.suredividend.com/sure-analysis-research-database/","Shake Shack Inc")</f>
        <v>0</v>
      </c>
      <c r="C2528">
        <v>-0.123347598668568</v>
      </c>
      <c r="D2528">
        <v>-0.117387973956338</v>
      </c>
      <c r="E2528">
        <v>0.493519118600129</v>
      </c>
      <c r="F2528">
        <v>0.243658931462493</v>
      </c>
      <c r="G2528">
        <v>0.313666809177711</v>
      </c>
      <c r="H2528">
        <v>0.9488372093023251</v>
      </c>
      <c r="I2528">
        <v>0.4475502512562811</v>
      </c>
    </row>
    <row r="2529" spans="1:9">
      <c r="A2529" s="8" t="s">
        <v>2541</v>
      </c>
      <c r="B2529">
        <f>HYPERLINK("https://www.suredividend.com/sure-analysis-research-database/","Shore Bancshares Inc.")</f>
        <v>0</v>
      </c>
      <c r="C2529">
        <v>-0.002900151912719</v>
      </c>
      <c r="D2529">
        <v>-0.022280803120034</v>
      </c>
      <c r="E2529">
        <v>-0.123041418680918</v>
      </c>
      <c r="F2529">
        <v>-0.206122314340377</v>
      </c>
      <c r="G2529">
        <v>-0.034217073757992</v>
      </c>
      <c r="H2529">
        <v>-0.405519936764447</v>
      </c>
      <c r="I2529">
        <v>-0.139841311444161</v>
      </c>
    </row>
    <row r="2530" spans="1:9">
      <c r="A2530" s="8" t="s">
        <v>2542</v>
      </c>
      <c r="B2530">
        <f>HYPERLINK("https://www.suredividend.com/sure-analysis-research-database/","Shenandoah Telecommunications Co.")</f>
        <v>0</v>
      </c>
      <c r="C2530">
        <v>0.195302013422818</v>
      </c>
      <c r="D2530">
        <v>-0.037817396002161</v>
      </c>
      <c r="E2530">
        <v>-0.165807962529274</v>
      </c>
      <c r="F2530">
        <v>-0.176225716928769</v>
      </c>
      <c r="G2530">
        <v>-0.124019378796448</v>
      </c>
      <c r="H2530">
        <v>-0.206228941222612</v>
      </c>
      <c r="I2530">
        <v>-0.240165021992977</v>
      </c>
    </row>
    <row r="2531" spans="1:9">
      <c r="A2531" s="8" t="s">
        <v>2543</v>
      </c>
      <c r="B2531">
        <f>HYPERLINK("https://www.suredividend.com/sure-analysis-research-database/","Sunstone Hotel Investors Inc")</f>
        <v>0</v>
      </c>
      <c r="C2531">
        <v>-0.035645472061657</v>
      </c>
      <c r="D2531">
        <v>-0.101282983632756</v>
      </c>
      <c r="E2531">
        <v>0.00087989441267</v>
      </c>
      <c r="F2531">
        <v>-0.061081304168386</v>
      </c>
      <c r="G2531">
        <v>-0.048370536563106</v>
      </c>
      <c r="H2531">
        <v>-0.17743830787309</v>
      </c>
      <c r="I2531">
        <v>-0.190214621439492</v>
      </c>
    </row>
    <row r="2532" spans="1:9">
      <c r="A2532" s="8" t="s">
        <v>2544</v>
      </c>
      <c r="B2532">
        <f>HYPERLINK("https://www.suredividend.com/sure-analysis-research-database/","Steven Madden Ltd.")</f>
        <v>0</v>
      </c>
      <c r="C2532">
        <v>0.096527948781088</v>
      </c>
      <c r="D2532">
        <v>0.051972596267422</v>
      </c>
      <c r="E2532">
        <v>0.16943553004081</v>
      </c>
      <c r="F2532">
        <v>0.070916664261733</v>
      </c>
      <c r="G2532">
        <v>0.383980879743157</v>
      </c>
      <c r="H2532">
        <v>0.196509084655772</v>
      </c>
      <c r="I2532">
        <v>0.557635667862964</v>
      </c>
    </row>
    <row r="2533" spans="1:9">
      <c r="A2533" s="8" t="s">
        <v>2545</v>
      </c>
      <c r="B2533">
        <f>HYPERLINK("https://www.suredividend.com/sure-analysis-research-database/","SharpSpring Inc")</f>
        <v>0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</row>
    <row r="2534" spans="1:9">
      <c r="A2534" s="8" t="s">
        <v>2546</v>
      </c>
      <c r="B2534">
        <f>HYPERLINK("https://www.suredividend.com/sure-analysis-SHW/","Sherwin-Williams Co.")</f>
        <v>0</v>
      </c>
      <c r="C2534">
        <v>-0.082003687707056</v>
      </c>
      <c r="D2534">
        <v>-0.15101469664951</v>
      </c>
      <c r="E2534">
        <v>0.005779745432133001</v>
      </c>
      <c r="F2534">
        <v>-0.059745682060385</v>
      </c>
      <c r="G2534">
        <v>0.22358213046206</v>
      </c>
      <c r="H2534">
        <v>0.07357767046699801</v>
      </c>
      <c r="I2534">
        <v>0.9323175897490201</v>
      </c>
    </row>
    <row r="2535" spans="1:9">
      <c r="A2535" s="8" t="s">
        <v>2547</v>
      </c>
      <c r="B2535">
        <f>HYPERLINK("https://www.suredividend.com/sure-analysis-research-database/","SI-BONE Inc")</f>
        <v>0</v>
      </c>
      <c r="C2535">
        <v>-0.153061224489795</v>
      </c>
      <c r="D2535">
        <v>-0.256022408963585</v>
      </c>
      <c r="E2535">
        <v>-0.287935656836461</v>
      </c>
      <c r="F2535">
        <v>-0.367317770366841</v>
      </c>
      <c r="G2535">
        <v>-0.515858549033904</v>
      </c>
      <c r="H2535">
        <v>-0.117607973421926</v>
      </c>
      <c r="I2535">
        <v>-0.234582132564841</v>
      </c>
    </row>
    <row r="2536" spans="1:9">
      <c r="A2536" s="8" t="s">
        <v>2548</v>
      </c>
      <c r="B2536">
        <f>HYPERLINK("https://www.suredividend.com/sure-analysis-research-database/","Siebert Financial Corp.")</f>
        <v>0</v>
      </c>
      <c r="C2536">
        <v>-0.144628099173553</v>
      </c>
      <c r="D2536">
        <v>0.169491525423728</v>
      </c>
      <c r="E2536">
        <v>0.217647058823529</v>
      </c>
      <c r="F2536">
        <v>0.232142857142856</v>
      </c>
      <c r="G2536">
        <v>-0.218867924528301</v>
      </c>
      <c r="H2536">
        <v>0.262195121951219</v>
      </c>
      <c r="I2536">
        <v>-0.7687150837988821</v>
      </c>
    </row>
    <row r="2537" spans="1:9">
      <c r="A2537" s="8" t="s">
        <v>2549</v>
      </c>
      <c r="B2537">
        <f>HYPERLINK("https://www.suredividend.com/sure-analysis-research-database/","Sientra Inc")</f>
        <v>0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</row>
    <row r="2538" spans="1:9">
      <c r="A2538" s="8" t="s">
        <v>2550</v>
      </c>
      <c r="B2538">
        <f>HYPERLINK("https://www.suredividend.com/sure-analysis-research-database/","SIFCO Industries Inc.")</f>
        <v>0</v>
      </c>
      <c r="C2538">
        <v>-0.012345679012345</v>
      </c>
      <c r="D2538">
        <v>0.042345276872964</v>
      </c>
      <c r="E2538">
        <v>-0.18158567774936</v>
      </c>
      <c r="F2538">
        <v>-0.295154185022026</v>
      </c>
      <c r="G2538">
        <v>0.209829867674858</v>
      </c>
      <c r="H2538">
        <v>-0.179487179487179</v>
      </c>
      <c r="I2538">
        <v>0.07023411371237401</v>
      </c>
    </row>
    <row r="2539" spans="1:9">
      <c r="A2539" s="8" t="s">
        <v>2551</v>
      </c>
      <c r="B2539">
        <f>HYPERLINK("https://www.suredividend.com/sure-analysis-research-database/","Signet Jewelers Ltd")</f>
        <v>0</v>
      </c>
      <c r="C2539">
        <v>0.09281653746770001</v>
      </c>
      <c r="D2539">
        <v>0.09175243148022101</v>
      </c>
      <c r="E2539">
        <v>0.091623931270952</v>
      </c>
      <c r="F2539">
        <v>-0.009030540754591001</v>
      </c>
      <c r="G2539">
        <v>0.538638407604567</v>
      </c>
      <c r="H2539">
        <v>0.6784644423665821</v>
      </c>
      <c r="I2539">
        <v>4.866034919912783</v>
      </c>
    </row>
    <row r="2540" spans="1:9">
      <c r="A2540" s="8" t="s">
        <v>2552</v>
      </c>
      <c r="B2540">
        <f>HYPERLINK("https://www.suredividend.com/sure-analysis-research-database/","SIGA Technologies Inc")</f>
        <v>0</v>
      </c>
      <c r="C2540">
        <v>-0.265774378585086</v>
      </c>
      <c r="D2540">
        <v>0.773672055427251</v>
      </c>
      <c r="E2540">
        <v>0.5026413617687341</v>
      </c>
      <c r="F2540">
        <v>0.5804420298802321</v>
      </c>
      <c r="G2540">
        <v>0.4026372502465571</v>
      </c>
      <c r="H2540">
        <v>-0.197651458957991</v>
      </c>
      <c r="I2540">
        <v>0.8172783417335131</v>
      </c>
    </row>
    <row r="2541" spans="1:9">
      <c r="A2541" s="8" t="s">
        <v>2553</v>
      </c>
      <c r="B2541">
        <f>HYPERLINK("https://www.suredividend.com/sure-analysis-research-database/","Selective Insurance Group Inc.")</f>
        <v>0</v>
      </c>
      <c r="C2541">
        <v>-0.05031390749305401</v>
      </c>
      <c r="D2541">
        <v>-0.09660418682390301</v>
      </c>
      <c r="E2541">
        <v>-0.049069660870846</v>
      </c>
      <c r="F2541">
        <v>-0.039510467409013</v>
      </c>
      <c r="G2541">
        <v>-0.05095201973649</v>
      </c>
      <c r="H2541">
        <v>0.230173394252226</v>
      </c>
      <c r="I2541">
        <v>0.370704091743039</v>
      </c>
    </row>
    <row r="2542" spans="1:9">
      <c r="A2542" s="8" t="s">
        <v>2554</v>
      </c>
      <c r="B2542">
        <f>HYPERLINK("https://www.suredividend.com/sure-analysis-research-database/","Silk Road Medical Inc")</f>
        <v>0</v>
      </c>
      <c r="C2542">
        <v>0.013132295719844</v>
      </c>
      <c r="D2542">
        <v>0.303504380475594</v>
      </c>
      <c r="E2542">
        <v>1.072636815920397</v>
      </c>
      <c r="F2542">
        <v>0.69763651181744</v>
      </c>
      <c r="G2542">
        <v>-0.34165613147914</v>
      </c>
      <c r="H2542">
        <v>-0.439300134589502</v>
      </c>
      <c r="I2542">
        <v>-0.5324354657687991</v>
      </c>
    </row>
    <row r="2543" spans="1:9">
      <c r="A2543" s="8" t="s">
        <v>2555</v>
      </c>
      <c r="B2543">
        <f>HYPERLINK("https://www.suredividend.com/sure-analysis-research-database/","SINTX Technologies Inc")</f>
        <v>0</v>
      </c>
      <c r="C2543">
        <v>-0.42393736017897</v>
      </c>
      <c r="D2543">
        <v>-0.805366591080876</v>
      </c>
      <c r="E2543">
        <v>-0.935285247549635</v>
      </c>
      <c r="F2543">
        <v>-0.9324855794441531</v>
      </c>
      <c r="G2543">
        <v>-0.98327922077922</v>
      </c>
      <c r="H2543">
        <v>-0.9995093368902441</v>
      </c>
      <c r="I2543">
        <v>-0.9999427396041801</v>
      </c>
    </row>
    <row r="2544" spans="1:9">
      <c r="A2544" s="8" t="s">
        <v>2556</v>
      </c>
      <c r="B2544">
        <f>HYPERLINK("https://www.suredividend.com/sure-analysis-research-database/","Sirius XM Holdings Inc")</f>
        <v>0</v>
      </c>
      <c r="C2544">
        <v>-0.16777738044927</v>
      </c>
      <c r="D2544">
        <v>-0.376840875343832</v>
      </c>
      <c r="E2544">
        <v>-0.444034226642922</v>
      </c>
      <c r="F2544">
        <v>-0.52128057446331</v>
      </c>
      <c r="G2544">
        <v>-0.30734056657377</v>
      </c>
      <c r="H2544">
        <v>-0.562475431970056</v>
      </c>
      <c r="I2544">
        <v>-0.447430335211206</v>
      </c>
    </row>
    <row r="2545" spans="1:9">
      <c r="A2545" s="8" t="s">
        <v>2557</v>
      </c>
      <c r="B2545">
        <f>HYPERLINK("https://www.suredividend.com/sure-analysis-research-database/","SITE Centers Corp")</f>
        <v>0</v>
      </c>
      <c r="C2545">
        <v>0.04717655468191501</v>
      </c>
      <c r="D2545">
        <v>0.047798193352739</v>
      </c>
      <c r="E2545">
        <v>0.12214962505649</v>
      </c>
      <c r="F2545">
        <v>0.08469506371195201</v>
      </c>
      <c r="G2545">
        <v>0.159798915409888</v>
      </c>
      <c r="H2545">
        <v>0.059459928549733</v>
      </c>
      <c r="I2545">
        <v>0.353999149707018</v>
      </c>
    </row>
    <row r="2546" spans="1:9">
      <c r="A2546" s="8" t="s">
        <v>2558</v>
      </c>
      <c r="B2546">
        <f>HYPERLINK("https://www.suredividend.com/sure-analysis-research-database/","SiteOne Landscape Supply Inc")</f>
        <v>0</v>
      </c>
      <c r="C2546">
        <v>-0.179326245676956</v>
      </c>
      <c r="D2546">
        <v>-0.285052725548178</v>
      </c>
      <c r="E2546">
        <v>-0.128121385316731</v>
      </c>
      <c r="F2546">
        <v>-0.211446153846153</v>
      </c>
      <c r="G2546">
        <v>-0.161552051298828</v>
      </c>
      <c r="H2546">
        <v>-0.05807115554248701</v>
      </c>
      <c r="I2546">
        <v>0.864668218859138</v>
      </c>
    </row>
    <row r="2547" spans="1:9">
      <c r="A2547" s="8" t="s">
        <v>2559</v>
      </c>
      <c r="B2547">
        <f>HYPERLINK("https://www.suredividend.com/sure-analysis-research-database/","SVB Financial Group")</f>
        <v>0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</row>
    <row r="2548" spans="1:9">
      <c r="A2548" s="8" t="s">
        <v>2560</v>
      </c>
      <c r="B2548">
        <f>HYPERLINK("https://www.suredividend.com/sure-analysis-research-database/","Six Flags Entertainment Corp")</f>
        <v>0</v>
      </c>
      <c r="C2548">
        <v>0.053784860557768</v>
      </c>
      <c r="D2548">
        <v>0</v>
      </c>
      <c r="E2548">
        <v>0.06438631790744401</v>
      </c>
      <c r="F2548">
        <v>0.05462519936204101</v>
      </c>
      <c r="G2548">
        <v>-0.060724431818181</v>
      </c>
      <c r="H2548">
        <v>-0.09850034083162901</v>
      </c>
      <c r="I2548">
        <v>-0.47723966733074</v>
      </c>
    </row>
    <row r="2549" spans="1:9">
      <c r="A2549" s="8" t="s">
        <v>2561</v>
      </c>
      <c r="B2549">
        <f>HYPERLINK("https://www.suredividend.com/sure-analysis-research-database/","South Jersey Industries Inc.")</f>
        <v>0</v>
      </c>
      <c r="C2549">
        <v>0.015761328454827</v>
      </c>
      <c r="D2549">
        <v>0.05010780408462501</v>
      </c>
      <c r="E2549">
        <v>0.07171810458234401</v>
      </c>
      <c r="F2549">
        <v>0.015761328454827</v>
      </c>
      <c r="G2549">
        <v>0.495016611295681</v>
      </c>
      <c r="H2549">
        <v>0.6962137163483231</v>
      </c>
      <c r="I2549">
        <v>0.505996444696672</v>
      </c>
    </row>
    <row r="2550" spans="1:9">
      <c r="A2550" s="8" t="s">
        <v>2562</v>
      </c>
      <c r="B2550">
        <f>HYPERLINK("https://www.suredividend.com/sure-analysis-SJM/","J.M. Smucker Co.")</f>
        <v>0</v>
      </c>
      <c r="C2550">
        <v>0.027593449069419</v>
      </c>
      <c r="D2550">
        <v>-0.012622595639841</v>
      </c>
      <c r="E2550">
        <v>-0.033149403559638</v>
      </c>
      <c r="F2550">
        <v>-0.07384883550466201</v>
      </c>
      <c r="G2550">
        <v>-0.197973799175373</v>
      </c>
      <c r="H2550">
        <v>-0.054156880971673</v>
      </c>
      <c r="I2550">
        <v>0.084085961284799</v>
      </c>
    </row>
    <row r="2551" spans="1:9">
      <c r="A2551" s="8" t="s">
        <v>2563</v>
      </c>
      <c r="B2551">
        <f>HYPERLINK("https://www.suredividend.com/sure-analysis-SJW/","SJW Group")</f>
        <v>0</v>
      </c>
      <c r="C2551">
        <v>-0.058623771224307</v>
      </c>
      <c r="D2551">
        <v>-0.072827164210107</v>
      </c>
      <c r="E2551">
        <v>-0.214259394351678</v>
      </c>
      <c r="F2551">
        <v>-0.182757058359866</v>
      </c>
      <c r="G2551">
        <v>-0.290067960458389</v>
      </c>
      <c r="H2551">
        <v>-0.126671585736907</v>
      </c>
      <c r="I2551">
        <v>-0.051337979081525</v>
      </c>
    </row>
    <row r="2552" spans="1:9">
      <c r="A2552" s="8" t="s">
        <v>2564</v>
      </c>
      <c r="B2552">
        <f>HYPERLINK("https://www.suredividend.com/sure-analysis-SKT/","Tanger Inc.")</f>
        <v>0</v>
      </c>
      <c r="C2552">
        <v>-0.04761904761904701</v>
      </c>
      <c r="D2552">
        <v>-0.07967032967032901</v>
      </c>
      <c r="E2552">
        <v>0.025232972716561</v>
      </c>
      <c r="F2552">
        <v>-0.014713127109359</v>
      </c>
      <c r="G2552">
        <v>0.25734821508161</v>
      </c>
      <c r="H2552">
        <v>0.7053444732203651</v>
      </c>
      <c r="I2552">
        <v>1.140968388761513</v>
      </c>
    </row>
    <row r="2553" spans="1:9">
      <c r="A2553" s="8" t="s">
        <v>2565</v>
      </c>
      <c r="B2553">
        <f>HYPERLINK("https://www.suredividend.com/sure-analysis-research-database/","Skechers U S A, Inc.")</f>
        <v>0</v>
      </c>
      <c r="C2553">
        <v>0.09743975903614401</v>
      </c>
      <c r="D2553">
        <v>0.191854759568204</v>
      </c>
      <c r="E2553">
        <v>0.219785738198861</v>
      </c>
      <c r="F2553">
        <v>0.168912415784408</v>
      </c>
      <c r="G2553">
        <v>0.34471304668758</v>
      </c>
      <c r="H2553">
        <v>0.721067548417571</v>
      </c>
      <c r="I2553">
        <v>1.3751629726206</v>
      </c>
    </row>
    <row r="2554" spans="1:9">
      <c r="A2554" s="8" t="s">
        <v>2566</v>
      </c>
      <c r="B2554">
        <f>HYPERLINK("https://www.suredividend.com/sure-analysis-research-database/","Skyline Champion Corp")</f>
        <v>0</v>
      </c>
      <c r="C2554">
        <v>-0.161367349503581</v>
      </c>
      <c r="D2554">
        <v>-0.20417412045319</v>
      </c>
      <c r="E2554">
        <v>0.022995554192856</v>
      </c>
      <c r="F2554">
        <v>-0.101400484783194</v>
      </c>
      <c r="G2554">
        <v>0.021586037966932</v>
      </c>
      <c r="H2554">
        <v>0.213272727272727</v>
      </c>
      <c r="I2554">
        <v>1.646965489884966</v>
      </c>
    </row>
    <row r="2555" spans="1:9">
      <c r="A2555" s="8" t="s">
        <v>2567</v>
      </c>
      <c r="B2555">
        <f>HYPERLINK("https://www.suredividend.com/sure-analysis-research-database/","Skywest Inc.")</f>
        <v>0</v>
      </c>
      <c r="C2555">
        <v>0.026247061896056</v>
      </c>
      <c r="D2555">
        <v>0.151670574443141</v>
      </c>
      <c r="E2555">
        <v>0.6240958875800781</v>
      </c>
      <c r="F2555">
        <v>0.5055555555555551</v>
      </c>
      <c r="G2555">
        <v>1.308076358296622</v>
      </c>
      <c r="H2555">
        <v>1.889338235294118</v>
      </c>
      <c r="I2555">
        <v>0.316655804828687</v>
      </c>
    </row>
    <row r="2556" spans="1:9">
      <c r="A2556" s="8" t="s">
        <v>2568</v>
      </c>
      <c r="B2556">
        <f>HYPERLINK("https://www.suredividend.com/sure-analysis-research-database/","Silicon Laboratories Inc")</f>
        <v>0</v>
      </c>
      <c r="C2556">
        <v>-0.055264827148747</v>
      </c>
      <c r="D2556">
        <v>-0.216066846503059</v>
      </c>
      <c r="E2556">
        <v>0.012577547378261</v>
      </c>
      <c r="F2556">
        <v>-0.099191048612686</v>
      </c>
      <c r="G2556">
        <v>-0.231339913553964</v>
      </c>
      <c r="H2556">
        <v>-0.208463429216767</v>
      </c>
      <c r="I2556">
        <v>0.214824632952691</v>
      </c>
    </row>
    <row r="2557" spans="1:9">
      <c r="A2557" s="8" t="s">
        <v>2569</v>
      </c>
      <c r="B2557">
        <f>HYPERLINK("https://www.suredividend.com/sure-analysis-SLB/","Schlumberger Ltd.")</f>
        <v>0</v>
      </c>
      <c r="C2557">
        <v>-0.06925339706840901</v>
      </c>
      <c r="D2557">
        <v>-0.117092728054651</v>
      </c>
      <c r="E2557">
        <v>-0.069554702038207</v>
      </c>
      <c r="F2557">
        <v>-0.133561790366685</v>
      </c>
      <c r="G2557">
        <v>-0.054720139871713</v>
      </c>
      <c r="H2557">
        <v>-0.053132950335707</v>
      </c>
      <c r="I2557">
        <v>0.427632949319831</v>
      </c>
    </row>
    <row r="2558" spans="1:9">
      <c r="A2558" s="8" t="s">
        <v>2570</v>
      </c>
      <c r="B2558">
        <f>HYPERLINK("https://www.suredividend.com/sure-analysis-research-database/","U.S. Silica Holdings Inc")</f>
        <v>0</v>
      </c>
      <c r="C2558">
        <v>0.001937984496124</v>
      </c>
      <c r="D2558">
        <v>0.348695652173913</v>
      </c>
      <c r="E2558">
        <v>0.429493087557603</v>
      </c>
      <c r="F2558">
        <v>0.371352785145888</v>
      </c>
      <c r="G2558">
        <v>0.197683397683397</v>
      </c>
      <c r="H2558">
        <v>-0.140720221606648</v>
      </c>
      <c r="I2558">
        <v>0.5878215824981311</v>
      </c>
    </row>
    <row r="2559" spans="1:9">
      <c r="A2559" s="8" t="s">
        <v>2571</v>
      </c>
      <c r="B2559">
        <f>HYPERLINK("https://www.suredividend.com/sure-analysis-research-database/","Select Bancorp Inc")</f>
        <v>0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</row>
    <row r="2560" spans="1:9">
      <c r="A2560" s="8" t="s">
        <v>2572</v>
      </c>
      <c r="B2560">
        <f>HYPERLINK("https://www.suredividend.com/sure-analysis-research-database/","Solid Biosciences Inc")</f>
        <v>0</v>
      </c>
      <c r="C2560">
        <v>-0.226487523992322</v>
      </c>
      <c r="D2560">
        <v>-0.206692913385826</v>
      </c>
      <c r="E2560">
        <v>0.399305555555555</v>
      </c>
      <c r="F2560">
        <v>0.312703583061889</v>
      </c>
      <c r="G2560">
        <v>0.28548644338118</v>
      </c>
      <c r="H2560">
        <v>-0.140816544078456</v>
      </c>
      <c r="I2560">
        <v>-0.897650793650793</v>
      </c>
    </row>
    <row r="2561" spans="1:9">
      <c r="A2561" s="8" t="s">
        <v>2573</v>
      </c>
      <c r="B2561">
        <f>HYPERLINK("https://www.suredividend.com/sure-analysis-SLG/","SL Green Realty Corp.")</f>
        <v>0</v>
      </c>
      <c r="C2561">
        <v>0.058944307953935</v>
      </c>
      <c r="D2561">
        <v>0.083848353472926</v>
      </c>
      <c r="E2561">
        <v>0.308941730902891</v>
      </c>
      <c r="F2561">
        <v>0.227279435973705</v>
      </c>
      <c r="G2561">
        <v>1.203819682291156</v>
      </c>
      <c r="H2561">
        <v>0.09758450182253801</v>
      </c>
      <c r="I2561">
        <v>-0.144143359550045</v>
      </c>
    </row>
    <row r="2562" spans="1:9">
      <c r="A2562" s="8" t="s">
        <v>2574</v>
      </c>
      <c r="B2562">
        <f>HYPERLINK("https://www.suredividend.com/sure-analysis-SLGN/","Silgan Holdings Inc.")</f>
        <v>0</v>
      </c>
      <c r="C2562">
        <v>-0.021520583424209</v>
      </c>
      <c r="D2562">
        <v>0.05978536693395801</v>
      </c>
      <c r="E2562">
        <v>0.081307548910689</v>
      </c>
      <c r="F2562">
        <v>0.02371662169058</v>
      </c>
      <c r="G2562">
        <v>0.000847474243536</v>
      </c>
      <c r="H2562">
        <v>0.035356267128227</v>
      </c>
      <c r="I2562">
        <v>0.6469432604027371</v>
      </c>
    </row>
    <row r="2563" spans="1:9">
      <c r="A2563" s="8" t="s">
        <v>2575</v>
      </c>
      <c r="B2563">
        <f>HYPERLINK("https://www.suredividend.com/sure-analysis-research-database/","SLM Corp.")</f>
        <v>0</v>
      </c>
      <c r="C2563">
        <v>-0.03893773886391801</v>
      </c>
      <c r="D2563">
        <v>-0.011988702952986</v>
      </c>
      <c r="E2563">
        <v>0.292085427135678</v>
      </c>
      <c r="F2563">
        <v>0.09881304686915701</v>
      </c>
      <c r="G2563">
        <v>0.249392614188532</v>
      </c>
      <c r="H2563">
        <v>0.11430119176598</v>
      </c>
      <c r="I2563">
        <v>1.383076334905059</v>
      </c>
    </row>
    <row r="2564" spans="1:9">
      <c r="A2564" s="8" t="s">
        <v>2576</v>
      </c>
      <c r="B2564">
        <f>HYPERLINK("https://www.suredividend.com/sure-analysis-research-database/","Stabilis Solutions Inc")</f>
        <v>0</v>
      </c>
      <c r="C2564">
        <v>0.036945812807881</v>
      </c>
      <c r="D2564">
        <v>0.047263681592039</v>
      </c>
      <c r="E2564">
        <v>-0.064444444444444</v>
      </c>
      <c r="F2564">
        <v>0.014457831325301</v>
      </c>
      <c r="G2564">
        <v>-0.037362235331778</v>
      </c>
      <c r="H2564">
        <v>-0.124740124740124</v>
      </c>
      <c r="I2564">
        <v>5.023751609672343</v>
      </c>
    </row>
    <row r="2565" spans="1:9">
      <c r="A2565" s="8" t="s">
        <v>2577</v>
      </c>
      <c r="B2565">
        <f>HYPERLINK("https://www.suredividend.com/sure-analysis-research-database/","Soleno Therapeutics Inc")</f>
        <v>0</v>
      </c>
      <c r="C2565">
        <v>-0.026495726495726</v>
      </c>
      <c r="D2565">
        <v>0.013683390810991</v>
      </c>
      <c r="E2565">
        <v>0.231018643609835</v>
      </c>
      <c r="F2565">
        <v>0.131925465838509</v>
      </c>
      <c r="G2565">
        <v>6.937282229965157</v>
      </c>
      <c r="H2565">
        <v>17.63394683026585</v>
      </c>
      <c r="I2565">
        <v>0.210092961487383</v>
      </c>
    </row>
    <row r="2566" spans="1:9">
      <c r="A2566" s="8" t="s">
        <v>2578</v>
      </c>
      <c r="B2566">
        <f>HYPERLINK("https://www.suredividend.com/sure-analysis-research-database/","Simulations Plus Inc.")</f>
        <v>0</v>
      </c>
      <c r="C2566">
        <v>-0.04779563246806701</v>
      </c>
      <c r="D2566">
        <v>0.065814384112862</v>
      </c>
      <c r="E2566">
        <v>0.172658931819853</v>
      </c>
      <c r="F2566">
        <v>0.038752059187741</v>
      </c>
      <c r="G2566">
        <v>-0.010479666877187</v>
      </c>
      <c r="H2566">
        <v>-0.07645520248250101</v>
      </c>
      <c r="I2566">
        <v>0.898050617420836</v>
      </c>
    </row>
    <row r="2567" spans="1:9">
      <c r="A2567" s="8" t="s">
        <v>2579</v>
      </c>
      <c r="B2567">
        <f>HYPERLINK("https://www.suredividend.com/sure-analysis-research-database/","Salarius Pharmaceuticals Inc")</f>
        <v>0</v>
      </c>
      <c r="C2567">
        <v>-0.136554621848739</v>
      </c>
      <c r="D2567">
        <v>-0.386567164179104</v>
      </c>
      <c r="E2567">
        <v>-0.345019920318725</v>
      </c>
      <c r="F2567">
        <v>-0.367692307692307</v>
      </c>
      <c r="G2567">
        <v>-0.765142857142857</v>
      </c>
      <c r="H2567">
        <v>-0.9118971061093241</v>
      </c>
      <c r="I2567">
        <v>-0.9687366883709601</v>
      </c>
    </row>
    <row r="2568" spans="1:9">
      <c r="A2568" s="8" t="s">
        <v>2580</v>
      </c>
      <c r="B2568">
        <f>HYPERLINK("https://www.suredividend.com/sure-analysis-research-database/","SELLAS Life Sciences Group Inc")</f>
        <v>0</v>
      </c>
      <c r="C2568">
        <v>0.09848484848484801</v>
      </c>
      <c r="D2568">
        <v>0.106870229007633</v>
      </c>
      <c r="E2568">
        <v>0.435643564356435</v>
      </c>
      <c r="F2568">
        <v>0.367924528301886</v>
      </c>
      <c r="G2568">
        <v>-0.147058823529411</v>
      </c>
      <c r="H2568">
        <v>-0.5101351351351351</v>
      </c>
      <c r="I2568">
        <v>-0.938153124333546</v>
      </c>
    </row>
    <row r="2569" spans="1:9">
      <c r="A2569" s="8" t="s">
        <v>2581</v>
      </c>
      <c r="B2569">
        <f>HYPERLINK("https://www.suredividend.com/sure-analysis-research-database/","SM Energy Co")</f>
        <v>0</v>
      </c>
      <c r="C2569">
        <v>-0.08092259577795101</v>
      </c>
      <c r="D2569">
        <v>0.06241159750371601</v>
      </c>
      <c r="E2569">
        <v>0.3610246761704901</v>
      </c>
      <c r="F2569">
        <v>0.224992770406342</v>
      </c>
      <c r="G2569">
        <v>0.616113011050198</v>
      </c>
      <c r="H2569">
        <v>-0.109009014130412</v>
      </c>
      <c r="I2569">
        <v>3.184986738344874</v>
      </c>
    </row>
    <row r="2570" spans="1:9">
      <c r="A2570" s="8" t="s">
        <v>2582</v>
      </c>
      <c r="B2570">
        <f>HYPERLINK("https://www.suredividend.com/sure-analysis-research-database/","Smartsheet Inc")</f>
        <v>0</v>
      </c>
      <c r="C2570">
        <v>0.11702395964691</v>
      </c>
      <c r="D2570">
        <v>0.059822924144532</v>
      </c>
      <c r="E2570">
        <v>-0.013366005791935</v>
      </c>
      <c r="F2570">
        <v>-0.07381848598912501</v>
      </c>
      <c r="G2570">
        <v>-0.096122448979591</v>
      </c>
      <c r="H2570">
        <v>0.09142434696895001</v>
      </c>
      <c r="I2570">
        <v>-0.026593406593406</v>
      </c>
    </row>
    <row r="2571" spans="1:9">
      <c r="A2571" s="8" t="s">
        <v>2583</v>
      </c>
      <c r="B2571">
        <f>HYPERLINK("https://www.suredividend.com/sure-analysis-research-database/","Southern Missouri Bancorp, Inc.")</f>
        <v>0</v>
      </c>
      <c r="C2571">
        <v>0.017000157865656</v>
      </c>
      <c r="D2571">
        <v>-0.040410740510586</v>
      </c>
      <c r="E2571">
        <v>-0.100947679210805</v>
      </c>
      <c r="F2571">
        <v>-0.212088319491211</v>
      </c>
      <c r="G2571">
        <v>0.00148413001076</v>
      </c>
      <c r="H2571">
        <v>-0.06194827178245701</v>
      </c>
      <c r="I2571">
        <v>0.408960895611136</v>
      </c>
    </row>
    <row r="2572" spans="1:9">
      <c r="A2572" s="8" t="s">
        <v>2584</v>
      </c>
      <c r="B2572">
        <f>HYPERLINK("https://www.suredividend.com/sure-analysis-research-database/","SmartFinancial Inc")</f>
        <v>0</v>
      </c>
      <c r="C2572">
        <v>-0.005417206056806001</v>
      </c>
      <c r="D2572">
        <v>0.03602354897971601</v>
      </c>
      <c r="E2572">
        <v>-0.036625699593242</v>
      </c>
      <c r="F2572">
        <v>-0.09327170596507901</v>
      </c>
      <c r="G2572">
        <v>-0.05367649898930001</v>
      </c>
      <c r="H2572">
        <v>-0.120255664476282</v>
      </c>
      <c r="I2572">
        <v>0.124466452142605</v>
      </c>
    </row>
    <row r="2573" spans="1:9">
      <c r="A2573" s="8" t="s">
        <v>2585</v>
      </c>
      <c r="B2573">
        <f>HYPERLINK("https://www.suredividend.com/sure-analysis-research-database/","Sharps Compliance Corp.")</f>
        <v>0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</row>
    <row r="2574" spans="1:9">
      <c r="A2574" s="8" t="s">
        <v>2586</v>
      </c>
      <c r="B2574">
        <f>HYPERLINK("https://www.suredividend.com/sure-analysis-SMG/","Scotts Miracle-Gro Company")</f>
        <v>0</v>
      </c>
      <c r="C2574">
        <v>-0.004560545806122</v>
      </c>
      <c r="D2574">
        <v>0.030890440875312</v>
      </c>
      <c r="E2574">
        <v>0.132014723991542</v>
      </c>
      <c r="F2574">
        <v>0.09330520862718901</v>
      </c>
      <c r="G2574">
        <v>0.101024351346377</v>
      </c>
      <c r="H2574">
        <v>-0.273205790059722</v>
      </c>
      <c r="I2574">
        <v>-0.145148110828708</v>
      </c>
    </row>
    <row r="2575" spans="1:9">
      <c r="A2575" s="8" t="s">
        <v>2587</v>
      </c>
      <c r="B2575">
        <f>HYPERLINK("https://www.suredividend.com/sure-analysis-research-database/","SEACOR Marine Holdings Inc")</f>
        <v>0</v>
      </c>
      <c r="C2575">
        <v>-0.035859820700896</v>
      </c>
      <c r="D2575">
        <v>-0.023121387283236</v>
      </c>
      <c r="E2575">
        <v>0.032286212914485</v>
      </c>
      <c r="F2575">
        <v>-0.060365369340746</v>
      </c>
      <c r="G2575">
        <v>0.214579055441478</v>
      </c>
      <c r="H2575">
        <v>0.285869565217391</v>
      </c>
      <c r="I2575">
        <v>-0.139010189228529</v>
      </c>
    </row>
    <row r="2576" spans="1:9">
      <c r="A2576" s="8" t="s">
        <v>2588</v>
      </c>
      <c r="B2576">
        <f>HYPERLINK("https://www.suredividend.com/sure-analysis-research-database/","Schmitt Industries Inc")</f>
        <v>0</v>
      </c>
      <c r="C2576">
        <v>-0.674193548387096</v>
      </c>
      <c r="D2576">
        <v>-0.674193548387096</v>
      </c>
      <c r="E2576">
        <v>-0.663333333333333</v>
      </c>
      <c r="F2576">
        <v>-0.674193548387096</v>
      </c>
      <c r="G2576">
        <v>-0.223076923076923</v>
      </c>
      <c r="H2576">
        <v>-0.958775510204081</v>
      </c>
      <c r="I2576">
        <v>-0.958775510204081</v>
      </c>
    </row>
    <row r="2577" spans="1:9">
      <c r="A2577" s="8" t="s">
        <v>2589</v>
      </c>
      <c r="B2577">
        <f>HYPERLINK("https://www.suredividend.com/sure-analysis-research-database/","Summit Financial Group Inc")</f>
        <v>0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</row>
    <row r="2578" spans="1:9">
      <c r="A2578" s="8" t="s">
        <v>2590</v>
      </c>
      <c r="B2578">
        <f>HYPERLINK("https://www.suredividend.com/sure-analysis-research-database/","Standard Motor Products, Inc.")</f>
        <v>0</v>
      </c>
      <c r="C2578">
        <v>-0.074812669978833</v>
      </c>
      <c r="D2578">
        <v>-0.03077120475863</v>
      </c>
      <c r="E2578">
        <v>-0.194861984148674</v>
      </c>
      <c r="F2578">
        <v>-0.247851551529572</v>
      </c>
      <c r="G2578">
        <v>-0.19330326703962</v>
      </c>
      <c r="H2578">
        <v>-0.243554421201017</v>
      </c>
      <c r="I2578">
        <v>-0.249030698992844</v>
      </c>
    </row>
    <row r="2579" spans="1:9">
      <c r="A2579" s="8" t="s">
        <v>2591</v>
      </c>
      <c r="B2579">
        <f>HYPERLINK("https://www.suredividend.com/sure-analysis-research-database/","Simply Good Foods Co")</f>
        <v>0</v>
      </c>
      <c r="C2579">
        <v>-0.003217158176943</v>
      </c>
      <c r="D2579">
        <v>0.125302663438256</v>
      </c>
      <c r="E2579">
        <v>-0.07901907356948201</v>
      </c>
      <c r="F2579">
        <v>-0.06111111111111101</v>
      </c>
      <c r="G2579">
        <v>0.035077951002227</v>
      </c>
      <c r="H2579">
        <v>-0.048861601432591</v>
      </c>
      <c r="I2579">
        <v>0.569438581680033</v>
      </c>
    </row>
    <row r="2580" spans="1:9">
      <c r="A2580" s="8" t="s">
        <v>2592</v>
      </c>
      <c r="B2580">
        <f>HYPERLINK("https://www.suredividend.com/sure-analysis-research-database/","SmartRent Inc")</f>
        <v>0</v>
      </c>
      <c r="C2580">
        <v>-0.044715447154471</v>
      </c>
      <c r="D2580">
        <v>-0.148550724637681</v>
      </c>
      <c r="E2580">
        <v>-0.276923076923076</v>
      </c>
      <c r="F2580">
        <v>-0.263322884012539</v>
      </c>
      <c r="G2580">
        <v>-0.345403899721448</v>
      </c>
      <c r="H2580">
        <v>-0.6010186757215611</v>
      </c>
      <c r="I2580">
        <v>-0.788288288288288</v>
      </c>
    </row>
    <row r="2581" spans="1:9">
      <c r="A2581" s="8" t="s">
        <v>2593</v>
      </c>
      <c r="B2581">
        <f>HYPERLINK("https://www.suredividend.com/sure-analysis-research-database/","Smith Micro Software, Inc.")</f>
        <v>0</v>
      </c>
      <c r="C2581">
        <v>-0.139442231075697</v>
      </c>
      <c r="D2581">
        <v>-0.295407098121085</v>
      </c>
      <c r="E2581">
        <v>-0.6650955097990571</v>
      </c>
      <c r="F2581">
        <v>-0.6731234866828081</v>
      </c>
      <c r="G2581">
        <v>-0.784</v>
      </c>
      <c r="H2581">
        <v>-0.9065743944636671</v>
      </c>
      <c r="I2581">
        <v>-0.9084745762711861</v>
      </c>
    </row>
    <row r="2582" spans="1:9">
      <c r="A2582" s="8" t="s">
        <v>2594</v>
      </c>
      <c r="B2582">
        <f>HYPERLINK("https://www.suredividend.com/sure-analysis-research-database/","Semtech Corp.")</f>
        <v>0</v>
      </c>
      <c r="C2582">
        <v>-0.216779703592062</v>
      </c>
      <c r="D2582">
        <v>0.315056938000843</v>
      </c>
      <c r="E2582">
        <v>0.6055612770339851</v>
      </c>
      <c r="F2582">
        <v>0.4230944774075761</v>
      </c>
      <c r="G2582">
        <v>0.390102541239411</v>
      </c>
      <c r="H2582">
        <v>-0.5017577500798971</v>
      </c>
      <c r="I2582">
        <v>-0.25655698617072</v>
      </c>
    </row>
    <row r="2583" spans="1:9">
      <c r="A2583" s="8" t="s">
        <v>2595</v>
      </c>
      <c r="B2583">
        <f>HYPERLINK("https://www.suredividend.com/sure-analysis-SNA/","Snap-on, Inc.")</f>
        <v>0</v>
      </c>
      <c r="C2583">
        <v>-0.02476257246826</v>
      </c>
      <c r="D2583">
        <v>-0.08351968900018501</v>
      </c>
      <c r="E2583">
        <v>-0.029040448381365</v>
      </c>
      <c r="F2583">
        <v>-0.05875688805422401</v>
      </c>
      <c r="G2583">
        <v>0.020410104491303</v>
      </c>
      <c r="H2583">
        <v>0.257889068996052</v>
      </c>
      <c r="I2583">
        <v>0.8829931017535231</v>
      </c>
    </row>
    <row r="2584" spans="1:9">
      <c r="A2584" s="8" t="s">
        <v>2596</v>
      </c>
      <c r="B2584">
        <f>HYPERLINK("https://www.suredividend.com/sure-analysis-research-database/","Snap Inc")</f>
        <v>0</v>
      </c>
      <c r="C2584">
        <v>-0.09043173862310301</v>
      </c>
      <c r="D2584">
        <v>0.315611814345991</v>
      </c>
      <c r="E2584">
        <v>0.056233062330623</v>
      </c>
      <c r="F2584">
        <v>-0.07914943886591801</v>
      </c>
      <c r="G2584">
        <v>0.529931305201177</v>
      </c>
      <c r="H2584">
        <v>0.020287958115183</v>
      </c>
      <c r="I2584">
        <v>0.124008651766402</v>
      </c>
    </row>
    <row r="2585" spans="1:9">
      <c r="A2585" s="8" t="s">
        <v>2597</v>
      </c>
      <c r="B2585">
        <f>HYPERLINK("https://www.suredividend.com/sure-analysis-research-database/","Sleep Number Corp")</f>
        <v>0</v>
      </c>
      <c r="C2585">
        <v>0.032444124008651</v>
      </c>
      <c r="D2585">
        <v>-0.153664302600472</v>
      </c>
      <c r="E2585">
        <v>-0.020519835841313</v>
      </c>
      <c r="F2585">
        <v>-0.034389750505731</v>
      </c>
      <c r="G2585">
        <v>-0.321005215742057</v>
      </c>
      <c r="H2585">
        <v>-0.6531007751937981</v>
      </c>
      <c r="I2585">
        <v>-0.617827595409661</v>
      </c>
    </row>
    <row r="2586" spans="1:9">
      <c r="A2586" s="8" t="s">
        <v>2598</v>
      </c>
      <c r="B2586">
        <f>HYPERLINK("https://www.suredividend.com/sure-analysis-research-database/","Synchronoss Technologies Inc")</f>
        <v>0</v>
      </c>
      <c r="C2586">
        <v>0.272197962154294</v>
      </c>
      <c r="D2586">
        <v>-0.182413470533208</v>
      </c>
      <c r="E2586">
        <v>1.03161320316132</v>
      </c>
      <c r="F2586">
        <v>0.4074074074074071</v>
      </c>
      <c r="G2586">
        <v>-0.013399257227358</v>
      </c>
      <c r="H2586">
        <v>-0.365286855482933</v>
      </c>
      <c r="I2586">
        <v>-0.853968253968253</v>
      </c>
    </row>
    <row r="2587" spans="1:9">
      <c r="A2587" s="8" t="s">
        <v>2599</v>
      </c>
      <c r="B2587">
        <f>HYPERLINK("https://www.suredividend.com/sure-analysis-research-database/","Smart Sand Inc")</f>
        <v>0</v>
      </c>
      <c r="C2587">
        <v>-0.07142857142857101</v>
      </c>
      <c r="D2587">
        <v>0.06122448979591801</v>
      </c>
      <c r="E2587">
        <v>0.106382978723404</v>
      </c>
      <c r="F2587">
        <v>0.07772020725388601</v>
      </c>
      <c r="G2587">
        <v>0.333333333333333</v>
      </c>
      <c r="H2587">
        <v>-0.410764872521246</v>
      </c>
      <c r="I2587">
        <v>-0.297297297297297</v>
      </c>
    </row>
    <row r="2588" spans="1:9">
      <c r="A2588" s="8" t="s">
        <v>2600</v>
      </c>
      <c r="B2588">
        <f>HYPERLINK("https://www.suredividend.com/sure-analysis-research-database/","Schneider National Inc")</f>
        <v>0</v>
      </c>
      <c r="C2588">
        <v>0.016906120931582</v>
      </c>
      <c r="D2588">
        <v>-0.027438125466118</v>
      </c>
      <c r="E2588">
        <v>-0.04961251477697801</v>
      </c>
      <c r="F2588">
        <v>-0.111229103185389</v>
      </c>
      <c r="G2588">
        <v>-0.158216304258081</v>
      </c>
      <c r="H2588">
        <v>-0.05268314933227401</v>
      </c>
      <c r="I2588">
        <v>0.518557133765723</v>
      </c>
    </row>
    <row r="2589" spans="1:9">
      <c r="A2589" s="8" t="s">
        <v>2601</v>
      </c>
      <c r="B2589">
        <f>HYPERLINK("https://www.suredividend.com/sure-analysis-research-database/","Syndax Pharmaceuticals Inc")</f>
        <v>0</v>
      </c>
      <c r="C2589">
        <v>-0.158757549611734</v>
      </c>
      <c r="D2589">
        <v>-0.169152109075415</v>
      </c>
      <c r="E2589">
        <v>0.160714285714285</v>
      </c>
      <c r="F2589">
        <v>-0.09763998149005</v>
      </c>
      <c r="G2589">
        <v>-0.063400576368876</v>
      </c>
      <c r="H2589">
        <v>0.149764150943396</v>
      </c>
      <c r="I2589">
        <v>1.569169960474308</v>
      </c>
    </row>
    <row r="2590" spans="1:9">
      <c r="A2590" s="8" t="s">
        <v>2602</v>
      </c>
      <c r="B2590">
        <f>HYPERLINK("https://www.suredividend.com/sure-analysis-research-database/","Security National Financial Corp.")</f>
        <v>0</v>
      </c>
      <c r="C2590">
        <v>0.218844984802431</v>
      </c>
      <c r="D2590">
        <v>-0.025516403402187</v>
      </c>
      <c r="E2590">
        <v>-0.037214885954381</v>
      </c>
      <c r="F2590">
        <v>-0.108888888888888</v>
      </c>
      <c r="G2590">
        <v>0.014573423742536</v>
      </c>
      <c r="H2590">
        <v>-0.03994637106910701</v>
      </c>
      <c r="I2590">
        <v>0.865940764523859</v>
      </c>
    </row>
    <row r="2591" spans="1:9">
      <c r="A2591" s="8" t="s">
        <v>2603</v>
      </c>
      <c r="B2591">
        <f>HYPERLINK("https://www.suredividend.com/sure-analysis-research-database/","Sonoma Pharmaceuticals Inc.")</f>
        <v>0</v>
      </c>
      <c r="C2591">
        <v>0.365756162558294</v>
      </c>
      <c r="D2591">
        <v>0.332033788174138</v>
      </c>
      <c r="E2591">
        <v>0.039026862645717</v>
      </c>
      <c r="F2591">
        <v>0.136363636363636</v>
      </c>
      <c r="G2591">
        <v>-0.7772465500380311</v>
      </c>
      <c r="H2591">
        <v>-0.9384384384384381</v>
      </c>
      <c r="I2591">
        <v>-0.9707939764357251</v>
      </c>
    </row>
    <row r="2592" spans="1:9">
      <c r="A2592" s="8" t="s">
        <v>2604</v>
      </c>
      <c r="B2592">
        <f>HYPERLINK("https://www.suredividend.com/sure-analysis-research-database/","Synopsys, Inc.")</f>
        <v>0</v>
      </c>
      <c r="C2592">
        <v>0.039737268244755</v>
      </c>
      <c r="D2592">
        <v>-0.020399417159509</v>
      </c>
      <c r="E2592">
        <v>0.069830571936722</v>
      </c>
      <c r="F2592">
        <v>0.109805597094638</v>
      </c>
      <c r="G2592">
        <v>0.312712487365616</v>
      </c>
      <c r="H2592">
        <v>0.7341364974357421</v>
      </c>
      <c r="I2592">
        <v>3.612187247780468</v>
      </c>
    </row>
    <row r="2593" spans="1:9">
      <c r="A2593" s="8" t="s">
        <v>2605</v>
      </c>
      <c r="B2593">
        <f>HYPERLINK("https://www.suredividend.com/sure-analysis-research-database/","New Senior Investment Group Inc")</f>
        <v>0</v>
      </c>
      <c r="C2593">
        <v>0.040094339622641</v>
      </c>
      <c r="D2593">
        <v>0.295154185022026</v>
      </c>
      <c r="E2593">
        <v>0.42915012557725</v>
      </c>
      <c r="F2593">
        <v>0.736493936052921</v>
      </c>
      <c r="G2593">
        <v>1.039259207879586</v>
      </c>
      <c r="H2593">
        <v>0.457730766052392</v>
      </c>
      <c r="I2593">
        <v>0.169125541814132</v>
      </c>
    </row>
    <row r="2594" spans="1:9">
      <c r="A2594" s="8" t="s">
        <v>2606</v>
      </c>
      <c r="B2594">
        <f>HYPERLINK("https://www.suredividend.com/sure-analysis-SNV/","Synovus Financial Corp.")</f>
        <v>0</v>
      </c>
      <c r="C2594">
        <v>-0.023710265763418</v>
      </c>
      <c r="D2594">
        <v>-0.047117702706826</v>
      </c>
      <c r="E2594">
        <v>0.083492854788246</v>
      </c>
      <c r="F2594">
        <v>0.005271841925228</v>
      </c>
      <c r="G2594">
        <v>0.22107801603337</v>
      </c>
      <c r="H2594">
        <v>-0.035985252915584</v>
      </c>
      <c r="I2594">
        <v>0.402640572885276</v>
      </c>
    </row>
    <row r="2595" spans="1:9">
      <c r="A2595" s="8" t="s">
        <v>2607</v>
      </c>
      <c r="B2595">
        <f>HYPERLINK("https://www.suredividend.com/sure-analysis-research-database/","TD Synnex Corp")</f>
        <v>0</v>
      </c>
      <c r="C2595">
        <v>0.07214779062994101</v>
      </c>
      <c r="D2595">
        <v>0.234036969387569</v>
      </c>
      <c r="E2595">
        <v>0.31313954910514</v>
      </c>
      <c r="F2595">
        <v>0.206120847991702</v>
      </c>
      <c r="G2595">
        <v>0.385774195387278</v>
      </c>
      <c r="H2595">
        <v>0.238735382316773</v>
      </c>
      <c r="I2595">
        <v>2.183325344547283</v>
      </c>
    </row>
    <row r="2596" spans="1:9">
      <c r="A2596" s="8" t="s">
        <v>2608</v>
      </c>
      <c r="B2596">
        <f>HYPERLINK("https://www.suredividend.com/sure-analysis-SO/","Southern Company")</f>
        <v>0</v>
      </c>
      <c r="C2596">
        <v>0.02213712427215</v>
      </c>
      <c r="D2596">
        <v>0.135789011962653</v>
      </c>
      <c r="E2596">
        <v>0.109365125454762</v>
      </c>
      <c r="F2596">
        <v>0.133570499824015</v>
      </c>
      <c r="G2596">
        <v>0.156676713755904</v>
      </c>
      <c r="H2596">
        <v>0.114441120789746</v>
      </c>
      <c r="I2596">
        <v>0.745365622074821</v>
      </c>
    </row>
    <row r="2597" spans="1:9">
      <c r="A2597" s="8" t="s">
        <v>2609</v>
      </c>
      <c r="B2597">
        <f>HYPERLINK("https://www.suredividend.com/sure-analysis-research-database/","Sotherly Hotels Inc")</f>
        <v>0</v>
      </c>
      <c r="C2597">
        <v>-0.07801418439716301</v>
      </c>
      <c r="D2597">
        <v>-0.09090909090909001</v>
      </c>
      <c r="E2597">
        <v>-0.084507042253521</v>
      </c>
      <c r="F2597">
        <v>-0.127516778523489</v>
      </c>
      <c r="G2597">
        <v>-0.331619537275064</v>
      </c>
      <c r="H2597">
        <v>-0.293478260869565</v>
      </c>
      <c r="I2597">
        <v>-0.79987068567382</v>
      </c>
    </row>
    <row r="2598" spans="1:9">
      <c r="A2598" s="8" t="s">
        <v>2610</v>
      </c>
      <c r="B2598">
        <f>HYPERLINK("https://www.suredividend.com/sure-analysis-research-database/","Solaris Oilfield Infrastructure Inc")</f>
        <v>0</v>
      </c>
      <c r="C2598">
        <v>-0.06428811847862601</v>
      </c>
      <c r="D2598">
        <v>0.06535179602473</v>
      </c>
      <c r="E2598">
        <v>0.04843677322840501</v>
      </c>
      <c r="F2598">
        <v>0.078731907958558</v>
      </c>
      <c r="G2598">
        <v>0.02557796360059</v>
      </c>
      <c r="H2598">
        <v>-0.362677670793214</v>
      </c>
      <c r="I2598">
        <v>-0.301238333026123</v>
      </c>
    </row>
    <row r="2599" spans="1:9">
      <c r="A2599" s="8" t="s">
        <v>2611</v>
      </c>
      <c r="B2599">
        <f>HYPERLINK("https://www.suredividend.com/sure-analysis-research-database/","Soliton Inc")</f>
        <v>0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</row>
    <row r="2600" spans="1:9">
      <c r="A2600" s="8" t="s">
        <v>2612</v>
      </c>
      <c r="B2600">
        <f>HYPERLINK("https://www.suredividend.com/sure-analysis-SON/","Sonoco Products Co.")</f>
        <v>0</v>
      </c>
      <c r="C2600">
        <v>0.03618309719814</v>
      </c>
      <c r="D2600">
        <v>0.04753565920173201</v>
      </c>
      <c r="E2600">
        <v>0.104449061218298</v>
      </c>
      <c r="F2600">
        <v>0.08784186387217001</v>
      </c>
      <c r="G2600">
        <v>-0.025258380002285</v>
      </c>
      <c r="H2600">
        <v>0.05306606269711901</v>
      </c>
      <c r="I2600">
        <v>0.07543927280849901</v>
      </c>
    </row>
    <row r="2601" spans="1:9">
      <c r="A2601" s="8" t="s">
        <v>2613</v>
      </c>
      <c r="B2601">
        <f>HYPERLINK("https://www.suredividend.com/sure-analysis-research-database/","Sonos Inc")</f>
        <v>0</v>
      </c>
      <c r="C2601">
        <v>-0.108646188850966</v>
      </c>
      <c r="D2601">
        <v>-0.176563321071991</v>
      </c>
      <c r="E2601">
        <v>-0.020012507817385</v>
      </c>
      <c r="F2601">
        <v>-0.08576429404900801</v>
      </c>
      <c r="G2601">
        <v>-0.014465408805031</v>
      </c>
      <c r="H2601">
        <v>-0.291270918136589</v>
      </c>
      <c r="I2601">
        <v>0.459031657355679</v>
      </c>
    </row>
    <row r="2602" spans="1:9">
      <c r="A2602" s="8" t="s">
        <v>2614</v>
      </c>
      <c r="B2602">
        <f>HYPERLINK("https://www.suredividend.com/sure-analysis-research-database/","SP Plus Corp")</f>
        <v>0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</row>
    <row r="2603" spans="1:9">
      <c r="A2603" s="8" t="s">
        <v>2615</v>
      </c>
      <c r="B2603">
        <f>HYPERLINK("https://www.suredividend.com/sure-analysis-research-database/","Spectrum Brands Holdings Inc.")</f>
        <v>0</v>
      </c>
      <c r="C2603">
        <v>0.06379220191913601</v>
      </c>
      <c r="D2603">
        <v>0.092481794993668</v>
      </c>
      <c r="E2603">
        <v>0.246749590075691</v>
      </c>
      <c r="F2603">
        <v>0.143126875314002</v>
      </c>
      <c r="G2603">
        <v>0.243661566548216</v>
      </c>
      <c r="H2603">
        <v>0.08139363662156901</v>
      </c>
      <c r="I2603">
        <v>0.7619452593471061</v>
      </c>
    </row>
    <row r="2604" spans="1:9">
      <c r="A2604" s="8" t="s">
        <v>2616</v>
      </c>
      <c r="B2604">
        <f>HYPERLINK("https://www.suredividend.com/sure-analysis-SPG/","Simon Property Group, Inc.")</f>
        <v>0</v>
      </c>
      <c r="C2604">
        <v>0.039473846402484</v>
      </c>
      <c r="D2604">
        <v>0.027321930978097</v>
      </c>
      <c r="E2604">
        <v>0.186026159928739</v>
      </c>
      <c r="F2604">
        <v>0.09215110380723901</v>
      </c>
      <c r="G2604">
        <v>0.449726606337002</v>
      </c>
      <c r="H2604">
        <v>0.5488332986404461</v>
      </c>
      <c r="I2604">
        <v>0.240615084846334</v>
      </c>
    </row>
    <row r="2605" spans="1:9">
      <c r="A2605" s="8" t="s">
        <v>2617</v>
      </c>
      <c r="B2605">
        <f>HYPERLINK("https://www.suredividend.com/sure-analysis-SPGI/","S&amp;P Global Inc")</f>
        <v>0</v>
      </c>
      <c r="C2605">
        <v>0.002536622961675</v>
      </c>
      <c r="D2605">
        <v>0.006977725720349001</v>
      </c>
      <c r="E2605">
        <v>0.031532550272595</v>
      </c>
      <c r="F2605">
        <v>-0.022652647550408</v>
      </c>
      <c r="G2605">
        <v>0.15578264687004</v>
      </c>
      <c r="H2605">
        <v>0.267867741232434</v>
      </c>
      <c r="I2605">
        <v>0.99277332656588</v>
      </c>
    </row>
    <row r="2606" spans="1:9">
      <c r="A2606" s="8" t="s">
        <v>2618</v>
      </c>
      <c r="B2606">
        <f>HYPERLINK("https://www.suredividend.com/sure-analysis-research-database/","Splunk Inc")</f>
        <v>0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</row>
    <row r="2607" spans="1:9">
      <c r="A2607" s="8" t="s">
        <v>2619</v>
      </c>
      <c r="B2607">
        <f>HYPERLINK("https://www.suredividend.com/sure-analysis-research-database/","SeaSpine Holdings Corp")</f>
        <v>0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</row>
    <row r="2608" spans="1:9">
      <c r="A2608" s="8" t="s">
        <v>2620</v>
      </c>
      <c r="B2608">
        <f>HYPERLINK("https://www.suredividend.com/sure-analysis-research-database/","Spok Holdings Inc")</f>
        <v>0</v>
      </c>
      <c r="C2608">
        <v>0.053923492432729</v>
      </c>
      <c r="D2608">
        <v>-0.100355715817171</v>
      </c>
      <c r="E2608">
        <v>0.036767699456697</v>
      </c>
      <c r="F2608">
        <v>0.010647033063279</v>
      </c>
      <c r="G2608">
        <v>0.308272141863822</v>
      </c>
      <c r="H2608">
        <v>1.77537675222669</v>
      </c>
      <c r="I2608">
        <v>0.603308655912811</v>
      </c>
    </row>
    <row r="2609" spans="1:9">
      <c r="A2609" s="8" t="s">
        <v>2621</v>
      </c>
      <c r="B2609">
        <f>HYPERLINK("https://www.suredividend.com/sure-analysis-research-database/","Spectrum Pharmaceuticals, Inc.")</f>
        <v>0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</row>
    <row r="2610" spans="1:9">
      <c r="A2610" s="8" t="s">
        <v>2622</v>
      </c>
      <c r="B2610">
        <f>HYPERLINK("https://www.suredividend.com/sure-analysis-research-database/","Spirit Aerosystems Holdings Inc")</f>
        <v>0</v>
      </c>
      <c r="C2610">
        <v>-0.08994226678821</v>
      </c>
      <c r="D2610">
        <v>-0.161064425770308</v>
      </c>
      <c r="E2610">
        <v>0.06926097822206301</v>
      </c>
      <c r="F2610">
        <v>-0.05758338577721801</v>
      </c>
      <c r="G2610">
        <v>0.000334001336005</v>
      </c>
      <c r="H2610">
        <v>-0.113800449757367</v>
      </c>
      <c r="I2610">
        <v>-0.641871071194117</v>
      </c>
    </row>
    <row r="2611" spans="1:9">
      <c r="A2611" s="8" t="s">
        <v>2623</v>
      </c>
      <c r="B2611">
        <f>HYPERLINK("https://www.suredividend.com/sure-analysis-research-database/","Spero Therapeutics Inc")</f>
        <v>0</v>
      </c>
      <c r="C2611">
        <v>-0.153614457831325</v>
      </c>
      <c r="D2611">
        <v>-0.1878612716763</v>
      </c>
      <c r="E2611">
        <v>0.115079365079365</v>
      </c>
      <c r="F2611">
        <v>-0.044217687074829</v>
      </c>
      <c r="G2611">
        <v>-0.21067415730337</v>
      </c>
      <c r="H2611">
        <v>0.124</v>
      </c>
      <c r="I2611">
        <v>-0.865807067812798</v>
      </c>
    </row>
    <row r="2612" spans="1:9">
      <c r="A2612" s="8" t="s">
        <v>2624</v>
      </c>
      <c r="B2612">
        <f>HYPERLINK("https://www.suredividend.com/sure-analysis-research-database/","Support.com Inc")</f>
        <v>0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</row>
    <row r="2613" spans="1:9">
      <c r="A2613" s="8" t="s">
        <v>2625</v>
      </c>
      <c r="B2613">
        <f>HYPERLINK("https://www.suredividend.com/sure-analysis-research-database/","SPS Commerce Inc.")</f>
        <v>0</v>
      </c>
      <c r="C2613">
        <v>-0.04696906788457501</v>
      </c>
      <c r="D2613">
        <v>-0.008263123784834001</v>
      </c>
      <c r="E2613">
        <v>0.008235875473562001</v>
      </c>
      <c r="F2613">
        <v>-0.052672307057366</v>
      </c>
      <c r="G2613">
        <v>0.08477079395085001</v>
      </c>
      <c r="H2613">
        <v>0.645135280415696</v>
      </c>
      <c r="I2613">
        <v>2.409394727070182</v>
      </c>
    </row>
    <row r="2614" spans="1:9">
      <c r="A2614" s="8" t="s">
        <v>2626</v>
      </c>
      <c r="B2614">
        <f>HYPERLINK("https://www.suredividend.com/sure-analysis-SPTN/","SpartanNash Co")</f>
        <v>0</v>
      </c>
      <c r="C2614">
        <v>-0.01531393568147</v>
      </c>
      <c r="D2614">
        <v>-0.029726874905688</v>
      </c>
      <c r="E2614">
        <v>-0.150904777206041</v>
      </c>
      <c r="F2614">
        <v>-0.14091795744226</v>
      </c>
      <c r="G2614">
        <v>-0.076481149012567</v>
      </c>
      <c r="H2614">
        <v>-0.355715726681852</v>
      </c>
      <c r="I2614">
        <v>1.07711938321722</v>
      </c>
    </row>
    <row r="2615" spans="1:9">
      <c r="A2615" s="8" t="s">
        <v>2627</v>
      </c>
      <c r="B2615">
        <f>HYPERLINK("https://www.suredividend.com/sure-analysis-research-database/","Sportsman`s Warehouse Holdings Inc")</f>
        <v>0</v>
      </c>
      <c r="C2615">
        <v>-0.02377179080824</v>
      </c>
      <c r="D2615">
        <v>-0.086053412462907</v>
      </c>
      <c r="E2615">
        <v>-0.261390887290167</v>
      </c>
      <c r="F2615">
        <v>-0.276995305164319</v>
      </c>
      <c r="G2615">
        <v>-0.416666666666666</v>
      </c>
      <c r="H2615">
        <v>-0.667386609071274</v>
      </c>
      <c r="I2615">
        <v>-0.117478510028653</v>
      </c>
    </row>
    <row r="2616" spans="1:9">
      <c r="A2616" s="8" t="s">
        <v>2628</v>
      </c>
      <c r="B2616">
        <f>HYPERLINK("https://www.suredividend.com/sure-analysis-research-database/","Sunpower Corp")</f>
        <v>0</v>
      </c>
      <c r="C2616">
        <v>0.422746781115879</v>
      </c>
      <c r="D2616">
        <v>0.143103448275862</v>
      </c>
      <c r="E2616">
        <v>-0.33567134268537</v>
      </c>
      <c r="F2616">
        <v>-0.313664596273291</v>
      </c>
      <c r="G2616">
        <v>-0.704545454545454</v>
      </c>
      <c r="H2616">
        <v>-0.828770661157024</v>
      </c>
      <c r="I2616">
        <v>-0.518301631816794</v>
      </c>
    </row>
    <row r="2617" spans="1:9">
      <c r="A2617" s="8" t="s">
        <v>2629</v>
      </c>
      <c r="B2617">
        <f>HYPERLINK("https://www.suredividend.com/sure-analysis-research-database/","SPX Technologies Inc")</f>
        <v>0</v>
      </c>
      <c r="C2617">
        <v>-0.025337837837837</v>
      </c>
      <c r="D2617">
        <v>0.137774348422496</v>
      </c>
      <c r="E2617">
        <v>0.504136914881559</v>
      </c>
      <c r="F2617">
        <v>0.313830313830313</v>
      </c>
      <c r="G2617">
        <v>0.55762910798122</v>
      </c>
      <c r="H2617">
        <v>10.15210084033613</v>
      </c>
      <c r="I2617">
        <v>10.15210084033613</v>
      </c>
    </row>
    <row r="2618" spans="1:9">
      <c r="A2618" s="8" t="s">
        <v>2630</v>
      </c>
      <c r="B2618">
        <f>HYPERLINK("https://www.suredividend.com/sure-analysis-research-database/","Block Inc")</f>
        <v>0</v>
      </c>
      <c r="C2618">
        <v>-0.090782122905027</v>
      </c>
      <c r="D2618">
        <v>-0.156954156954157</v>
      </c>
      <c r="E2618">
        <v>-0.049218635898933</v>
      </c>
      <c r="F2618">
        <v>-0.158371040723981</v>
      </c>
      <c r="G2618">
        <v>-0.017210144927536</v>
      </c>
      <c r="H2618">
        <v>-0.230496453900709</v>
      </c>
      <c r="I2618">
        <v>-0.049079754601227</v>
      </c>
    </row>
    <row r="2619" spans="1:9">
      <c r="A2619" s="8" t="s">
        <v>2631</v>
      </c>
      <c r="B2619">
        <f>HYPERLINK("https://www.suredividend.com/sure-analysis-research-database/","Sequential Brands Group Inc.")</f>
        <v>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</row>
    <row r="2620" spans="1:9">
      <c r="A2620" s="8" t="s">
        <v>2632</v>
      </c>
      <c r="B2620">
        <f>HYPERLINK("https://www.suredividend.com/sure-analysis-SR/","Spire Inc.")</f>
        <v>0</v>
      </c>
      <c r="C2620">
        <v>-0.033489726581459</v>
      </c>
      <c r="D2620">
        <v>-0.010845268648066</v>
      </c>
      <c r="E2620">
        <v>-0.042097060228908</v>
      </c>
      <c r="F2620">
        <v>-0.029726994995963</v>
      </c>
      <c r="G2620">
        <v>-0.07908975714730501</v>
      </c>
      <c r="H2620">
        <v>-0.171500964548173</v>
      </c>
      <c r="I2620">
        <v>-0.147880041365046</v>
      </c>
    </row>
    <row r="2621" spans="1:9">
      <c r="A2621" s="8" t="s">
        <v>2633</v>
      </c>
      <c r="B2621">
        <f>HYPERLINK("https://www.suredividend.com/sure-analysis-research-database/","Spirit Realty Capital Inc")</f>
        <v>0</v>
      </c>
      <c r="C2621">
        <v>-0.016266135932442</v>
      </c>
      <c r="D2621">
        <v>0.293575232819083</v>
      </c>
      <c r="E2621">
        <v>0.048278801032669</v>
      </c>
      <c r="F2621">
        <v>-0.031586175326161</v>
      </c>
      <c r="G2621">
        <v>0.09838474358907701</v>
      </c>
      <c r="H2621">
        <v>0.060270793812288</v>
      </c>
      <c r="I2621">
        <v>0.544042244937431</v>
      </c>
    </row>
    <row r="2622" spans="1:9">
      <c r="A2622" s="8" t="s">
        <v>2634</v>
      </c>
      <c r="B2622">
        <f>HYPERLINK("https://www.suredividend.com/sure-analysis-SRCE/","1st Source Corp.")</f>
        <v>0</v>
      </c>
      <c r="C2622">
        <v>-0.012458633443644</v>
      </c>
      <c r="D2622">
        <v>-0.008180119026206</v>
      </c>
      <c r="E2622">
        <v>0.028705611342731</v>
      </c>
      <c r="F2622">
        <v>-0.051793424421973</v>
      </c>
      <c r="G2622">
        <v>0.131166731701878</v>
      </c>
      <c r="H2622">
        <v>0.148145381956939</v>
      </c>
      <c r="I2622">
        <v>0.350790024443627</v>
      </c>
    </row>
    <row r="2623" spans="1:9">
      <c r="A2623" s="8" t="s">
        <v>2635</v>
      </c>
      <c r="B2623">
        <f>HYPERLINK("https://www.suredividend.com/sure-analysis-research-database/","Stericycle Inc.")</f>
        <v>0</v>
      </c>
      <c r="C2623">
        <v>0.246196111580726</v>
      </c>
      <c r="D2623">
        <v>0.121102661596958</v>
      </c>
      <c r="E2623">
        <v>0.201262986351598</v>
      </c>
      <c r="F2623">
        <v>0.189870863599677</v>
      </c>
      <c r="G2623">
        <v>0.322493832697914</v>
      </c>
      <c r="H2623">
        <v>0.170039682539682</v>
      </c>
      <c r="I2623">
        <v>0.299757549041216</v>
      </c>
    </row>
    <row r="2624" spans="1:9">
      <c r="A2624" s="8" t="s">
        <v>2636</v>
      </c>
      <c r="B2624">
        <f>HYPERLINK("https://www.suredividend.com/sure-analysis-research-database/","Surmodics, Inc.")</f>
        <v>0</v>
      </c>
      <c r="C2624">
        <v>0.31628490743646</v>
      </c>
      <c r="D2624">
        <v>0.3913764510779431</v>
      </c>
      <c r="E2624">
        <v>0.237828267925641</v>
      </c>
      <c r="F2624">
        <v>0.154057771664374</v>
      </c>
      <c r="G2624">
        <v>1.140306122448979</v>
      </c>
      <c r="H2624">
        <v>0.055345911949685</v>
      </c>
      <c r="I2624">
        <v>0.012306949806949</v>
      </c>
    </row>
    <row r="2625" spans="1:9">
      <c r="A2625" s="8" t="s">
        <v>2637</v>
      </c>
      <c r="B2625">
        <f>HYPERLINK("https://www.suredividend.com/sure-analysis-SRE/","Sempra")</f>
        <v>0</v>
      </c>
      <c r="C2625">
        <v>0.01811055548047</v>
      </c>
      <c r="D2625">
        <v>0.07638427475876701</v>
      </c>
      <c r="E2625">
        <v>0.040426501664295</v>
      </c>
      <c r="F2625">
        <v>0.016896986026947</v>
      </c>
      <c r="G2625">
        <v>0.051171526689542</v>
      </c>
      <c r="H2625">
        <v>-0.019141902158981</v>
      </c>
      <c r="I2625">
        <v>0.316315992723828</v>
      </c>
    </row>
    <row r="2626" spans="1:9">
      <c r="A2626" s="8" t="s">
        <v>2638</v>
      </c>
      <c r="B2626">
        <f>HYPERLINK("https://www.suredividend.com/sure-analysis-research-database/","ServiceSource International Inc")</f>
        <v>0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</row>
    <row r="2627" spans="1:9">
      <c r="A2627" s="8" t="s">
        <v>2639</v>
      </c>
      <c r="B2627">
        <f>HYPERLINK("https://www.suredividend.com/sure-analysis-research-database/","Seritage Growth Properties")</f>
        <v>0</v>
      </c>
      <c r="C2627">
        <v>-0.4402985074626861</v>
      </c>
      <c r="D2627">
        <v>-0.439701173959444</v>
      </c>
      <c r="E2627">
        <v>-0.425601750547046</v>
      </c>
      <c r="F2627">
        <v>-0.438502673796791</v>
      </c>
      <c r="G2627">
        <v>-0.388111888111888</v>
      </c>
      <c r="H2627">
        <v>-0.350247524752475</v>
      </c>
      <c r="I2627">
        <v>-0.8689792862490641</v>
      </c>
    </row>
    <row r="2628" spans="1:9">
      <c r="A2628" s="8" t="s">
        <v>2640</v>
      </c>
      <c r="B2628">
        <f>HYPERLINK("https://www.suredividend.com/sure-analysis-research-database/","Stoneridge Inc.")</f>
        <v>0</v>
      </c>
      <c r="C2628">
        <v>-0.020552344251766</v>
      </c>
      <c r="D2628">
        <v>-0.09009546539379401</v>
      </c>
      <c r="E2628">
        <v>-0.102413184226015</v>
      </c>
      <c r="F2628">
        <v>-0.220746039856923</v>
      </c>
      <c r="G2628">
        <v>-0.178782983306408</v>
      </c>
      <c r="H2628">
        <v>-0.281676872350447</v>
      </c>
      <c r="I2628">
        <v>-0.45632798573975</v>
      </c>
    </row>
    <row r="2629" spans="1:9">
      <c r="A2629" s="8" t="s">
        <v>2641</v>
      </c>
      <c r="B2629">
        <f>HYPERLINK("https://www.suredividend.com/sure-analysis-research-database/","Sorrento Therapeutics Inc")</f>
        <v>0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</row>
    <row r="2630" spans="1:9">
      <c r="A2630" s="8" t="s">
        <v>2642</v>
      </c>
      <c r="B2630">
        <f>HYPERLINK("https://www.suredividend.com/sure-analysis-research-database/","Sarepta Therapeutics Inc")</f>
        <v>0</v>
      </c>
      <c r="C2630">
        <v>-0.09350191120258701</v>
      </c>
      <c r="D2630">
        <v>0.021029971849643</v>
      </c>
      <c r="E2630">
        <v>0.394864834294762</v>
      </c>
      <c r="F2630">
        <v>0.278855128072176</v>
      </c>
      <c r="G2630">
        <v>-0.035809225957779</v>
      </c>
      <c r="H2630">
        <v>0.7185061315496091</v>
      </c>
      <c r="I2630">
        <v>-0.004681194511703001</v>
      </c>
    </row>
    <row r="2631" spans="1:9">
      <c r="A2631" s="8" t="s">
        <v>2643</v>
      </c>
      <c r="B2631">
        <f>HYPERLINK("https://www.suredividend.com/sure-analysis-research-database/","Scholar Rock Holding Corp")</f>
        <v>0</v>
      </c>
      <c r="C2631">
        <v>-0.352620830496936</v>
      </c>
      <c r="D2631">
        <v>-0.406367041198501</v>
      </c>
      <c r="E2631">
        <v>-0.458119658119658</v>
      </c>
      <c r="F2631">
        <v>-0.494148936170212</v>
      </c>
      <c r="G2631">
        <v>0.40680473372781</v>
      </c>
      <c r="H2631">
        <v>0.533870967741935</v>
      </c>
      <c r="I2631">
        <v>-0.462711864406779</v>
      </c>
    </row>
    <row r="2632" spans="1:9">
      <c r="A2632" s="8" t="s">
        <v>2644</v>
      </c>
      <c r="B2632">
        <f>HYPERLINK("https://www.suredividend.com/sure-analysis-research-database/","Startek, Inc.")</f>
        <v>0</v>
      </c>
      <c r="C2632">
        <v>0.020785219399538</v>
      </c>
      <c r="D2632">
        <v>0.368421052631579</v>
      </c>
      <c r="E2632">
        <v>0.50853242320819</v>
      </c>
      <c r="F2632">
        <v>0.002267573696145</v>
      </c>
      <c r="G2632">
        <v>0.188172043010752</v>
      </c>
      <c r="H2632">
        <v>-0.145067698259187</v>
      </c>
      <c r="I2632">
        <v>-0.373937677053824</v>
      </c>
    </row>
    <row r="2633" spans="1:9">
      <c r="A2633" s="8" t="s">
        <v>2645</v>
      </c>
      <c r="B2633">
        <f>HYPERLINK("https://www.suredividend.com/sure-analysis-research-database/","Sensus Healthcare Inc")</f>
        <v>0</v>
      </c>
      <c r="C2633">
        <v>0.457671957671957</v>
      </c>
      <c r="D2633">
        <v>0.362175525339925</v>
      </c>
      <c r="E2633">
        <v>1.406113537117904</v>
      </c>
      <c r="F2633">
        <v>1.334745762711864</v>
      </c>
      <c r="G2633">
        <v>0.7831715210355981</v>
      </c>
      <c r="H2633">
        <v>-0.373863636363636</v>
      </c>
      <c r="I2633">
        <v>0.041587901701323</v>
      </c>
    </row>
    <row r="2634" spans="1:9">
      <c r="A2634" s="8" t="s">
        <v>2646</v>
      </c>
      <c r="B2634">
        <f>HYPERLINK("https://www.suredividend.com/sure-analysis-research-database/","SouthState Corporation")</f>
        <v>0</v>
      </c>
      <c r="C2634">
        <v>-0.07851009158741101</v>
      </c>
      <c r="D2634">
        <v>-0.112830555922673</v>
      </c>
      <c r="E2634">
        <v>-0.05726141078838101</v>
      </c>
      <c r="F2634">
        <v>-0.108500036823874</v>
      </c>
      <c r="G2634">
        <v>0.08395991814517201</v>
      </c>
      <c r="H2634">
        <v>-0.026548439234422</v>
      </c>
      <c r="I2634">
        <v>0.268573765056153</v>
      </c>
    </row>
    <row r="2635" spans="1:9">
      <c r="A2635" s="8" t="s">
        <v>2647</v>
      </c>
      <c r="B2635">
        <f>HYPERLINK("https://www.suredividend.com/sure-analysis-research-database/","Summit State Bank")</f>
        <v>0</v>
      </c>
      <c r="C2635">
        <v>-0.0274846110491</v>
      </c>
      <c r="D2635">
        <v>-0.194205605765092</v>
      </c>
      <c r="E2635">
        <v>-0.297803241276402</v>
      </c>
      <c r="F2635">
        <v>-0.252133120304585</v>
      </c>
      <c r="G2635">
        <v>-0.39450235662435</v>
      </c>
      <c r="H2635">
        <v>-0.376797019956659</v>
      </c>
      <c r="I2635">
        <v>0.05694279297133</v>
      </c>
    </row>
    <row r="2636" spans="1:9">
      <c r="A2636" s="8" t="s">
        <v>2648</v>
      </c>
      <c r="B2636">
        <f>HYPERLINK("https://www.suredividend.com/sure-analysis-research-database/","Simpson Manufacturing Co., Inc.")</f>
        <v>0</v>
      </c>
      <c r="C2636">
        <v>-0.105803943349069</v>
      </c>
      <c r="D2636">
        <v>-0.249538302912444</v>
      </c>
      <c r="E2636">
        <v>-0.09896901908506701</v>
      </c>
      <c r="F2636">
        <v>-0.184530183019791</v>
      </c>
      <c r="G2636">
        <v>0.225552697624178</v>
      </c>
      <c r="H2636">
        <v>0.457245678949769</v>
      </c>
      <c r="I2636">
        <v>1.613093383193102</v>
      </c>
    </row>
    <row r="2637" spans="1:9">
      <c r="A2637" s="8" t="s">
        <v>2649</v>
      </c>
      <c r="B2637">
        <f>HYPERLINK("https://www.suredividend.com/sure-analysis-research-database/","STRATA Skin Sciences Inc")</f>
        <v>0</v>
      </c>
      <c r="C2637">
        <v>-0.266569200779727</v>
      </c>
      <c r="D2637">
        <v>-0.421153846153846</v>
      </c>
      <c r="E2637">
        <v>-0.522222222222222</v>
      </c>
      <c r="F2637">
        <v>-0.452826758771132</v>
      </c>
      <c r="G2637">
        <v>-0.661797752808988</v>
      </c>
      <c r="H2637">
        <v>-0.7212962962962961</v>
      </c>
      <c r="I2637">
        <v>-0.8559808612440191</v>
      </c>
    </row>
    <row r="2638" spans="1:9">
      <c r="A2638" s="8" t="s">
        <v>2650</v>
      </c>
      <c r="B2638">
        <f>HYPERLINK("https://www.suredividend.com/sure-analysis-research-database/","SS&amp;C Technologies Holdings Inc")</f>
        <v>0</v>
      </c>
      <c r="C2638">
        <v>-0.009573268118992001</v>
      </c>
      <c r="D2638">
        <v>-0.006086991574958</v>
      </c>
      <c r="E2638">
        <v>0.100234897651737</v>
      </c>
      <c r="F2638">
        <v>0.024257147699741</v>
      </c>
      <c r="G2638">
        <v>0.106368619623863</v>
      </c>
      <c r="H2638">
        <v>0.005166070916064001</v>
      </c>
      <c r="I2638">
        <v>0.141257456869577</v>
      </c>
    </row>
    <row r="2639" spans="1:9">
      <c r="A2639" s="8" t="s">
        <v>2651</v>
      </c>
      <c r="B2639">
        <f>HYPERLINK("https://www.suredividend.com/sure-analysis-research-database/","E.W. Scripps Co.")</f>
        <v>0</v>
      </c>
      <c r="C2639">
        <v>-0.438228438228438</v>
      </c>
      <c r="D2639">
        <v>-0.434272300469483</v>
      </c>
      <c r="E2639">
        <v>-0.6752021563342311</v>
      </c>
      <c r="F2639">
        <v>-0.698372966207759</v>
      </c>
      <c r="G2639">
        <v>-0.725824800910125</v>
      </c>
      <c r="H2639">
        <v>-0.843911917098445</v>
      </c>
      <c r="I2639">
        <v>-0.8361714421671591</v>
      </c>
    </row>
    <row r="2640" spans="1:9">
      <c r="A2640" s="8" t="s">
        <v>2652</v>
      </c>
      <c r="B2640">
        <f>HYPERLINK("https://www.suredividend.com/sure-analysis-research-database/","SoundThinking Inc")</f>
        <v>0</v>
      </c>
      <c r="C2640">
        <v>0.08037653874004301</v>
      </c>
      <c r="D2640">
        <v>-0.100663050030138</v>
      </c>
      <c r="E2640">
        <v>-0.377035490605428</v>
      </c>
      <c r="F2640">
        <v>-0.4158183241973371</v>
      </c>
      <c r="G2640">
        <v>-0.377814845704754</v>
      </c>
      <c r="H2640">
        <v>-0.5069398545935221</v>
      </c>
      <c r="I2640">
        <v>-0.6702762430939221</v>
      </c>
    </row>
    <row r="2641" spans="1:9">
      <c r="A2641" s="8" t="s">
        <v>2653</v>
      </c>
      <c r="B2641">
        <f>HYPERLINK("https://www.suredividend.com/sure-analysis-research-database/","Shutterstock Inc")</f>
        <v>0</v>
      </c>
      <c r="C2641">
        <v>-0.024614192979171</v>
      </c>
      <c r="D2641">
        <v>-0.259844573199094</v>
      </c>
      <c r="E2641">
        <v>-0.152521599222717</v>
      </c>
      <c r="F2641">
        <v>-0.200969845698725</v>
      </c>
      <c r="G2641">
        <v>-0.228512772241877</v>
      </c>
      <c r="H2641">
        <v>-0.338354393601714</v>
      </c>
      <c r="I2641">
        <v>0.06724214862813201</v>
      </c>
    </row>
    <row r="2642" spans="1:9">
      <c r="A2642" s="8" t="s">
        <v>2654</v>
      </c>
      <c r="B2642">
        <f>HYPERLINK("https://www.suredividend.com/sure-analysis-research-database/","Sensata Technologies Holding Plc")</f>
        <v>0</v>
      </c>
      <c r="C2642">
        <v>-0.060252441057394</v>
      </c>
      <c r="D2642">
        <v>0.128473215204932</v>
      </c>
      <c r="E2642">
        <v>0.179956880440405</v>
      </c>
      <c r="F2642">
        <v>0.057154951160834</v>
      </c>
      <c r="G2642">
        <v>-0.106271275884952</v>
      </c>
      <c r="H2642">
        <v>-0.181321006813334</v>
      </c>
      <c r="I2642">
        <v>-0.119070581511644</v>
      </c>
    </row>
    <row r="2643" spans="1:9">
      <c r="A2643" s="8" t="s">
        <v>2655</v>
      </c>
      <c r="B2643">
        <f>HYPERLINK("https://www.suredividend.com/sure-analysis-research-database/","Staar Surgical Co.")</f>
        <v>0</v>
      </c>
      <c r="C2643">
        <v>-0.171275455519828</v>
      </c>
      <c r="D2643">
        <v>0.1011107946454</v>
      </c>
      <c r="E2643">
        <v>0.234355044699872</v>
      </c>
      <c r="F2643">
        <v>0.238705543095161</v>
      </c>
      <c r="G2643">
        <v>-0.251210536509781</v>
      </c>
      <c r="H2643">
        <v>-0.4417328519855591</v>
      </c>
      <c r="I2643">
        <v>0.427621861152141</v>
      </c>
    </row>
    <row r="2644" spans="1:9">
      <c r="A2644" s="8" t="s">
        <v>2656</v>
      </c>
      <c r="B2644">
        <f>HYPERLINK("https://www.suredividend.com/sure-analysis-STAG/","STAG Industrial Inc")</f>
        <v>0</v>
      </c>
      <c r="C2644">
        <v>-0.004920195448960001</v>
      </c>
      <c r="D2644">
        <v>-0.040031898797786</v>
      </c>
      <c r="E2644">
        <v>-0.009549464762221</v>
      </c>
      <c r="F2644">
        <v>-0.08934049079754601</v>
      </c>
      <c r="G2644">
        <v>0.005866361425096001</v>
      </c>
      <c r="H2644">
        <v>0.106957614388244</v>
      </c>
      <c r="I2644">
        <v>0.425315880816829</v>
      </c>
    </row>
    <row r="2645" spans="1:9">
      <c r="A2645" s="8" t="s">
        <v>2657</v>
      </c>
      <c r="B2645">
        <f>HYPERLINK("https://www.suredividend.com/sure-analysis-research-database/","iStar Inc")</f>
        <v>0</v>
      </c>
      <c r="C2645">
        <v>-0.009090909090909</v>
      </c>
      <c r="D2645">
        <v>0</v>
      </c>
      <c r="E2645">
        <v>0.108560469576335</v>
      </c>
      <c r="F2645">
        <v>0</v>
      </c>
      <c r="G2645">
        <v>-0.5846579279710841</v>
      </c>
      <c r="H2645">
        <v>-0.432642043975818</v>
      </c>
      <c r="I2645">
        <v>0.088119108398339</v>
      </c>
    </row>
    <row r="2646" spans="1:9">
      <c r="A2646" s="8" t="s">
        <v>2658</v>
      </c>
      <c r="B2646">
        <f>HYPERLINK("https://www.suredividend.com/sure-analysis-research-database/","Extended Stay America Inc")</f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</row>
    <row r="2647" spans="1:9">
      <c r="A2647" s="8" t="s">
        <v>2659</v>
      </c>
      <c r="B2647">
        <f>HYPERLINK("https://www.suredividend.com/sure-analysis-research-database/","S &amp; T Bancorp, Inc.")</f>
        <v>0</v>
      </c>
      <c r="C2647">
        <v>-0.006377551020408</v>
      </c>
      <c r="D2647">
        <v>-0.017233113819291</v>
      </c>
      <c r="E2647">
        <v>0.066356387529516</v>
      </c>
      <c r="F2647">
        <v>-0.03766271869547001</v>
      </c>
      <c r="G2647">
        <v>0.06753640963797601</v>
      </c>
      <c r="H2647">
        <v>0.194730303820376</v>
      </c>
      <c r="I2647">
        <v>0.055026612673862</v>
      </c>
    </row>
    <row r="2648" spans="1:9">
      <c r="A2648" s="8" t="s">
        <v>2660</v>
      </c>
      <c r="B2648">
        <f>HYPERLINK("https://www.suredividend.com/sure-analysis-research-database/","Stewart Information Services Corp.")</f>
        <v>0</v>
      </c>
      <c r="C2648">
        <v>-0.031358335959659</v>
      </c>
      <c r="D2648">
        <v>-0.000812743823146</v>
      </c>
      <c r="E2648">
        <v>0.170596267117613</v>
      </c>
      <c r="F2648">
        <v>0.054460744623914</v>
      </c>
      <c r="G2648">
        <v>0.434274661147652</v>
      </c>
      <c r="H2648">
        <v>0.173871196901759</v>
      </c>
      <c r="I2648">
        <v>0.727806526144773</v>
      </c>
    </row>
    <row r="2649" spans="1:9">
      <c r="A2649" s="8" t="s">
        <v>2661</v>
      </c>
      <c r="B2649">
        <f>HYPERLINK("https://www.suredividend.com/sure-analysis-research-database/","Steel Connect Inc")</f>
        <v>0</v>
      </c>
      <c r="C2649">
        <v>-0.117174959871589</v>
      </c>
      <c r="D2649">
        <v>0.235955056179775</v>
      </c>
      <c r="E2649">
        <v>0.16156282998944</v>
      </c>
      <c r="F2649">
        <v>0.141670991177996</v>
      </c>
      <c r="G2649">
        <v>-0.999998891408415</v>
      </c>
      <c r="H2649">
        <v>-0.999999287333981</v>
      </c>
      <c r="I2649">
        <v>-0.9999995093119211</v>
      </c>
    </row>
    <row r="2650" spans="1:9">
      <c r="A2650" s="8" t="s">
        <v>2662</v>
      </c>
      <c r="B2650">
        <f>HYPERLINK("https://www.suredividend.com/sure-analysis-STE/","Steris Plc")</f>
        <v>0</v>
      </c>
      <c r="C2650">
        <v>0.06567388547000501</v>
      </c>
      <c r="D2650">
        <v>-0.026478413870054</v>
      </c>
      <c r="E2650">
        <v>0.125589154252603</v>
      </c>
      <c r="F2650">
        <v>0.034149499222735</v>
      </c>
      <c r="G2650">
        <v>0.101245667349534</v>
      </c>
      <c r="H2650">
        <v>0.017831912586253</v>
      </c>
      <c r="I2650">
        <v>0.7201700075449381</v>
      </c>
    </row>
    <row r="2651" spans="1:9">
      <c r="A2651" s="8" t="s">
        <v>2663</v>
      </c>
      <c r="B2651">
        <f>HYPERLINK("https://www.suredividend.com/sure-analysis-research-database/","State Auto Financial Corp.")</f>
        <v>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</row>
    <row r="2652" spans="1:9">
      <c r="A2652" s="8" t="s">
        <v>2664</v>
      </c>
      <c r="B2652">
        <f>HYPERLINK("https://www.suredividend.com/sure-analysis-research-database/","Solidion Technology Inc")</f>
        <v>0</v>
      </c>
      <c r="C2652">
        <v>-0.25</v>
      </c>
      <c r="D2652">
        <v>1.354533152909337</v>
      </c>
      <c r="E2652">
        <v>-0.425742574257425</v>
      </c>
      <c r="F2652">
        <v>-0.425742574257425</v>
      </c>
      <c r="G2652">
        <v>-0.425742574257425</v>
      </c>
      <c r="H2652">
        <v>-0.425742574257425</v>
      </c>
      <c r="I2652">
        <v>-0.425742574257425</v>
      </c>
    </row>
    <row r="2653" spans="1:9">
      <c r="A2653" s="8" t="s">
        <v>2665</v>
      </c>
      <c r="B2653">
        <f>HYPERLINK("https://www.suredividend.com/sure-analysis-research-database/","Neuronetics Inc")</f>
        <v>0</v>
      </c>
      <c r="C2653">
        <v>-0.138461538461538</v>
      </c>
      <c r="D2653">
        <v>-0.4357682619647351</v>
      </c>
      <c r="E2653">
        <v>0.244444444444444</v>
      </c>
      <c r="F2653">
        <v>-0.227586206896551</v>
      </c>
      <c r="G2653">
        <v>-0.08943089430894301</v>
      </c>
      <c r="H2653">
        <v>-0.297805642633228</v>
      </c>
      <c r="I2653">
        <v>-0.7741935483870961</v>
      </c>
    </row>
    <row r="2654" spans="1:9">
      <c r="A2654" s="8" t="s">
        <v>2666</v>
      </c>
      <c r="B2654">
        <f>HYPERLINK("https://www.suredividend.com/sure-analysis-research-database/","ONE Group Hospitality Inc")</f>
        <v>0</v>
      </c>
      <c r="C2654">
        <v>0.027083333333333</v>
      </c>
      <c r="D2654">
        <v>0.416666666666666</v>
      </c>
      <c r="E2654">
        <v>-0.012024048096192</v>
      </c>
      <c r="F2654">
        <v>-0.194444444444444</v>
      </c>
      <c r="G2654">
        <v>-0.378310214375788</v>
      </c>
      <c r="H2654">
        <v>-0.46471226927253</v>
      </c>
      <c r="I2654">
        <v>0.540624999999999</v>
      </c>
    </row>
    <row r="2655" spans="1:9">
      <c r="A2655" s="8" t="s">
        <v>2667</v>
      </c>
      <c r="B2655">
        <f>HYPERLINK("https://www.suredividend.com/sure-analysis-research-database/","Sterling Bancorp.")</f>
        <v>0</v>
      </c>
      <c r="C2655">
        <v>0.021927318383418</v>
      </c>
      <c r="D2655">
        <v>0.035577544235587</v>
      </c>
      <c r="E2655">
        <v>0.217276153611082</v>
      </c>
      <c r="F2655">
        <v>0.021927318383418</v>
      </c>
      <c r="G2655">
        <v>0.440161271768128</v>
      </c>
      <c r="H2655">
        <v>0.3583755296062821</v>
      </c>
      <c r="I2655">
        <v>0.187717134479938</v>
      </c>
    </row>
    <row r="2656" spans="1:9">
      <c r="A2656" s="8" t="s">
        <v>2668</v>
      </c>
      <c r="B2656">
        <f>HYPERLINK("https://www.suredividend.com/sure-analysis-STLD/","Steel Dynamics Inc.")</f>
        <v>0</v>
      </c>
      <c r="C2656">
        <v>-0.054178283475246</v>
      </c>
      <c r="D2656">
        <v>-0.04598385195420501</v>
      </c>
      <c r="E2656">
        <v>0.111917233388344</v>
      </c>
      <c r="F2656">
        <v>0.069612589251552</v>
      </c>
      <c r="G2656">
        <v>0.270054558111674</v>
      </c>
      <c r="H2656">
        <v>0.5259268984733431</v>
      </c>
      <c r="I2656">
        <v>4.486421630977826</v>
      </c>
    </row>
    <row r="2657" spans="1:9">
      <c r="A2657" s="8" t="s">
        <v>2669</v>
      </c>
      <c r="B2657">
        <f>HYPERLINK("https://www.suredividend.com/sure-analysis-research-database/","Stamps.com Inc.")</f>
        <v>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</row>
    <row r="2658" spans="1:9">
      <c r="A2658" s="8" t="s">
        <v>2670</v>
      </c>
      <c r="B2658">
        <f>HYPERLINK("https://www.suredividend.com/sure-analysis-research-database/","Standard AVB Financial Corp")</f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</row>
    <row r="2659" spans="1:9">
      <c r="A2659" s="8" t="s">
        <v>2671</v>
      </c>
      <c r="B2659">
        <f>HYPERLINK("https://www.suredividend.com/sure-analysis-research-database/","Store Capital Corp")</f>
        <v>0</v>
      </c>
      <c r="C2659">
        <v>0.004678727386150001</v>
      </c>
      <c r="D2659">
        <v>0.018337021814732</v>
      </c>
      <c r="E2659">
        <v>0.13730655019367</v>
      </c>
      <c r="F2659">
        <v>0.004678727386150001</v>
      </c>
      <c r="G2659">
        <v>0.055823253679483</v>
      </c>
      <c r="H2659">
        <v>0.09125034726221801</v>
      </c>
      <c r="I2659">
        <v>0.704341016360827</v>
      </c>
    </row>
    <row r="2660" spans="1:9">
      <c r="A2660" s="8" t="s">
        <v>2672</v>
      </c>
      <c r="B2660">
        <f>HYPERLINK("https://www.suredividend.com/sure-analysis-research-database/","Strategic Education Inc")</f>
        <v>0</v>
      </c>
      <c r="C2660">
        <v>-0.076658757396696</v>
      </c>
      <c r="D2660">
        <v>0.06615844938516001</v>
      </c>
      <c r="E2660">
        <v>0.249713562626215</v>
      </c>
      <c r="F2660">
        <v>0.218055072680623</v>
      </c>
      <c r="G2660">
        <v>0.46710185431815</v>
      </c>
      <c r="H2660">
        <v>0.8242005220004741</v>
      </c>
      <c r="I2660">
        <v>-0.286424665948644</v>
      </c>
    </row>
    <row r="2661" spans="1:9">
      <c r="A2661" s="8" t="s">
        <v>2673</v>
      </c>
      <c r="B2661">
        <f>HYPERLINK("https://www.suredividend.com/sure-analysis-research-database/","Sterling Infrastructure Inc")</f>
        <v>0</v>
      </c>
      <c r="C2661">
        <v>-0.075983606557377</v>
      </c>
      <c r="D2661">
        <v>0.02818314483765</v>
      </c>
      <c r="E2661">
        <v>0.659013980868285</v>
      </c>
      <c r="F2661">
        <v>0.282042533833731</v>
      </c>
      <c r="G2661">
        <v>1.112631184407796</v>
      </c>
      <c r="H2661">
        <v>3.459256329113924</v>
      </c>
      <c r="I2661">
        <v>7.827721221613157</v>
      </c>
    </row>
    <row r="2662" spans="1:9">
      <c r="A2662" s="8" t="s">
        <v>2674</v>
      </c>
      <c r="B2662">
        <f>HYPERLINK("https://www.suredividend.com/sure-analysis-research-database/","Streamline Health Solutions, Inc")</f>
        <v>0</v>
      </c>
      <c r="C2662">
        <v>0.393939393939394</v>
      </c>
      <c r="D2662">
        <v>-0.06122448979591801</v>
      </c>
      <c r="E2662">
        <v>0.4838709677419351</v>
      </c>
      <c r="F2662">
        <v>0.08235294117647</v>
      </c>
      <c r="G2662">
        <v>-0.6870748299319721</v>
      </c>
      <c r="H2662">
        <v>-0.6642335766423351</v>
      </c>
      <c r="I2662">
        <v>-0.680555555555555</v>
      </c>
    </row>
    <row r="2663" spans="1:9">
      <c r="A2663" s="8" t="s">
        <v>2675</v>
      </c>
      <c r="B2663">
        <f>HYPERLINK("https://www.suredividend.com/sure-analysis-research-database/","Stratus Properties Inc.")</f>
        <v>0</v>
      </c>
      <c r="C2663">
        <v>0.03211991434689501</v>
      </c>
      <c r="D2663">
        <v>0.071587372165407</v>
      </c>
      <c r="E2663">
        <v>-0.11818514452982</v>
      </c>
      <c r="F2663">
        <v>-0.164934164934164</v>
      </c>
      <c r="G2663">
        <v>-0.035614245698279</v>
      </c>
      <c r="H2663">
        <v>-0.390952741976244</v>
      </c>
      <c r="I2663">
        <v>-0.095345345345345</v>
      </c>
    </row>
    <row r="2664" spans="1:9">
      <c r="A2664" s="8" t="s">
        <v>2676</v>
      </c>
      <c r="B2664">
        <f>HYPERLINK("https://www.suredividend.com/sure-analysis-research-database/","Strattec Security Corp.")</f>
        <v>0</v>
      </c>
      <c r="C2664">
        <v>0.281801299907149</v>
      </c>
      <c r="D2664">
        <v>0.117361392148927</v>
      </c>
      <c r="E2664">
        <v>0.272350230414746</v>
      </c>
      <c r="F2664">
        <v>0.08958168902920201</v>
      </c>
      <c r="G2664">
        <v>0.41662390969728</v>
      </c>
      <c r="H2664">
        <v>-0.208428899082568</v>
      </c>
      <c r="I2664">
        <v>0.174278994398676</v>
      </c>
    </row>
    <row r="2665" spans="1:9">
      <c r="A2665" s="8" t="s">
        <v>2677</v>
      </c>
      <c r="B2665">
        <f>HYPERLINK("https://www.suredividend.com/sure-analysis-STT/","State Street Corp.")</f>
        <v>0</v>
      </c>
      <c r="C2665">
        <v>-0.007830126078301001</v>
      </c>
      <c r="D2665">
        <v>0.044110746128578</v>
      </c>
      <c r="E2665">
        <v>0.039992988811311</v>
      </c>
      <c r="F2665">
        <v>-0.026116136562591</v>
      </c>
      <c r="G2665">
        <v>0.03926145154631101</v>
      </c>
      <c r="H2665">
        <v>0.100936886098094</v>
      </c>
      <c r="I2665">
        <v>0.55268022181146</v>
      </c>
    </row>
    <row r="2666" spans="1:9">
      <c r="A2666" s="8" t="s">
        <v>2678</v>
      </c>
      <c r="B2666">
        <f>HYPERLINK("https://www.suredividend.com/sure-analysis-STWD/","Starwood Property Trust Inc")</f>
        <v>0</v>
      </c>
      <c r="C2666">
        <v>-0.031202046035805</v>
      </c>
      <c r="D2666">
        <v>-0.046209008137942</v>
      </c>
      <c r="E2666">
        <v>-0.01626231619843</v>
      </c>
      <c r="F2666">
        <v>-0.07706551665326601</v>
      </c>
      <c r="G2666">
        <v>0.10529479390979</v>
      </c>
      <c r="H2666">
        <v>-0.028772735896949</v>
      </c>
      <c r="I2666">
        <v>0.343262411347517</v>
      </c>
    </row>
    <row r="2667" spans="1:9">
      <c r="A2667" s="8" t="s">
        <v>2679</v>
      </c>
      <c r="B2667">
        <f>HYPERLINK("https://www.suredividend.com/sure-analysis-research-database/","Seagate Technology Holdings Plc")</f>
        <v>0</v>
      </c>
      <c r="C2667">
        <v>0.073734778237068</v>
      </c>
      <c r="D2667">
        <v>0.041289721448769</v>
      </c>
      <c r="E2667">
        <v>0.26091377218013</v>
      </c>
      <c r="F2667">
        <v>0.144236138146482</v>
      </c>
      <c r="G2667">
        <v>0.7492101163349391</v>
      </c>
      <c r="H2667">
        <v>0.285929700012175</v>
      </c>
      <c r="I2667">
        <v>0.115826014268548</v>
      </c>
    </row>
    <row r="2668" spans="1:9">
      <c r="A2668" s="8" t="s">
        <v>2680</v>
      </c>
      <c r="B2668">
        <f>HYPERLINK("https://www.suredividend.com/sure-analysis-research-database/","Spirit of Texas Bancshares Inc")</f>
        <v>0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</row>
    <row r="2669" spans="1:9">
      <c r="A2669" s="8" t="s">
        <v>2681</v>
      </c>
      <c r="B2669">
        <f>HYPERLINK("https://www.suredividend.com/sure-analysis-STZ/","Constellation Brands Inc")</f>
        <v>0</v>
      </c>
      <c r="C2669">
        <v>-0.029246779372509</v>
      </c>
      <c r="D2669">
        <v>-0.013192304999988</v>
      </c>
      <c r="E2669">
        <v>0.071978899620687</v>
      </c>
      <c r="F2669">
        <v>0.04586109007459301</v>
      </c>
      <c r="G2669">
        <v>0.046513616187701</v>
      </c>
      <c r="H2669">
        <v>0.04880563721013401</v>
      </c>
      <c r="I2669">
        <v>0.4332428025143</v>
      </c>
    </row>
    <row r="2670" spans="1:9">
      <c r="A2670" s="8" t="s">
        <v>2682</v>
      </c>
      <c r="B2670">
        <f>HYPERLINK("https://www.suredividend.com/sure-analysis-SUI/","Sun Communities, Inc.")</f>
        <v>0</v>
      </c>
      <c r="C2670">
        <v>-0.008497854077253</v>
      </c>
      <c r="D2670">
        <v>-0.118970619641821</v>
      </c>
      <c r="E2670">
        <v>-0.09426369621333</v>
      </c>
      <c r="F2670">
        <v>-0.129188579561902</v>
      </c>
      <c r="G2670">
        <v>-0.092977109666456</v>
      </c>
      <c r="H2670">
        <v>-0.260919528462692</v>
      </c>
      <c r="I2670">
        <v>0.000352474640445</v>
      </c>
    </row>
    <row r="2671" spans="1:9">
      <c r="A2671" s="8" t="s">
        <v>2683</v>
      </c>
      <c r="B2671">
        <f>HYPERLINK("https://www.suredividend.com/sure-analysis-research-database/","Summit Materials Inc")</f>
        <v>0</v>
      </c>
      <c r="C2671">
        <v>-0.06795156906350301</v>
      </c>
      <c r="D2671">
        <v>-0.129873125720876</v>
      </c>
      <c r="E2671">
        <v>0.049526989426822</v>
      </c>
      <c r="F2671">
        <v>-0.019240769630785</v>
      </c>
      <c r="G2671">
        <v>0.106482839542387</v>
      </c>
      <c r="H2671">
        <v>0.356961442437062</v>
      </c>
      <c r="I2671">
        <v>1.50399962825032</v>
      </c>
    </row>
    <row r="2672" spans="1:9">
      <c r="A2672" s="8" t="s">
        <v>2684</v>
      </c>
      <c r="B2672">
        <f>HYPERLINK("https://www.suredividend.com/sure-analysis-research-database/","Summer Infant Inc")</f>
        <v>0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</row>
    <row r="2673" spans="1:9">
      <c r="A2673" s="8" t="s">
        <v>2685</v>
      </c>
      <c r="B2673">
        <f>HYPERLINK("https://www.suredividend.com/sure-analysis-research-database/","Sunworks Inc")</f>
        <v>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</row>
    <row r="2674" spans="1:9">
      <c r="A2674" s="8" t="s">
        <v>2686</v>
      </c>
      <c r="B2674">
        <f>HYPERLINK("https://www.suredividend.com/sure-analysis-research-database/","Superior Industries International, Inc.")</f>
        <v>0</v>
      </c>
      <c r="C2674">
        <v>-0.06060606060606</v>
      </c>
      <c r="D2674">
        <v>0.09646302250803801</v>
      </c>
      <c r="E2674">
        <v>0.159863945578231</v>
      </c>
      <c r="F2674">
        <v>0.065625</v>
      </c>
      <c r="G2674">
        <v>-0.100263852242744</v>
      </c>
      <c r="H2674">
        <v>-0.206976744186046</v>
      </c>
      <c r="I2674">
        <v>-0.05715154699035001</v>
      </c>
    </row>
    <row r="2675" spans="1:9">
      <c r="A2675" s="8" t="s">
        <v>2687</v>
      </c>
      <c r="B2675">
        <f>HYPERLINK("https://www.suredividend.com/sure-analysis-research-database/","Supernus Pharmaceuticals Inc")</f>
        <v>0</v>
      </c>
      <c r="C2675">
        <v>-0.156982343499197</v>
      </c>
      <c r="D2675">
        <v>-0.147679324894514</v>
      </c>
      <c r="E2675">
        <v>-0.037037037037036</v>
      </c>
      <c r="F2675">
        <v>-0.092605390463026</v>
      </c>
      <c r="G2675">
        <v>-0.259238363892806</v>
      </c>
      <c r="H2675">
        <v>-0.083740404745289</v>
      </c>
      <c r="I2675">
        <v>-0.144346692733789</v>
      </c>
    </row>
    <row r="2676" spans="1:9">
      <c r="A2676" s="8" t="s">
        <v>2688</v>
      </c>
      <c r="B2676">
        <f>HYPERLINK("https://www.suredividend.com/sure-analysis-research-database/","Severn Bancorp Inc")</f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</row>
    <row r="2677" spans="1:9">
      <c r="A2677" s="8" t="s">
        <v>2689</v>
      </c>
      <c r="B2677">
        <f>HYPERLINK("https://www.suredividend.com/sure-analysis-research-database/","Savara Inc")</f>
        <v>0</v>
      </c>
      <c r="C2677">
        <v>-0.247148288973384</v>
      </c>
      <c r="D2677">
        <v>-0.291592128801431</v>
      </c>
      <c r="E2677">
        <v>-0.014925373134328</v>
      </c>
      <c r="F2677">
        <v>-0.157446808510638</v>
      </c>
      <c r="G2677">
        <v>0.32</v>
      </c>
      <c r="H2677">
        <v>1.769230769230769</v>
      </c>
      <c r="I2677">
        <v>-0.609081934846989</v>
      </c>
    </row>
    <row r="2678" spans="1:9">
      <c r="A2678" s="8" t="s">
        <v>2690</v>
      </c>
      <c r="B2678">
        <f>HYPERLINK("https://www.suredividend.com/sure-analysis-research-database/","Servotronics, Inc.")</f>
        <v>0</v>
      </c>
      <c r="C2678">
        <v>-0.06933744221879801</v>
      </c>
      <c r="D2678">
        <v>-0.089675960813865</v>
      </c>
      <c r="E2678">
        <v>0.081468218442256</v>
      </c>
      <c r="F2678">
        <v>-0.03359999999999901</v>
      </c>
      <c r="G2678">
        <v>-0.004122011541632001</v>
      </c>
      <c r="H2678">
        <v>0.123720930232558</v>
      </c>
      <c r="I2678">
        <v>0.157088122605363</v>
      </c>
    </row>
    <row r="2679" spans="1:9">
      <c r="A2679" s="8" t="s">
        <v>2691</v>
      </c>
      <c r="B2679">
        <f>HYPERLINK("https://www.suredividend.com/sure-analysis-research-database/","Shockwave Medical Inc.")</f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</row>
    <row r="2680" spans="1:9">
      <c r="A2680" s="8" t="s">
        <v>2692</v>
      </c>
      <c r="B2680">
        <f>HYPERLINK("https://www.suredividend.com/sure-analysis-research-database/","Switch Inc")</f>
        <v>0</v>
      </c>
      <c r="C2680">
        <v>0.008907846210041001</v>
      </c>
      <c r="D2680">
        <v>0.011288041408185</v>
      </c>
      <c r="E2680">
        <v>0.020672720174751</v>
      </c>
      <c r="F2680">
        <v>0.203798731881511</v>
      </c>
      <c r="G2680">
        <v>0.314900413089881</v>
      </c>
      <c r="H2680">
        <v>1.167172867628448</v>
      </c>
      <c r="I2680">
        <v>1.186807643930251</v>
      </c>
    </row>
    <row r="2681" spans="1:9">
      <c r="A2681" s="8" t="s">
        <v>2693</v>
      </c>
      <c r="B2681">
        <f>HYPERLINK("https://www.suredividend.com/sure-analysis-SWK/","Stanley Black &amp; Decker Inc")</f>
        <v>0</v>
      </c>
      <c r="C2681">
        <v>-0.046453862983537</v>
      </c>
      <c r="D2681">
        <v>-0.08653340201503201</v>
      </c>
      <c r="E2681">
        <v>-0.09833367777293001</v>
      </c>
      <c r="F2681">
        <v>-0.143830460572697</v>
      </c>
      <c r="G2681">
        <v>-0.016519748917945</v>
      </c>
      <c r="H2681">
        <v>-0.261227620016914</v>
      </c>
      <c r="I2681">
        <v>-0.317996102834873</v>
      </c>
    </row>
    <row r="2682" spans="1:9">
      <c r="A2682" s="8" t="s">
        <v>2694</v>
      </c>
      <c r="B2682">
        <f>HYPERLINK("https://www.suredividend.com/sure-analysis-SWKS/","Skyworks Solutions, Inc.")</f>
        <v>0</v>
      </c>
      <c r="C2682">
        <v>-0.004500084958973001</v>
      </c>
      <c r="D2682">
        <v>-0.145236394236063</v>
      </c>
      <c r="E2682">
        <v>-0.08738896364730801</v>
      </c>
      <c r="F2682">
        <v>-0.169704500382643</v>
      </c>
      <c r="G2682">
        <v>-0.086383584080679</v>
      </c>
      <c r="H2682">
        <v>-0.08953461091916801</v>
      </c>
      <c r="I2682">
        <v>0.4780105044376121</v>
      </c>
    </row>
    <row r="2683" spans="1:9">
      <c r="A2683" s="8" t="s">
        <v>2695</v>
      </c>
      <c r="B2683">
        <f>HYPERLINK("https://www.suredividend.com/sure-analysis-research-database/","Southwestern Energy Company")</f>
        <v>0</v>
      </c>
      <c r="C2683">
        <v>-0.020325203252032</v>
      </c>
      <c r="D2683">
        <v>0.04178674351585</v>
      </c>
      <c r="E2683">
        <v>0.15311004784689</v>
      </c>
      <c r="F2683">
        <v>0.103816793893129</v>
      </c>
      <c r="G2683">
        <v>0.366729678638941</v>
      </c>
      <c r="H2683">
        <v>-0.246875</v>
      </c>
      <c r="I2683">
        <v>1.065714285714285</v>
      </c>
    </row>
    <row r="2684" spans="1:9">
      <c r="A2684" s="8" t="s">
        <v>2696</v>
      </c>
      <c r="B2684">
        <f>HYPERLINK("https://www.suredividend.com/sure-analysis-SWX/","Southwest Gas Holdings Inc")</f>
        <v>0</v>
      </c>
      <c r="C2684">
        <v>-0.020832259539583</v>
      </c>
      <c r="D2684">
        <v>0.012204102097498</v>
      </c>
      <c r="E2684">
        <v>0.232497750096899</v>
      </c>
      <c r="F2684">
        <v>0.191835868002046</v>
      </c>
      <c r="G2684">
        <v>0.228706185156685</v>
      </c>
      <c r="H2684">
        <v>-0.144142999392386</v>
      </c>
      <c r="I2684">
        <v>0.006608372416566001</v>
      </c>
    </row>
    <row r="2685" spans="1:9">
      <c r="A2685" s="8" t="s">
        <v>2697</v>
      </c>
      <c r="B2685">
        <f>HYPERLINK("https://www.suredividend.com/sure-analysis-research-database/","SunCoke Energy Inc")</f>
        <v>0</v>
      </c>
      <c r="C2685">
        <v>-0.037645340229385</v>
      </c>
      <c r="D2685">
        <v>-0.100918446387075</v>
      </c>
      <c r="E2685">
        <v>0.05808047922906601</v>
      </c>
      <c r="F2685">
        <v>-0.07491745417283301</v>
      </c>
      <c r="G2685">
        <v>0.3094806398323861</v>
      </c>
      <c r="H2685">
        <v>0.271799955650053</v>
      </c>
      <c r="I2685">
        <v>0.54840553932156</v>
      </c>
    </row>
    <row r="2686" spans="1:9">
      <c r="A2686" s="8" t="s">
        <v>2698</v>
      </c>
      <c r="B2686">
        <f>HYPERLINK("https://www.suredividend.com/sure-analysis-SXI/","Standex International Corp.")</f>
        <v>0</v>
      </c>
      <c r="C2686">
        <v>-0.03095453411969</v>
      </c>
      <c r="D2686">
        <v>-0.101404198721895</v>
      </c>
      <c r="E2686">
        <v>0.153201211336796</v>
      </c>
      <c r="F2686">
        <v>0.021993746490797</v>
      </c>
      <c r="G2686">
        <v>0.108403162663851</v>
      </c>
      <c r="H2686">
        <v>0.719408191790724</v>
      </c>
      <c r="I2686">
        <v>1.458290461491559</v>
      </c>
    </row>
    <row r="2687" spans="1:9">
      <c r="A2687" s="8" t="s">
        <v>2699</v>
      </c>
      <c r="B2687">
        <f>HYPERLINK("https://www.suredividend.com/sure-analysis-SXT/","Sensient Technologies Corp.")</f>
        <v>0</v>
      </c>
      <c r="C2687">
        <v>0.00634752710923</v>
      </c>
      <c r="D2687">
        <v>0.127465868600594</v>
      </c>
      <c r="E2687">
        <v>0.248949634998161</v>
      </c>
      <c r="F2687">
        <v>0.167011453887712</v>
      </c>
      <c r="G2687">
        <v>-0.001494478041407</v>
      </c>
      <c r="H2687">
        <v>-0.08750590543155801</v>
      </c>
      <c r="I2687">
        <v>0.175458405608836</v>
      </c>
    </row>
    <row r="2688" spans="1:9">
      <c r="A2688" s="8" t="s">
        <v>2700</v>
      </c>
      <c r="B2688">
        <f>HYPERLINK("https://www.suredividend.com/sure-analysis-SYBT/","Stock Yards Bancorp Inc")</f>
        <v>0</v>
      </c>
      <c r="C2688">
        <v>-0.014579759862778</v>
      </c>
      <c r="D2688">
        <v>-0.0031190487552</v>
      </c>
      <c r="E2688">
        <v>-0.024073283687626</v>
      </c>
      <c r="F2688">
        <v>-0.094888958472418</v>
      </c>
      <c r="G2688">
        <v>-0.009708988894778</v>
      </c>
      <c r="H2688">
        <v>-0.161332233600724</v>
      </c>
      <c r="I2688">
        <v>0.557026607674013</v>
      </c>
    </row>
    <row r="2689" spans="1:9">
      <c r="A2689" s="8" t="s">
        <v>2701</v>
      </c>
      <c r="B2689">
        <f>HYPERLINK("https://www.suredividend.com/sure-analysis-research-database/","Synlogic Inc")</f>
        <v>0</v>
      </c>
      <c r="C2689">
        <v>-0.141304347826086</v>
      </c>
      <c r="D2689">
        <v>-0.122222222222222</v>
      </c>
      <c r="E2689">
        <v>-0.444795839482746</v>
      </c>
      <c r="F2689">
        <v>-0.589610389610389</v>
      </c>
      <c r="G2689">
        <v>-0.815204678362573</v>
      </c>
      <c r="H2689">
        <v>-0.9024691358024691</v>
      </c>
      <c r="I2689">
        <v>-0.983359662980516</v>
      </c>
    </row>
    <row r="2690" spans="1:9">
      <c r="A2690" s="8" t="s">
        <v>2702</v>
      </c>
      <c r="B2690">
        <f>HYPERLINK("https://www.suredividend.com/sure-analysis-SYF/","Synchrony Financial")</f>
        <v>0</v>
      </c>
      <c r="C2690">
        <v>-0.034680804064501</v>
      </c>
      <c r="D2690">
        <v>0.057079895404726</v>
      </c>
      <c r="E2690">
        <v>0.267309504821286</v>
      </c>
      <c r="F2690">
        <v>0.158134370088861</v>
      </c>
      <c r="G2690">
        <v>0.314226425875524</v>
      </c>
      <c r="H2690">
        <v>0.270119920246932</v>
      </c>
      <c r="I2690">
        <v>0.4808138037599791</v>
      </c>
    </row>
    <row r="2691" spans="1:9">
      <c r="A2691" s="8" t="s">
        <v>2703</v>
      </c>
      <c r="B2691">
        <f>HYPERLINK("https://www.suredividend.com/sure-analysis-SYK/","Stryker Corp.")</f>
        <v>0</v>
      </c>
      <c r="C2691">
        <v>0.05175528391642</v>
      </c>
      <c r="D2691">
        <v>-0.020945702606616</v>
      </c>
      <c r="E2691">
        <v>0.213175489361229</v>
      </c>
      <c r="F2691">
        <v>0.169202510373145</v>
      </c>
      <c r="G2691">
        <v>0.269708689942538</v>
      </c>
      <c r="H2691">
        <v>0.549425901177915</v>
      </c>
      <c r="I2691">
        <v>0.9005498771250131</v>
      </c>
    </row>
    <row r="2692" spans="1:9">
      <c r="A2692" s="8" t="s">
        <v>2704</v>
      </c>
      <c r="B2692">
        <f>HYPERLINK("https://www.suredividend.com/sure-analysis-research-database/","Sykes Enterprises, Inc.")</f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</row>
    <row r="2693" spans="1:9">
      <c r="A2693" s="8" t="s">
        <v>2705</v>
      </c>
      <c r="B2693">
        <f>HYPERLINK("https://www.suredividend.com/sure-analysis-research-database/","Synaptics Inc")</f>
        <v>0</v>
      </c>
      <c r="C2693">
        <v>0.007106155023504</v>
      </c>
      <c r="D2693">
        <v>-0.14695805167145</v>
      </c>
      <c r="E2693">
        <v>-0.07454289732770701</v>
      </c>
      <c r="F2693">
        <v>-0.192496493688639</v>
      </c>
      <c r="G2693">
        <v>0.117012246877652</v>
      </c>
      <c r="H2693">
        <v>-0.385538954108858</v>
      </c>
      <c r="I2693">
        <v>2.284135472370766</v>
      </c>
    </row>
    <row r="2694" spans="1:9">
      <c r="A2694" s="8" t="s">
        <v>2706</v>
      </c>
      <c r="B2694">
        <f>HYPERLINK("https://www.suredividend.com/sure-analysis-research-database/","Synacor Inc")</f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</row>
    <row r="2695" spans="1:9">
      <c r="A2695" s="8" t="s">
        <v>2707</v>
      </c>
      <c r="B2695">
        <f>HYPERLINK("https://www.suredividend.com/sure-analysis-research-database/","Syneos Health Inc")</f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</row>
    <row r="2696" spans="1:9">
      <c r="A2696" s="8" t="s">
        <v>2708</v>
      </c>
      <c r="B2696">
        <f>HYPERLINK("https://www.suredividend.com/sure-analysis-research-database/","Synalloy Corp.")</f>
        <v>0</v>
      </c>
      <c r="C2696">
        <v>-0.022810890360559</v>
      </c>
      <c r="D2696">
        <v>-0.103913630229419</v>
      </c>
      <c r="E2696">
        <v>-0.256438969764837</v>
      </c>
      <c r="F2696">
        <v>-0.191722458916616</v>
      </c>
      <c r="G2696">
        <v>0.314851485148514</v>
      </c>
      <c r="H2696">
        <v>0.8444444444444441</v>
      </c>
      <c r="I2696">
        <v>0.271446078431372</v>
      </c>
    </row>
    <row r="2697" spans="1:9">
      <c r="A2697" s="8" t="s">
        <v>2709</v>
      </c>
      <c r="B2697">
        <f>HYPERLINK("https://www.suredividend.com/sure-analysis-research-database/","Sypris Solutions, Inc.")</f>
        <v>0</v>
      </c>
      <c r="C2697">
        <v>0.302325581395348</v>
      </c>
      <c r="D2697">
        <v>-0.07692307692307601</v>
      </c>
      <c r="E2697">
        <v>-0.134020618556701</v>
      </c>
      <c r="F2697">
        <v>-0.172413793103448</v>
      </c>
      <c r="G2697">
        <v>-0.125</v>
      </c>
      <c r="H2697">
        <v>-0.263157894736842</v>
      </c>
      <c r="I2697">
        <v>1.062868369351669</v>
      </c>
    </row>
    <row r="2698" spans="1:9">
      <c r="A2698" s="8" t="s">
        <v>2710</v>
      </c>
      <c r="B2698">
        <f>HYPERLINK("https://www.suredividend.com/sure-analysis-research-database/","Syros Pharmaceuticals Inc.")</f>
        <v>0</v>
      </c>
      <c r="C2698">
        <v>0</v>
      </c>
      <c r="D2698">
        <v>-0.256854256854256</v>
      </c>
      <c r="E2698">
        <v>0.105150214592274</v>
      </c>
      <c r="F2698">
        <v>-0.338896020539152</v>
      </c>
      <c r="G2698">
        <v>0.454802259887005</v>
      </c>
      <c r="H2698">
        <v>-0.523148148148148</v>
      </c>
      <c r="I2698">
        <v>-0.9135906040268451</v>
      </c>
    </row>
    <row r="2699" spans="1:9">
      <c r="A2699" s="8" t="s">
        <v>2711</v>
      </c>
      <c r="B2699">
        <f>HYPERLINK("https://www.suredividend.com/sure-analysis-SYY/","Sysco Corp.")</f>
        <v>0</v>
      </c>
      <c r="C2699">
        <v>-0.041551246537396</v>
      </c>
      <c r="D2699">
        <v>-0.08454652547231001</v>
      </c>
      <c r="E2699">
        <v>-0.007709168379436001</v>
      </c>
      <c r="F2699">
        <v>0.006538482850335</v>
      </c>
      <c r="G2699">
        <v>0.027395807557707</v>
      </c>
      <c r="H2699">
        <v>-0.100311659173391</v>
      </c>
      <c r="I2699">
        <v>0.156763228111288</v>
      </c>
    </row>
    <row r="2700" spans="1:9">
      <c r="A2700" s="8" t="s">
        <v>2712</v>
      </c>
      <c r="B2700">
        <f>HYPERLINK("https://www.suredividend.com/sure-analysis-T/","AT&amp;T, Inc.")</f>
        <v>0</v>
      </c>
      <c r="C2700">
        <v>0.05971896955503501</v>
      </c>
      <c r="D2700">
        <v>0.078941564286438</v>
      </c>
      <c r="E2700">
        <v>0.09393981517856601</v>
      </c>
      <c r="F2700">
        <v>0.114154688990797</v>
      </c>
      <c r="G2700">
        <v>0.204410404508886</v>
      </c>
      <c r="H2700">
        <v>-0.026839864080175</v>
      </c>
      <c r="I2700">
        <v>0.002131605902057</v>
      </c>
    </row>
    <row r="2701" spans="1:9">
      <c r="A2701" s="8" t="s">
        <v>2713</v>
      </c>
      <c r="B2701">
        <f>HYPERLINK("https://www.suredividend.com/sure-analysis-research-database/","Del Taco Restaurants Inc")</f>
        <v>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</row>
    <row r="2702" spans="1:9">
      <c r="A2702" s="8" t="s">
        <v>2714</v>
      </c>
      <c r="B2702">
        <f>HYPERLINK("https://www.suredividend.com/sure-analysis-research-database/","Transact Technologies Inc.")</f>
        <v>0</v>
      </c>
      <c r="C2702">
        <v>-0.015306122448979</v>
      </c>
      <c r="D2702">
        <v>-0.41559424678274</v>
      </c>
      <c r="E2702">
        <v>-0.448571428571428</v>
      </c>
      <c r="F2702">
        <v>-0.446991404011461</v>
      </c>
      <c r="G2702">
        <v>-0.497395833333333</v>
      </c>
      <c r="H2702">
        <v>-0.190775681341719</v>
      </c>
      <c r="I2702">
        <v>-0.544037044037044</v>
      </c>
    </row>
    <row r="2703" spans="1:9">
      <c r="A2703" s="8" t="s">
        <v>2715</v>
      </c>
      <c r="B2703">
        <f>HYPERLINK("https://www.suredividend.com/sure-analysis-research-database/","Taitron Components Inc.")</f>
        <v>0</v>
      </c>
      <c r="C2703">
        <v>-0.08961085326669001</v>
      </c>
      <c r="D2703">
        <v>-0.115058207401331</v>
      </c>
      <c r="E2703">
        <v>-0.139491364235972</v>
      </c>
      <c r="F2703">
        <v>-0.16871647452805</v>
      </c>
      <c r="G2703">
        <v>-0.236610058785107</v>
      </c>
      <c r="H2703">
        <v>-0.05542834051724101</v>
      </c>
      <c r="I2703">
        <v>0.473756107812746</v>
      </c>
    </row>
    <row r="2704" spans="1:9">
      <c r="A2704" s="8" t="s">
        <v>2716</v>
      </c>
      <c r="B2704">
        <f>HYPERLINK("https://www.suredividend.com/sure-analysis-research-database/","Talos Energy Inc")</f>
        <v>0</v>
      </c>
      <c r="C2704">
        <v>-0.165231010180109</v>
      </c>
      <c r="D2704">
        <v>-0.148562300319488</v>
      </c>
      <c r="E2704">
        <v>-0.172360248447205</v>
      </c>
      <c r="F2704">
        <v>-0.250878425860857</v>
      </c>
      <c r="G2704">
        <v>-0.238027162258756</v>
      </c>
      <c r="H2704">
        <v>-0.5761431411530811</v>
      </c>
      <c r="I2704">
        <v>-0.524319500223114</v>
      </c>
    </row>
    <row r="2705" spans="1:9">
      <c r="A2705" s="8" t="s">
        <v>2717</v>
      </c>
      <c r="B2705">
        <f>HYPERLINK("https://www.suredividend.com/sure-analysis-TAP/","Molson Coors Beverage Company")</f>
        <v>0</v>
      </c>
      <c r="C2705">
        <v>-0.10115081768625</v>
      </c>
      <c r="D2705">
        <v>-0.181881043550579</v>
      </c>
      <c r="E2705">
        <v>-0.151054725424881</v>
      </c>
      <c r="F2705">
        <v>-0.13829430716805</v>
      </c>
      <c r="G2705">
        <v>-0.191916048883322</v>
      </c>
      <c r="H2705">
        <v>0.006618409449887</v>
      </c>
      <c r="I2705">
        <v>0.028795987814491</v>
      </c>
    </row>
    <row r="2706" spans="1:9">
      <c r="A2706" s="8" t="s">
        <v>2718</v>
      </c>
      <c r="B2706">
        <f>HYPERLINK("https://www.suredividend.com/sure-analysis-research-database/","Carrols Restaurant Group Inc.")</f>
        <v>0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</row>
    <row r="2707" spans="1:9">
      <c r="A2707" s="8" t="s">
        <v>2719</v>
      </c>
      <c r="B2707">
        <f>HYPERLINK("https://www.suredividend.com/sure-analysis-research-database/","TransAtlantic Petroleum Ltd")</f>
        <v>0</v>
      </c>
      <c r="C2707">
        <v>0.172545281220209</v>
      </c>
      <c r="D2707">
        <v>-0.088888888888889</v>
      </c>
      <c r="E2707">
        <v>-0.321004692243996</v>
      </c>
      <c r="F2707">
        <v>-0.496211345484333</v>
      </c>
      <c r="G2707">
        <v>-0.470398277717976</v>
      </c>
      <c r="H2707">
        <v>-0.761165048543689</v>
      </c>
      <c r="I2707">
        <v>-0.7915254237288131</v>
      </c>
    </row>
    <row r="2708" spans="1:9">
      <c r="A2708" s="8" t="s">
        <v>2720</v>
      </c>
      <c r="B2708">
        <f>HYPERLINK("https://www.suredividend.com/sure-analysis-research-database/","Taylor Devices Inc.")</f>
        <v>0</v>
      </c>
      <c r="C2708">
        <v>0.047438330170777</v>
      </c>
      <c r="D2708">
        <v>0.126530612244898</v>
      </c>
      <c r="E2708">
        <v>1.071193982413391</v>
      </c>
      <c r="F2708">
        <v>1.120198825124266</v>
      </c>
      <c r="G2708">
        <v>1.499733617474694</v>
      </c>
      <c r="H2708">
        <v>4.207547169811321</v>
      </c>
      <c r="I2708">
        <v>3.432310904127188</v>
      </c>
    </row>
    <row r="2709" spans="1:9">
      <c r="A2709" s="8" t="s">
        <v>2721</v>
      </c>
      <c r="B2709">
        <f>HYPERLINK("https://www.suredividend.com/sure-analysis-research-database/","Bancorp Inc. (The)")</f>
        <v>0</v>
      </c>
      <c r="C2709">
        <v>0.002467612584824</v>
      </c>
      <c r="D2709">
        <v>-0.141120507399577</v>
      </c>
      <c r="E2709">
        <v>-0.184850764986205</v>
      </c>
      <c r="F2709">
        <v>-0.157157676348547</v>
      </c>
      <c r="G2709">
        <v>-0.09090909090909001</v>
      </c>
      <c r="H2709">
        <v>0.549833094897472</v>
      </c>
      <c r="I2709">
        <v>2.676470588235294</v>
      </c>
    </row>
    <row r="2710" spans="1:9">
      <c r="A2710" s="8" t="s">
        <v>2722</v>
      </c>
      <c r="B2710">
        <f>HYPERLINK("https://www.suredividend.com/sure-analysis-research-database/","TrueBlue Inc")</f>
        <v>0</v>
      </c>
      <c r="C2710">
        <v>0.022727272727272</v>
      </c>
      <c r="D2710">
        <v>-0.073756432246998</v>
      </c>
      <c r="E2710">
        <v>-0.254658385093167</v>
      </c>
      <c r="F2710">
        <v>-0.295958279009126</v>
      </c>
      <c r="G2710">
        <v>-0.416531604538087</v>
      </c>
      <c r="H2710">
        <v>-0.513732552904097</v>
      </c>
      <c r="I2710">
        <v>-0.4876660341555971</v>
      </c>
    </row>
    <row r="2711" spans="1:9">
      <c r="A2711" s="8" t="s">
        <v>2723</v>
      </c>
      <c r="B2711">
        <f>HYPERLINK("https://www.suredividend.com/sure-analysis-research-database/","Telesis Bio Inc")</f>
        <v>0</v>
      </c>
      <c r="C2711">
        <v>-0.310094408133623</v>
      </c>
      <c r="D2711">
        <v>-0.5860566448801741</v>
      </c>
      <c r="E2711">
        <v>-0.455197132616487</v>
      </c>
      <c r="F2711">
        <v>-0.47089947089947</v>
      </c>
      <c r="G2711">
        <v>-0.847020933977455</v>
      </c>
      <c r="H2711">
        <v>0.029810298102981</v>
      </c>
      <c r="I2711">
        <v>-0.794594594594594</v>
      </c>
    </row>
    <row r="2712" spans="1:9">
      <c r="A2712" s="8" t="s">
        <v>2724</v>
      </c>
      <c r="B2712">
        <f>HYPERLINK("https://www.suredividend.com/sure-analysis-research-database/","Territorial Bancorp Inc")</f>
        <v>0</v>
      </c>
      <c r="C2712">
        <v>-0.034960707876987</v>
      </c>
      <c r="D2712">
        <v>-0.086821088132655</v>
      </c>
      <c r="E2712">
        <v>-0.109054555841188</v>
      </c>
      <c r="F2712">
        <v>-0.291239104550866</v>
      </c>
      <c r="G2712">
        <v>-0.293659420289855</v>
      </c>
      <c r="H2712">
        <v>-0.6052824725778121</v>
      </c>
      <c r="I2712">
        <v>-0.6272217069976</v>
      </c>
    </row>
    <row r="2713" spans="1:9">
      <c r="A2713" s="8" t="s">
        <v>2725</v>
      </c>
      <c r="B2713">
        <f>HYPERLINK("https://www.suredividend.com/sure-analysis-research-database/","Theravance Biopharma Inc")</f>
        <v>0</v>
      </c>
      <c r="C2713">
        <v>-0.08071278825995701</v>
      </c>
      <c r="D2713">
        <v>0.009205983889528001</v>
      </c>
      <c r="E2713">
        <v>-0.172641509433962</v>
      </c>
      <c r="F2713">
        <v>-0.219750889679715</v>
      </c>
      <c r="G2713">
        <v>-0.214861235452103</v>
      </c>
      <c r="H2713">
        <v>-0.022296544035674</v>
      </c>
      <c r="I2713">
        <v>-0.441045251752708</v>
      </c>
    </row>
    <row r="2714" spans="1:9">
      <c r="A2714" s="8" t="s">
        <v>2726</v>
      </c>
      <c r="B2714">
        <f>HYPERLINK("https://www.suredividend.com/sure-analysis-research-database/","Texas Capital Bancshares, Inc.")</f>
        <v>0</v>
      </c>
      <c r="C2714">
        <v>-0.033102766798418</v>
      </c>
      <c r="D2714">
        <v>-0.03675143560295301</v>
      </c>
      <c r="E2714">
        <v>0.022644138651802</v>
      </c>
      <c r="F2714">
        <v>-0.09159832894940401</v>
      </c>
      <c r="G2714">
        <v>0.094111069698099</v>
      </c>
      <c r="H2714">
        <v>0.04951734000715</v>
      </c>
      <c r="I2714">
        <v>0</v>
      </c>
    </row>
    <row r="2715" spans="1:9">
      <c r="A2715" s="8" t="s">
        <v>2727</v>
      </c>
      <c r="B2715">
        <f>HYPERLINK("https://www.suredividend.com/sure-analysis-research-database/","Trico Bancshares")</f>
        <v>0</v>
      </c>
      <c r="C2715">
        <v>-0.000439697291628</v>
      </c>
      <c r="D2715">
        <v>0.05772398605885001</v>
      </c>
      <c r="E2715">
        <v>-0.028822221396691</v>
      </c>
      <c r="F2715">
        <v>-0.116289963130458</v>
      </c>
      <c r="G2715">
        <v>0.019544046531321</v>
      </c>
      <c r="H2715">
        <v>-0.107415039812703</v>
      </c>
      <c r="I2715">
        <v>0.168310068215262</v>
      </c>
    </row>
    <row r="2716" spans="1:9">
      <c r="A2716" s="8" t="s">
        <v>2728</v>
      </c>
      <c r="B2716">
        <f>HYPERLINK("https://www.suredividend.com/sure-analysis-research-database/","Tricida Inc")</f>
        <v>0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</row>
    <row r="2717" spans="1:9">
      <c r="A2717" s="8" t="s">
        <v>2729</v>
      </c>
      <c r="B2717">
        <f>HYPERLINK("https://www.suredividend.com/sure-analysis-research-database/","TCF Financial Corp")</f>
        <v>0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</row>
    <row r="2718" spans="1:9">
      <c r="A2718" s="8" t="s">
        <v>2730</v>
      </c>
      <c r="B2718">
        <f>HYPERLINK("https://www.suredividend.com/sure-analysis-research-database/","Community Financial Corp")</f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</row>
    <row r="2719" spans="1:9">
      <c r="A2719" s="8" t="s">
        <v>2731</v>
      </c>
      <c r="B2719">
        <f>HYPERLINK("https://www.suredividend.com/sure-analysis-research-database/","Transcontinental Realty Investors, Inc.")</f>
        <v>0</v>
      </c>
      <c r="C2719">
        <v>0.004178272980501</v>
      </c>
      <c r="D2719">
        <v>-0.254780361757106</v>
      </c>
      <c r="E2719">
        <v>-0.05069124423963101</v>
      </c>
      <c r="F2719">
        <v>-0.165509259259259</v>
      </c>
      <c r="G2719">
        <v>-0.240252897787144</v>
      </c>
      <c r="H2719">
        <v>-0.362370108335175</v>
      </c>
      <c r="I2719">
        <v>0.087891361750282</v>
      </c>
    </row>
    <row r="2720" spans="1:9">
      <c r="A2720" s="8" t="s">
        <v>2732</v>
      </c>
      <c r="B2720">
        <f>HYPERLINK("https://www.suredividend.com/sure-analysis-research-database/","Tactile Systems Technology Inc")</f>
        <v>0</v>
      </c>
      <c r="C2720">
        <v>-0.166897506925207</v>
      </c>
      <c r="D2720">
        <v>-0.233757961783439</v>
      </c>
      <c r="E2720">
        <v>-0.091389728096676</v>
      </c>
      <c r="F2720">
        <v>-0.158741258741258</v>
      </c>
      <c r="G2720">
        <v>-0.5016570008285001</v>
      </c>
      <c r="H2720">
        <v>0.413631022326674</v>
      </c>
      <c r="I2720">
        <v>-0.771205781666032</v>
      </c>
    </row>
    <row r="2721" spans="1:9">
      <c r="A2721" s="8" t="s">
        <v>2733</v>
      </c>
      <c r="B2721">
        <f>HYPERLINK("https://www.suredividend.com/sure-analysis-research-database/","Taubman Centers, Inc.")</f>
        <v>0</v>
      </c>
      <c r="C2721">
        <v>0.005143792377834001</v>
      </c>
      <c r="D2721">
        <v>0.288669064748201</v>
      </c>
      <c r="E2721">
        <v>0.116623376623376</v>
      </c>
      <c r="F2721">
        <v>0.402788609317335</v>
      </c>
      <c r="G2721">
        <v>0.432269542533308</v>
      </c>
      <c r="H2721">
        <v>0.007995498135946001</v>
      </c>
      <c r="I2721">
        <v>-0.319763412480656</v>
      </c>
    </row>
    <row r="2722" spans="1:9">
      <c r="A2722" s="8" t="s">
        <v>2734</v>
      </c>
      <c r="B2722">
        <f>HYPERLINK("https://www.suredividend.com/sure-analysis-research-database/","TRACON Pharmaceuticals Inc")</f>
        <v>0</v>
      </c>
      <c r="C2722">
        <v>-0.373626373626373</v>
      </c>
      <c r="D2722">
        <v>-0.7548387096774191</v>
      </c>
      <c r="E2722">
        <v>-0.7150000000000001</v>
      </c>
      <c r="F2722">
        <v>-0.6744717304397481</v>
      </c>
      <c r="G2722">
        <v>-0.9095238095238091</v>
      </c>
      <c r="H2722">
        <v>-0.962</v>
      </c>
      <c r="I2722">
        <v>-0.9905</v>
      </c>
    </row>
    <row r="2723" spans="1:9">
      <c r="A2723" s="8" t="s">
        <v>2735</v>
      </c>
      <c r="B2723">
        <f>HYPERLINK("https://www.suredividend.com/sure-analysis-research-database/","Container Store Group Inc")</f>
        <v>0</v>
      </c>
      <c r="C2723">
        <v>-0.243740130836905</v>
      </c>
      <c r="D2723">
        <v>-0.476171875</v>
      </c>
      <c r="E2723">
        <v>-0.6579081632653061</v>
      </c>
      <c r="F2723">
        <v>-0.705921052631578</v>
      </c>
      <c r="G2723">
        <v>-0.7850961538461531</v>
      </c>
      <c r="H2723">
        <v>-0.911776315789473</v>
      </c>
      <c r="I2723">
        <v>-0.906875</v>
      </c>
    </row>
    <row r="2724" spans="1:9">
      <c r="A2724" s="8" t="s">
        <v>2736</v>
      </c>
      <c r="B2724">
        <f>HYPERLINK("https://www.suredividend.com/sure-analysis-research-database/","Teradata Corp")</f>
        <v>0</v>
      </c>
      <c r="C2724">
        <v>-0.012530562347188</v>
      </c>
      <c r="D2724">
        <v>-0.158812809164279</v>
      </c>
      <c r="E2724">
        <v>-0.25552995391705</v>
      </c>
      <c r="F2724">
        <v>-0.257412089174902</v>
      </c>
      <c r="G2724">
        <v>-0.322783483546426</v>
      </c>
      <c r="H2724">
        <v>-0.175554988517478</v>
      </c>
      <c r="I2724">
        <v>-0.102250625173659</v>
      </c>
    </row>
    <row r="2725" spans="1:9">
      <c r="A2725" s="8" t="s">
        <v>2737</v>
      </c>
      <c r="B2725">
        <f>HYPERLINK("https://www.suredividend.com/sure-analysis-research-database/","Transdigm Group Incorporated")</f>
        <v>0</v>
      </c>
      <c r="C2725">
        <v>-0.00030525030525</v>
      </c>
      <c r="D2725">
        <v>0.115187836790983</v>
      </c>
      <c r="E2725">
        <v>0.346406840980102</v>
      </c>
      <c r="F2725">
        <v>0.294978252273625</v>
      </c>
      <c r="G2725">
        <v>0.685569275288846</v>
      </c>
      <c r="H2725">
        <v>1.206949160651747</v>
      </c>
      <c r="I2725">
        <v>2.335945217158574</v>
      </c>
    </row>
    <row r="2726" spans="1:9">
      <c r="A2726" s="8" t="s">
        <v>2738</v>
      </c>
      <c r="B2726">
        <f>HYPERLINK("https://www.suredividend.com/sure-analysis-research-database/","Teladoc Health Inc")</f>
        <v>0</v>
      </c>
      <c r="C2726">
        <v>-0.17391304347826</v>
      </c>
      <c r="D2726">
        <v>-0.306840390879478</v>
      </c>
      <c r="E2726">
        <v>-0.445833333333333</v>
      </c>
      <c r="F2726">
        <v>-0.506264501160092</v>
      </c>
      <c r="G2726">
        <v>-0.575418994413407</v>
      </c>
      <c r="H2726">
        <v>-0.6944284893739231</v>
      </c>
      <c r="I2726">
        <v>-0.8089766606822261</v>
      </c>
    </row>
    <row r="2727" spans="1:9">
      <c r="A2727" s="8" t="s">
        <v>2739</v>
      </c>
      <c r="B2727">
        <f>HYPERLINK("https://www.suredividend.com/sure-analysis-TDS/","Telephone And Data Systems, Inc.")</f>
        <v>0</v>
      </c>
      <c r="C2727">
        <v>0.392857142857142</v>
      </c>
      <c r="D2727">
        <v>0.397703725906715</v>
      </c>
      <c r="E2727">
        <v>0.158689087795681</v>
      </c>
      <c r="F2727">
        <v>0.182906586225342</v>
      </c>
      <c r="G2727">
        <v>2.052468301290717</v>
      </c>
      <c r="H2727">
        <v>0.44638269465479</v>
      </c>
      <c r="I2727">
        <v>-0.122329652164306</v>
      </c>
    </row>
    <row r="2728" spans="1:9">
      <c r="A2728" s="8" t="s">
        <v>2740</v>
      </c>
      <c r="B2728">
        <f>HYPERLINK("https://www.suredividend.com/sure-analysis-research-database/","Tidewater Inc.")</f>
        <v>0</v>
      </c>
      <c r="C2728">
        <v>-0.141045667554902</v>
      </c>
      <c r="D2728">
        <v>0.173045551512109</v>
      </c>
      <c r="E2728">
        <v>0.6089500860585191</v>
      </c>
      <c r="F2728">
        <v>0.296352794341977</v>
      </c>
      <c r="G2728">
        <v>0.9195071868583161</v>
      </c>
      <c r="H2728">
        <v>2.493273542600897</v>
      </c>
      <c r="I2728">
        <v>3.243304584657285</v>
      </c>
    </row>
    <row r="2729" spans="1:9">
      <c r="A2729" s="8" t="s">
        <v>2741</v>
      </c>
      <c r="B2729">
        <f>HYPERLINK("https://www.suredividend.com/sure-analysis-research-database/","Teledyne Technologies Inc")</f>
        <v>0</v>
      </c>
      <c r="C2729">
        <v>-0.01010101010101</v>
      </c>
      <c r="D2729">
        <v>-0.091278553744102</v>
      </c>
      <c r="E2729">
        <v>-0.04405513648984</v>
      </c>
      <c r="F2729">
        <v>-0.128235004145286</v>
      </c>
      <c r="G2729">
        <v>-0.022413186592291</v>
      </c>
      <c r="H2729">
        <v>-0.05782922458468501</v>
      </c>
      <c r="I2729">
        <v>0.5465892828748601</v>
      </c>
    </row>
    <row r="2730" spans="1:9">
      <c r="A2730" s="8" t="s">
        <v>2742</v>
      </c>
      <c r="B2730">
        <f>HYPERLINK("https://www.suredividend.com/sure-analysis-research-database/","Tech Data Corp.")</f>
        <v>0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</row>
    <row r="2731" spans="1:9">
      <c r="A2731" s="8" t="s">
        <v>2743</v>
      </c>
      <c r="B2731">
        <f>HYPERLINK("https://www.suredividend.com/sure-analysis-research-database/","Bio-Techne Corp")</f>
        <v>0</v>
      </c>
      <c r="C2731">
        <v>0.004210621632634</v>
      </c>
      <c r="D2731">
        <v>0.010998170227451</v>
      </c>
      <c r="E2731">
        <v>0.145769376092192</v>
      </c>
      <c r="F2731">
        <v>0.010491513068832</v>
      </c>
      <c r="G2731">
        <v>-0.04852253186401501</v>
      </c>
      <c r="H2731">
        <v>-0.140543263455651</v>
      </c>
      <c r="I2731">
        <v>0.5177464700615071</v>
      </c>
    </row>
    <row r="2732" spans="1:9">
      <c r="A2732" s="8" t="s">
        <v>2744</v>
      </c>
      <c r="B2732">
        <f>HYPERLINK("https://www.suredividend.com/sure-analysis-TEL/","TE Connectivity Ltd")</f>
        <v>0</v>
      </c>
      <c r="C2732">
        <v>0.04588150415667201</v>
      </c>
      <c r="D2732">
        <v>0.051608254952082</v>
      </c>
      <c r="E2732">
        <v>0.136463197318869</v>
      </c>
      <c r="F2732">
        <v>0.070702082546773</v>
      </c>
      <c r="G2732">
        <v>0.181339632966637</v>
      </c>
      <c r="H2732">
        <v>0.164586332564072</v>
      </c>
      <c r="I2732">
        <v>0.7910444177094511</v>
      </c>
    </row>
    <row r="2733" spans="1:9">
      <c r="A2733" s="8" t="s">
        <v>2745</v>
      </c>
      <c r="B2733">
        <f>HYPERLINK("https://www.suredividend.com/sure-analysis-research-database/","Tellurian Inc")</f>
        <v>0</v>
      </c>
      <c r="C2733">
        <v>0.685206034676874</v>
      </c>
      <c r="D2733">
        <v>-0.07877892663712401</v>
      </c>
      <c r="E2733">
        <v>0.126938714049088</v>
      </c>
      <c r="F2733">
        <v>-0.009528851244044</v>
      </c>
      <c r="G2733">
        <v>-0.441492537313432</v>
      </c>
      <c r="H2733">
        <v>-0.8358771929824561</v>
      </c>
      <c r="I2733">
        <v>-0.90392811296534</v>
      </c>
    </row>
    <row r="2734" spans="1:9">
      <c r="A2734" s="8" t="s">
        <v>2746</v>
      </c>
      <c r="B2734">
        <f>HYPERLINK("https://www.suredividend.com/sure-analysis-research-database/","Tenneco, Inc.")</f>
        <v>0</v>
      </c>
      <c r="C2734">
        <v>0.08288190682556801</v>
      </c>
      <c r="D2734">
        <v>0.036825726141078</v>
      </c>
      <c r="E2734">
        <v>0.253291536050156</v>
      </c>
      <c r="F2734">
        <v>0.769026548672566</v>
      </c>
      <c r="G2734">
        <v>0.581487341772151</v>
      </c>
      <c r="H2734">
        <v>1.206401766004414</v>
      </c>
      <c r="I2734">
        <v>-0.6283246720648521</v>
      </c>
    </row>
    <row r="2735" spans="1:9">
      <c r="A2735" s="8" t="s">
        <v>2747</v>
      </c>
      <c r="B2735">
        <f>HYPERLINK("https://www.suredividend.com/sure-analysis-research-database/","Tenable Holdings Inc")</f>
        <v>0</v>
      </c>
      <c r="C2735">
        <v>-0.113716038562664</v>
      </c>
      <c r="D2735">
        <v>-0.134203767123287</v>
      </c>
      <c r="E2735">
        <v>-0.008821367311933</v>
      </c>
      <c r="F2735">
        <v>-0.121797655232305</v>
      </c>
      <c r="G2735">
        <v>0.018122325698464</v>
      </c>
      <c r="H2735">
        <v>-0.220165799113167</v>
      </c>
      <c r="I2735">
        <v>0.549808429118773</v>
      </c>
    </row>
    <row r="2736" spans="1:9">
      <c r="A2736" s="8" t="s">
        <v>2748</v>
      </c>
      <c r="B2736">
        <f>HYPERLINK("https://www.suredividend.com/sure-analysis-research-database/","Tenax Therapeutics Inc")</f>
        <v>0</v>
      </c>
      <c r="C2736">
        <v>-0.022662889518413</v>
      </c>
      <c r="D2736">
        <v>-0.143920595533498</v>
      </c>
      <c r="E2736">
        <v>-0.8552366565961731</v>
      </c>
      <c r="F2736">
        <v>-0.842953386744355</v>
      </c>
      <c r="G2736">
        <v>-0.876680011438375</v>
      </c>
      <c r="H2736">
        <v>-0.9964535361842101</v>
      </c>
      <c r="I2736">
        <v>-0.99830216535433</v>
      </c>
    </row>
    <row r="2737" spans="1:9">
      <c r="A2737" s="8" t="s">
        <v>2749</v>
      </c>
      <c r="B2737">
        <f>HYPERLINK("https://www.suredividend.com/sure-analysis-research-database/","Teradyne, Inc.")</f>
        <v>0</v>
      </c>
      <c r="C2737">
        <v>0.165601438760839</v>
      </c>
      <c r="D2737">
        <v>0.283231740359141</v>
      </c>
      <c r="E2737">
        <v>0.527661073916461</v>
      </c>
      <c r="F2737">
        <v>0.303692902136982</v>
      </c>
      <c r="G2737">
        <v>0.363509241186301</v>
      </c>
      <c r="H2737">
        <v>0.3169565871663561</v>
      </c>
      <c r="I2737">
        <v>2.203350217800533</v>
      </c>
    </row>
    <row r="2738" spans="1:9">
      <c r="A2738" s="8" t="s">
        <v>2750</v>
      </c>
      <c r="B2738">
        <f>HYPERLINK("https://www.suredividend.com/sure-analysis-research-database/","Tessco Technologies, Inc.")</f>
        <v>0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</row>
    <row r="2739" spans="1:9">
      <c r="A2739" s="8" t="s">
        <v>2751</v>
      </c>
      <c r="B2739">
        <f>HYPERLINK("https://www.suredividend.com/sure-analysis-research-database/","Pareteum Corp")</f>
        <v>0</v>
      </c>
      <c r="C2739">
        <v>-0.5</v>
      </c>
      <c r="D2739">
        <v>-0.9333333333333331</v>
      </c>
      <c r="E2739">
        <v>-0.99</v>
      </c>
      <c r="F2739">
        <v>-0.9882352941176471</v>
      </c>
      <c r="G2739">
        <v>-0.9977777777777771</v>
      </c>
      <c r="H2739">
        <v>-0.9996336996336991</v>
      </c>
      <c r="I2739">
        <v>-0.9996336996336991</v>
      </c>
    </row>
    <row r="2740" spans="1:9">
      <c r="A2740" s="8" t="s">
        <v>2752</v>
      </c>
      <c r="B2740">
        <f>HYPERLINK("https://www.suredividend.com/sure-analysis-research-database/","Terex Corp.")</f>
        <v>0</v>
      </c>
      <c r="C2740">
        <v>-0.060537778286252</v>
      </c>
      <c r="D2740">
        <v>-0.03779041628386001</v>
      </c>
      <c r="E2740">
        <v>0.114318979216161</v>
      </c>
      <c r="F2740">
        <v>-0.008051484683971001</v>
      </c>
      <c r="G2740">
        <v>0.0208070970055</v>
      </c>
      <c r="H2740">
        <v>0.5399877692464491</v>
      </c>
      <c r="I2740">
        <v>1.111893846211189</v>
      </c>
    </row>
    <row r="2741" spans="1:9">
      <c r="A2741" s="8" t="s">
        <v>2753</v>
      </c>
      <c r="B2741">
        <f>HYPERLINK("https://www.suredividend.com/sure-analysis-TFSL/","TFS Financial Corporation")</f>
        <v>0</v>
      </c>
      <c r="C2741">
        <v>-0.03480278422273701</v>
      </c>
      <c r="D2741">
        <v>-0.026521060842433</v>
      </c>
      <c r="E2741">
        <v>-0.047611779699173</v>
      </c>
      <c r="F2741">
        <v>-0.131892516050945</v>
      </c>
      <c r="G2741">
        <v>0.06941790418084101</v>
      </c>
      <c r="H2741">
        <v>0.049003950575775</v>
      </c>
      <c r="I2741">
        <v>0.03599415593040201</v>
      </c>
    </row>
    <row r="2742" spans="1:9">
      <c r="A2742" s="8" t="s">
        <v>2754</v>
      </c>
      <c r="B2742">
        <f>HYPERLINK("https://www.suredividend.com/sure-analysis-research-database/","Teleflex Incorporated")</f>
        <v>0</v>
      </c>
      <c r="C2742">
        <v>0.05656607327917101</v>
      </c>
      <c r="D2742">
        <v>-0.069734263555307</v>
      </c>
      <c r="E2742">
        <v>-0.083146931990611</v>
      </c>
      <c r="F2742">
        <v>-0.144775433647174</v>
      </c>
      <c r="G2742">
        <v>-0.109008831530281</v>
      </c>
      <c r="H2742">
        <v>-0.245986154125012</v>
      </c>
      <c r="I2742">
        <v>-0.286957087610321</v>
      </c>
    </row>
    <row r="2743" spans="1:9">
      <c r="A2743" s="8" t="s">
        <v>2755</v>
      </c>
      <c r="B2743">
        <f>HYPERLINK("https://www.suredividend.com/sure-analysis-research-database/","Tredegar Corp.")</f>
        <v>0</v>
      </c>
      <c r="C2743">
        <v>-0.146964856230031</v>
      </c>
      <c r="D2743">
        <v>0.205417607223476</v>
      </c>
      <c r="E2743">
        <v>0.121848739495798</v>
      </c>
      <c r="F2743">
        <v>-0.012939001848428</v>
      </c>
      <c r="G2743">
        <v>-0.2985129525511</v>
      </c>
      <c r="H2743">
        <v>-0.546392803445376</v>
      </c>
      <c r="I2743">
        <v>-0.4607367910809501</v>
      </c>
    </row>
    <row r="2744" spans="1:9">
      <c r="A2744" s="8" t="s">
        <v>2756</v>
      </c>
      <c r="B2744">
        <f>HYPERLINK("https://www.suredividend.com/sure-analysis-research-database/","Tecogen Inc")</f>
        <v>0</v>
      </c>
      <c r="C2744">
        <v>0.127499999999999</v>
      </c>
      <c r="D2744">
        <v>0.06486111111111101</v>
      </c>
      <c r="E2744">
        <v>-0.05345679012345601</v>
      </c>
      <c r="F2744">
        <v>-0.05345679012345601</v>
      </c>
      <c r="G2744">
        <v>-0.24089108910891</v>
      </c>
      <c r="H2744">
        <v>-0.463846153846153</v>
      </c>
      <c r="I2744">
        <v>0.06486111111111101</v>
      </c>
    </row>
    <row r="2745" spans="1:9">
      <c r="A2745" s="8" t="s">
        <v>2757</v>
      </c>
      <c r="B2745">
        <f>HYPERLINK("https://www.suredividend.com/sure-analysis-research-database/","Triumph Group Inc.")</f>
        <v>0</v>
      </c>
      <c r="C2745">
        <v>0.05770584095707201</v>
      </c>
      <c r="D2745">
        <v>0.009402283411685001</v>
      </c>
      <c r="E2745">
        <v>0.324229074889867</v>
      </c>
      <c r="F2745">
        <v>-0.093486127864897</v>
      </c>
      <c r="G2745">
        <v>0.257740585774058</v>
      </c>
      <c r="H2745">
        <v>-0.057680250783699</v>
      </c>
      <c r="I2745">
        <v>-0.243967585676128</v>
      </c>
    </row>
    <row r="2746" spans="1:9">
      <c r="A2746" s="8" t="s">
        <v>2758</v>
      </c>
      <c r="B2746">
        <f>HYPERLINK("https://www.suredividend.com/sure-analysis-research-database/","Tecnoglass Inc")</f>
        <v>0</v>
      </c>
      <c r="C2746">
        <v>-0.117863363653957</v>
      </c>
      <c r="D2746">
        <v>0.014747003401784</v>
      </c>
      <c r="E2746">
        <v>0.189879497942902</v>
      </c>
      <c r="F2746">
        <v>-0.0007935777201950001</v>
      </c>
      <c r="G2746">
        <v>0.068593479657337</v>
      </c>
      <c r="H2746">
        <v>1.146041969763314</v>
      </c>
      <c r="I2746">
        <v>6.367536288106552</v>
      </c>
    </row>
    <row r="2747" spans="1:9">
      <c r="A2747" s="8" t="s">
        <v>2759</v>
      </c>
      <c r="B2747">
        <f>HYPERLINK("https://www.suredividend.com/sure-analysis-research-database/","TEGNA Inc")</f>
        <v>0</v>
      </c>
      <c r="C2747">
        <v>-0.024860546794297</v>
      </c>
      <c r="D2747">
        <v>-0.02018447656677</v>
      </c>
      <c r="E2747">
        <v>-0.05187248488419501</v>
      </c>
      <c r="F2747">
        <v>-0.05869214047823201</v>
      </c>
      <c r="G2747">
        <v>-0.114640322631068</v>
      </c>
      <c r="H2747">
        <v>-0.308917694830548</v>
      </c>
      <c r="I2747">
        <v>0.012216654395207</v>
      </c>
    </row>
    <row r="2748" spans="1:9">
      <c r="A2748" s="8" t="s">
        <v>2760</v>
      </c>
      <c r="B2748">
        <f>HYPERLINK("https://www.suredividend.com/sure-analysis-TGT/","Target Corp")</f>
        <v>0</v>
      </c>
      <c r="C2748">
        <v>-0.083566783187593</v>
      </c>
      <c r="D2748">
        <v>-0.143028034135658</v>
      </c>
      <c r="E2748">
        <v>0.09544968209449901</v>
      </c>
      <c r="F2748">
        <v>0.039838639834081</v>
      </c>
      <c r="G2748">
        <v>0.145430438637094</v>
      </c>
      <c r="H2748">
        <v>-0.0009880638601270002</v>
      </c>
      <c r="I2748">
        <v>0.8968872859180801</v>
      </c>
    </row>
    <row r="2749" spans="1:9">
      <c r="A2749" s="8" t="s">
        <v>2761</v>
      </c>
      <c r="B2749">
        <f>HYPERLINK("https://www.suredividend.com/sure-analysis-research-database/","TG Therapeutics Inc")</f>
        <v>0</v>
      </c>
      <c r="C2749">
        <v>-0.077415599534342</v>
      </c>
      <c r="D2749">
        <v>-0.119444444444444</v>
      </c>
      <c r="E2749">
        <v>-0.011228945726762</v>
      </c>
      <c r="F2749">
        <v>-0.072014051522248</v>
      </c>
      <c r="G2749">
        <v>-0.412962962962963</v>
      </c>
      <c r="H2749">
        <v>2.755924170616114</v>
      </c>
      <c r="I2749">
        <v>1.124664879356568</v>
      </c>
    </row>
    <row r="2750" spans="1:9">
      <c r="A2750" s="8" t="s">
        <v>2762</v>
      </c>
      <c r="B2750">
        <f>HYPERLINK("https://www.suredividend.com/sure-analysis-research-database/","Target Hospitality Corp")</f>
        <v>0</v>
      </c>
      <c r="C2750">
        <v>0.004504504504504001</v>
      </c>
      <c r="D2750">
        <v>0.302570093457943</v>
      </c>
      <c r="E2750">
        <v>0.034322820037105</v>
      </c>
      <c r="F2750">
        <v>0.145940390544706</v>
      </c>
      <c r="G2750">
        <v>-0.232093663911845</v>
      </c>
      <c r="H2750">
        <v>0.611271676300578</v>
      </c>
      <c r="I2750">
        <v>0.119477911646586</v>
      </c>
    </row>
    <row r="2751" spans="1:9">
      <c r="A2751" s="8" t="s">
        <v>2763</v>
      </c>
      <c r="B2751">
        <f>HYPERLINK("https://www.suredividend.com/sure-analysis-research-database/","Tenet Healthcare Corp.")</f>
        <v>0</v>
      </c>
      <c r="C2751">
        <v>0.07785927299105301</v>
      </c>
      <c r="D2751">
        <v>0.362367563162184</v>
      </c>
      <c r="E2751">
        <v>0.939802727008993</v>
      </c>
      <c r="F2751">
        <v>0.7696175731110221</v>
      </c>
      <c r="G2751">
        <v>0.7916666666666661</v>
      </c>
      <c r="H2751">
        <v>0.9700942840306421</v>
      </c>
      <c r="I2751">
        <v>5.371129109099571</v>
      </c>
    </row>
    <row r="2752" spans="1:9">
      <c r="A2752" s="8" t="s">
        <v>2764</v>
      </c>
      <c r="B2752">
        <f>HYPERLINK("https://www.suredividend.com/sure-analysis-THFF/","First Financial Corp. - Indiana")</f>
        <v>0</v>
      </c>
      <c r="C2752">
        <v>-0.039851222104144</v>
      </c>
      <c r="D2752">
        <v>-0.022138524062318</v>
      </c>
      <c r="E2752">
        <v>-0.078597142478354</v>
      </c>
      <c r="F2752">
        <v>-0.150079018663455</v>
      </c>
      <c r="G2752">
        <v>0.04838709677419301</v>
      </c>
      <c r="H2752">
        <v>-0.112202911011484</v>
      </c>
      <c r="I2752">
        <v>0.09789292050453201</v>
      </c>
    </row>
    <row r="2753" spans="1:9">
      <c r="A2753" s="8" t="s">
        <v>2765</v>
      </c>
      <c r="B2753">
        <f>HYPERLINK("https://www.suredividend.com/sure-analysis-THG/","Hanover Insurance Group Inc")</f>
        <v>0</v>
      </c>
      <c r="C2753">
        <v>-0.042776791000592</v>
      </c>
      <c r="D2753">
        <v>-0.00736685139436</v>
      </c>
      <c r="E2753">
        <v>0.033237098116782</v>
      </c>
      <c r="F2753">
        <v>0.072177596511733</v>
      </c>
      <c r="G2753">
        <v>0.147305552820496</v>
      </c>
      <c r="H2753">
        <v>-0.081867413817703</v>
      </c>
      <c r="I2753">
        <v>0.170476552460589</v>
      </c>
    </row>
    <row r="2754" spans="1:9">
      <c r="A2754" s="8" t="s">
        <v>2766</v>
      </c>
      <c r="B2754">
        <f>HYPERLINK("https://www.suredividend.com/sure-analysis-THO/","Thor Industries, Inc.")</f>
        <v>0</v>
      </c>
      <c r="C2754">
        <v>-0.03985400019729701</v>
      </c>
      <c r="D2754">
        <v>-0.08201415507198201</v>
      </c>
      <c r="E2754">
        <v>-0.08361398616146901</v>
      </c>
      <c r="F2754">
        <v>-0.173385264634766</v>
      </c>
      <c r="G2754">
        <v>0.054506490312473</v>
      </c>
      <c r="H2754">
        <v>0.330964864059162</v>
      </c>
      <c r="I2754">
        <v>0.9518230785582211</v>
      </c>
    </row>
    <row r="2755" spans="1:9">
      <c r="A2755" s="8" t="s">
        <v>2767</v>
      </c>
      <c r="B2755">
        <f>HYPERLINK("https://www.suredividend.com/sure-analysis-research-database/","Thermon Group Holdings Inc")</f>
        <v>0</v>
      </c>
      <c r="C2755">
        <v>-0.09946236559139701</v>
      </c>
      <c r="D2755">
        <v>0.108863552776756</v>
      </c>
      <c r="E2755">
        <v>-0.0185546875</v>
      </c>
      <c r="F2755">
        <v>-0.07430150445194901</v>
      </c>
      <c r="G2755">
        <v>0.190288195815238</v>
      </c>
      <c r="H2755">
        <v>0.878504672897196</v>
      </c>
      <c r="I2755">
        <v>0.264681208053691</v>
      </c>
    </row>
    <row r="2756" spans="1:9">
      <c r="A2756" s="8" t="s">
        <v>2768</v>
      </c>
      <c r="B2756">
        <f>HYPERLINK("https://www.suredividend.com/sure-analysis-research-database/","Gentherm Inc")</f>
        <v>0</v>
      </c>
      <c r="C2756">
        <v>0.058476077968103</v>
      </c>
      <c r="D2756">
        <v>-0.037766243064256</v>
      </c>
      <c r="E2756">
        <v>0.167426710097719</v>
      </c>
      <c r="F2756">
        <v>0.026737967914438</v>
      </c>
      <c r="G2756">
        <v>-0.099044746103569</v>
      </c>
      <c r="H2756">
        <v>-0.261437010578376</v>
      </c>
      <c r="I2756">
        <v>0.352452830188679</v>
      </c>
    </row>
    <row r="2757" spans="1:9">
      <c r="A2757" s="8" t="s">
        <v>2769</v>
      </c>
      <c r="B2757">
        <f>HYPERLINK("https://www.suredividend.com/sure-analysis-research-database/","Treehouse Foods Inc")</f>
        <v>0</v>
      </c>
      <c r="C2757">
        <v>0.020557589411433</v>
      </c>
      <c r="D2757">
        <v>0.011160714285714</v>
      </c>
      <c r="E2757">
        <v>-0.13632030505243</v>
      </c>
      <c r="F2757">
        <v>-0.125693606755126</v>
      </c>
      <c r="G2757">
        <v>-0.254474387986011</v>
      </c>
      <c r="H2757">
        <v>-0.07195902688860401</v>
      </c>
      <c r="I2757">
        <v>-0.335655362053162</v>
      </c>
    </row>
    <row r="2758" spans="1:9">
      <c r="A2758" s="8" t="s">
        <v>2770</v>
      </c>
      <c r="B2758">
        <f>HYPERLINK("https://www.suredividend.com/sure-analysis-research-database/","Tiffany &amp; Co.")</f>
        <v>0</v>
      </c>
      <c r="C2758">
        <v>0.001523693432881</v>
      </c>
      <c r="D2758">
        <v>0.128559262667747</v>
      </c>
      <c r="E2758">
        <v>0.079729648705942</v>
      </c>
      <c r="F2758">
        <v>7.607455306200001E-05</v>
      </c>
      <c r="G2758">
        <v>0.002980865847303</v>
      </c>
      <c r="H2758">
        <v>0.6643287232803451</v>
      </c>
      <c r="I2758">
        <v>1.009173176177863</v>
      </c>
    </row>
    <row r="2759" spans="1:9">
      <c r="A2759" s="8" t="s">
        <v>2771</v>
      </c>
      <c r="B2759">
        <f>HYPERLINK("https://www.suredividend.com/sure-analysis-research-database/","Interface Inc.")</f>
        <v>0</v>
      </c>
      <c r="C2759">
        <v>-0.08225108225108201</v>
      </c>
      <c r="D2759">
        <v>-0.02638726692997</v>
      </c>
      <c r="E2759">
        <v>0.342998579172662</v>
      </c>
      <c r="F2759">
        <v>0.178058267841549</v>
      </c>
      <c r="G2759">
        <v>0.8404147133963341</v>
      </c>
      <c r="H2759">
        <v>0.003686043759088</v>
      </c>
      <c r="I2759">
        <v>0.03029798106029</v>
      </c>
    </row>
    <row r="2760" spans="1:9">
      <c r="A2760" s="8" t="s">
        <v>2772</v>
      </c>
      <c r="B2760">
        <f>HYPERLINK("https://www.suredividend.com/sure-analysis-research-database/","Tiptree Inc")</f>
        <v>0</v>
      </c>
      <c r="C2760">
        <v>0.09770097111476501</v>
      </c>
      <c r="D2760">
        <v>0.070007137413353</v>
      </c>
      <c r="E2760">
        <v>-0.042323974923938</v>
      </c>
      <c r="F2760">
        <v>-0.056970898836273</v>
      </c>
      <c r="G2760">
        <v>0.264239669539613</v>
      </c>
      <c r="H2760">
        <v>0.6698288637801</v>
      </c>
      <c r="I2760">
        <v>2.123951471912692</v>
      </c>
    </row>
    <row r="2761" spans="1:9">
      <c r="A2761" s="8" t="s">
        <v>2773</v>
      </c>
      <c r="B2761">
        <f>HYPERLINK("https://www.suredividend.com/sure-analysis-research-database/","Team, Inc.")</f>
        <v>0</v>
      </c>
      <c r="C2761">
        <v>0.198529411764706</v>
      </c>
      <c r="D2761">
        <v>0.2253980664271</v>
      </c>
      <c r="E2761">
        <v>0.149506346967559</v>
      </c>
      <c r="F2761">
        <v>0.234848484848484</v>
      </c>
      <c r="G2761">
        <v>0.069553805774278</v>
      </c>
      <c r="H2761">
        <v>-0.4300699300699301</v>
      </c>
      <c r="I2761">
        <v>-0.9444822888283371</v>
      </c>
    </row>
    <row r="2762" spans="1:9">
      <c r="A2762" s="8" t="s">
        <v>2774</v>
      </c>
      <c r="B2762">
        <f>HYPERLINK("https://www.suredividend.com/sure-analysis-research-database/","Titan Machinery Inc")</f>
        <v>0</v>
      </c>
      <c r="C2762">
        <v>-0.254070265638388</v>
      </c>
      <c r="D2762">
        <v>-0.321776392676275</v>
      </c>
      <c r="E2762">
        <v>-0.331669865642994</v>
      </c>
      <c r="F2762">
        <v>-0.3971606648199441</v>
      </c>
      <c r="G2762">
        <v>-0.412221471978393</v>
      </c>
      <c r="H2762">
        <v>-0.362971094035858</v>
      </c>
      <c r="I2762">
        <v>0.07204433497536901</v>
      </c>
    </row>
    <row r="2763" spans="1:9">
      <c r="A2763" s="8" t="s">
        <v>2775</v>
      </c>
      <c r="B2763">
        <f>HYPERLINK("https://www.suredividend.com/sure-analysis-TJX/","TJX Companies, Inc.")</f>
        <v>0</v>
      </c>
      <c r="C2763">
        <v>0.101392938127631</v>
      </c>
      <c r="D2763">
        <v>0.126236144800591</v>
      </c>
      <c r="E2763">
        <v>0.21741041937432</v>
      </c>
      <c r="F2763">
        <v>0.15356204153854</v>
      </c>
      <c r="G2763">
        <v>0.395881214977919</v>
      </c>
      <c r="H2763">
        <v>0.816193262977819</v>
      </c>
      <c r="I2763">
        <v>1.213108506996298</v>
      </c>
    </row>
    <row r="2764" spans="1:9">
      <c r="A2764" s="8" t="s">
        <v>2776</v>
      </c>
      <c r="B2764">
        <f>HYPERLINK("https://www.suredividend.com/sure-analysis-TKR/","Timken Co.")</f>
        <v>0</v>
      </c>
      <c r="C2764">
        <v>-0.06809372365527601</v>
      </c>
      <c r="D2764">
        <v>-0.023050719063662</v>
      </c>
      <c r="E2764">
        <v>0.139676902893582</v>
      </c>
      <c r="F2764">
        <v>0.05080636846248</v>
      </c>
      <c r="G2764">
        <v>0.016920278171563</v>
      </c>
      <c r="H2764">
        <v>0.341012153674825</v>
      </c>
      <c r="I2764">
        <v>0.929296823597583</v>
      </c>
    </row>
    <row r="2765" spans="1:9">
      <c r="A2765" s="8" t="s">
        <v>2777</v>
      </c>
      <c r="B2765">
        <f>HYPERLINK("https://www.suredividend.com/sure-analysis-research-database/","Tandy Leather Factory Inc")</f>
        <v>0</v>
      </c>
      <c r="C2765">
        <v>-0.055084745762711</v>
      </c>
      <c r="D2765">
        <v>-0.002237136465324</v>
      </c>
      <c r="E2765">
        <v>0.101234567901234</v>
      </c>
      <c r="F2765">
        <v>0.04694835680751101</v>
      </c>
      <c r="G2765">
        <v>0.03480278422273701</v>
      </c>
      <c r="H2765">
        <v>0.486666666666666</v>
      </c>
      <c r="I2765">
        <v>-0.125490196078431</v>
      </c>
    </row>
    <row r="2766" spans="1:9">
      <c r="A2766" s="8" t="s">
        <v>2778</v>
      </c>
      <c r="B2766">
        <f>HYPERLINK("https://www.suredividend.com/sure-analysis-research-database/","Teligent Inc")</f>
        <v>0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</row>
    <row r="2767" spans="1:9">
      <c r="A2767" s="8" t="s">
        <v>2779</v>
      </c>
      <c r="B2767">
        <f>HYPERLINK("https://www.suredividend.com/sure-analysis-research-database/","Tillys Inc")</f>
        <v>0</v>
      </c>
      <c r="C2767">
        <v>-0.044217687074829</v>
      </c>
      <c r="D2767">
        <v>-0.241565452091767</v>
      </c>
      <c r="E2767">
        <v>-0.275773195876288</v>
      </c>
      <c r="F2767">
        <v>-0.254641909814323</v>
      </c>
      <c r="G2767">
        <v>-0.11216429699842</v>
      </c>
      <c r="H2767">
        <v>-0.27012987012987</v>
      </c>
      <c r="I2767">
        <v>-0.114890936294196</v>
      </c>
    </row>
    <row r="2768" spans="1:9">
      <c r="A2768" s="8" t="s">
        <v>2780</v>
      </c>
      <c r="B2768">
        <f>HYPERLINK("https://www.suredividend.com/sure-analysis-research-database/","Transmedics Group Inc")</f>
        <v>0</v>
      </c>
      <c r="C2768">
        <v>0.077781269641734</v>
      </c>
      <c r="D2768">
        <v>0.581325648414985</v>
      </c>
      <c r="E2768">
        <v>0.8263879643189981</v>
      </c>
      <c r="F2768">
        <v>0.7379956923856581</v>
      </c>
      <c r="G2768">
        <v>0.7290143685404581</v>
      </c>
      <c r="H2768">
        <v>3.885327635327636</v>
      </c>
      <c r="I2768">
        <v>4.176603773584905</v>
      </c>
    </row>
    <row r="2769" spans="1:9">
      <c r="A2769" s="8" t="s">
        <v>2781</v>
      </c>
      <c r="B2769">
        <f>HYPERLINK("https://www.suredividend.com/sure-analysis-research-database/","Taylor Morrison Home Corp.")</f>
        <v>0</v>
      </c>
      <c r="C2769">
        <v>-0.05930193154862701</v>
      </c>
      <c r="D2769">
        <v>-0.049640534063676</v>
      </c>
      <c r="E2769">
        <v>0.174529299767294</v>
      </c>
      <c r="F2769">
        <v>0.040674789128397</v>
      </c>
      <c r="G2769">
        <v>0.184805804524114</v>
      </c>
      <c r="H2769">
        <v>0.9508081517919881</v>
      </c>
      <c r="I2769">
        <v>1.695145631067961</v>
      </c>
    </row>
    <row r="2770" spans="1:9">
      <c r="A2770" s="8" t="s">
        <v>2782</v>
      </c>
      <c r="B2770">
        <f>HYPERLINK("https://www.suredividend.com/sure-analysis-TMO/","Thermo Fisher Scientific Inc.")</f>
        <v>0</v>
      </c>
      <c r="C2770">
        <v>0.014348805139036</v>
      </c>
      <c r="D2770">
        <v>-0.02708520191385</v>
      </c>
      <c r="E2770">
        <v>0.177625977850685</v>
      </c>
      <c r="F2770">
        <v>0.09548449394287101</v>
      </c>
      <c r="G2770">
        <v>0.118805477947639</v>
      </c>
      <c r="H2770">
        <v>0.041611024094593</v>
      </c>
      <c r="I2770">
        <v>1.087450260100563</v>
      </c>
    </row>
    <row r="2771" spans="1:9">
      <c r="A2771" s="8" t="s">
        <v>2783</v>
      </c>
      <c r="B2771">
        <f>HYPERLINK("https://www.suredividend.com/sure-analysis-TMP/","Tompkins Financial Corp")</f>
        <v>0</v>
      </c>
      <c r="C2771">
        <v>-0.016315466110559</v>
      </c>
      <c r="D2771">
        <v>-0.07580011461982</v>
      </c>
      <c r="E2771">
        <v>-0.180082634161204</v>
      </c>
      <c r="F2771">
        <v>-0.219695738983246</v>
      </c>
      <c r="G2771">
        <v>-0.194802900656306</v>
      </c>
      <c r="H2771">
        <v>-0.317155195475216</v>
      </c>
      <c r="I2771">
        <v>-0.298215295670206</v>
      </c>
    </row>
    <row r="2772" spans="1:9">
      <c r="A2772" s="8" t="s">
        <v>2784</v>
      </c>
      <c r="B2772">
        <f>HYPERLINK("https://www.suredividend.com/sure-analysis-research-database/","T-Mobile US Inc")</f>
        <v>0</v>
      </c>
      <c r="C2772">
        <v>0.117189320162154</v>
      </c>
      <c r="D2772">
        <v>0.102238066749703</v>
      </c>
      <c r="E2772">
        <v>0.168093166830363</v>
      </c>
      <c r="F2772">
        <v>0.139169778235028</v>
      </c>
      <c r="G2772">
        <v>0.455876780781325</v>
      </c>
      <c r="H2772">
        <v>0.329398318254201</v>
      </c>
      <c r="I2772">
        <v>1.423169282266475</v>
      </c>
    </row>
    <row r="2773" spans="1:9">
      <c r="A2773" s="8" t="s">
        <v>2785</v>
      </c>
      <c r="B2773">
        <f>HYPERLINK("https://www.suredividend.com/sure-analysis-research-database/","Telenav Inc")</f>
        <v>0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</row>
    <row r="2774" spans="1:9">
      <c r="A2774" s="8" t="s">
        <v>2786</v>
      </c>
      <c r="B2774">
        <f>HYPERLINK("https://www.suredividend.com/sure-analysis-TNC/","Tennant Co.")</f>
        <v>0</v>
      </c>
      <c r="C2774">
        <v>-0.07351690176565201</v>
      </c>
      <c r="D2774">
        <v>-0.09891460167929501</v>
      </c>
      <c r="E2774">
        <v>0.144516609363764</v>
      </c>
      <c r="F2774">
        <v>0.07363975807317401</v>
      </c>
      <c r="G2774">
        <v>0.236251386100039</v>
      </c>
      <c r="H2774">
        <v>0.6116061690330681</v>
      </c>
      <c r="I2774">
        <v>0.776055542100589</v>
      </c>
    </row>
    <row r="2775" spans="1:9">
      <c r="A2775" s="8" t="s">
        <v>2787</v>
      </c>
      <c r="B2775">
        <f>HYPERLINK("https://www.suredividend.com/sure-analysis-research-database/","Tandem Diabetes Care Inc")</f>
        <v>0</v>
      </c>
      <c r="C2775">
        <v>0.110227272727272</v>
      </c>
      <c r="D2775">
        <v>0.6464442197505891</v>
      </c>
      <c r="E2775">
        <v>1.034568929612661</v>
      </c>
      <c r="F2775">
        <v>0.6514536849222451</v>
      </c>
      <c r="G2775">
        <v>0.9689641273679971</v>
      </c>
      <c r="H2775">
        <v>-0.245676343421865</v>
      </c>
      <c r="I2775">
        <v>-0.318688981868898</v>
      </c>
    </row>
    <row r="2776" spans="1:9">
      <c r="A2776" s="8" t="s">
        <v>2788</v>
      </c>
      <c r="B2776">
        <f>HYPERLINK("https://www.suredividend.com/sure-analysis-research-database/","TriNet Group Inc")</f>
        <v>0</v>
      </c>
      <c r="C2776">
        <v>0.007618322064565</v>
      </c>
      <c r="D2776">
        <v>-0.154014732184618</v>
      </c>
      <c r="E2776">
        <v>-0.075034049167172</v>
      </c>
      <c r="F2776">
        <v>-0.108632140799223</v>
      </c>
      <c r="G2776">
        <v>0.08539329991978201</v>
      </c>
      <c r="H2776">
        <v>0.318044794339669</v>
      </c>
      <c r="I2776">
        <v>0.629676405809601</v>
      </c>
    </row>
    <row r="2777" spans="1:9">
      <c r="A2777" s="8" t="s">
        <v>2789</v>
      </c>
      <c r="B2777">
        <f>HYPERLINK("https://www.suredividend.com/sure-analysis-research-database/","Tonix Pharmaceuticals Holding Corp")</f>
        <v>0</v>
      </c>
      <c r="C2777">
        <v>-0.46340206185567</v>
      </c>
      <c r="D2777">
        <v>-0.721061093247588</v>
      </c>
      <c r="E2777">
        <v>-0.7260526315789471</v>
      </c>
      <c r="F2777">
        <v>-0.741687344913151</v>
      </c>
      <c r="G2777">
        <v>-0.9454973821989521</v>
      </c>
      <c r="H2777">
        <v>-0.9925309417040361</v>
      </c>
      <c r="I2777">
        <v>-0.9999672641509431</v>
      </c>
    </row>
    <row r="2778" spans="1:9">
      <c r="A2778" s="8" t="s">
        <v>2790</v>
      </c>
      <c r="B2778">
        <f>HYPERLINK("https://www.suredividend.com/sure-analysis-research-database/","Toll Brothers Inc.")</f>
        <v>0</v>
      </c>
      <c r="C2778">
        <v>-0.07372834427656001</v>
      </c>
      <c r="D2778">
        <v>-0.023604765482522</v>
      </c>
      <c r="E2778">
        <v>0.289419579487778</v>
      </c>
      <c r="F2778">
        <v>0.143529618579304</v>
      </c>
      <c r="G2778">
        <v>0.5987034513644071</v>
      </c>
      <c r="H2778">
        <v>1.374949545759713</v>
      </c>
      <c r="I2778">
        <v>2.345543275769455</v>
      </c>
    </row>
    <row r="2779" spans="1:9">
      <c r="A2779" s="8" t="s">
        <v>2791</v>
      </c>
      <c r="B2779">
        <f>HYPERLINK("https://www.suredividend.com/sure-analysis-research-database/","Townebank Portsmouth VA")</f>
        <v>0</v>
      </c>
      <c r="C2779">
        <v>-0.023976392475101</v>
      </c>
      <c r="D2779">
        <v>-0.019836639439906</v>
      </c>
      <c r="E2779">
        <v>-0.032236827667932</v>
      </c>
      <c r="F2779">
        <v>-0.094272970928421</v>
      </c>
      <c r="G2779">
        <v>0.10393050995248</v>
      </c>
      <c r="H2779">
        <v>0.004757980914914001</v>
      </c>
      <c r="I2779">
        <v>0.23598077363241</v>
      </c>
    </row>
    <row r="2780" spans="1:9">
      <c r="A2780" s="8" t="s">
        <v>2792</v>
      </c>
      <c r="B2780">
        <f>HYPERLINK("https://www.suredividend.com/sure-analysis-research-database/","Turning Point Brands Inc")</f>
        <v>0</v>
      </c>
      <c r="C2780">
        <v>-0.04</v>
      </c>
      <c r="D2780">
        <v>0.157708555641636</v>
      </c>
      <c r="E2780">
        <v>0.312382712009047</v>
      </c>
      <c r="F2780">
        <v>0.206530805001313</v>
      </c>
      <c r="G2780">
        <v>0.366383009924391</v>
      </c>
      <c r="H2780">
        <v>0.107626469755294</v>
      </c>
      <c r="I2780">
        <v>-0.376398821299287</v>
      </c>
    </row>
    <row r="2781" spans="1:9">
      <c r="A2781" s="8" t="s">
        <v>2793</v>
      </c>
      <c r="B2781">
        <f>HYPERLINK("https://www.suredividend.com/sure-analysis-research-database/","Tutor Perini Corp")</f>
        <v>0</v>
      </c>
      <c r="C2781">
        <v>0.082833787465939</v>
      </c>
      <c r="D2781">
        <v>0.708512467755803</v>
      </c>
      <c r="E2781">
        <v>1.326697892271663</v>
      </c>
      <c r="F2781">
        <v>1.183516483516483</v>
      </c>
      <c r="G2781">
        <v>1.858992805755396</v>
      </c>
      <c r="H2781">
        <v>0.9423264907135871</v>
      </c>
      <c r="I2781">
        <v>0.343475321162948</v>
      </c>
    </row>
    <row r="2782" spans="1:9">
      <c r="A2782" s="8" t="s">
        <v>2794</v>
      </c>
      <c r="B2782">
        <f>HYPERLINK("https://www.suredividend.com/sure-analysis-research-database/","Tribune Publishing Co")</f>
        <v>0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</row>
    <row r="2783" spans="1:9">
      <c r="A2783" s="8" t="s">
        <v>2795</v>
      </c>
      <c r="B2783">
        <f>HYPERLINK("https://www.suredividend.com/sure-analysis-research-database/","Tri Pointe Homes Inc.")</f>
        <v>0</v>
      </c>
      <c r="C2783">
        <v>-0.05756122191365801</v>
      </c>
      <c r="D2783">
        <v>0.07239299051996501</v>
      </c>
      <c r="E2783">
        <v>0.206528765352294</v>
      </c>
      <c r="F2783">
        <v>0.054519774011299</v>
      </c>
      <c r="G2783">
        <v>0.156085475379374</v>
      </c>
      <c r="H2783">
        <v>0.774239543726235</v>
      </c>
      <c r="I2783">
        <v>1.953322784810126</v>
      </c>
    </row>
    <row r="2784" spans="1:9">
      <c r="A2784" s="8" t="s">
        <v>2796</v>
      </c>
      <c r="B2784">
        <f>HYPERLINK("https://www.suredividend.com/sure-analysis-research-database/","Trinity Place Holdings Inc")</f>
        <v>0</v>
      </c>
      <c r="C2784">
        <v>0.310447761194029</v>
      </c>
      <c r="D2784">
        <v>0.283625730994152</v>
      </c>
      <c r="E2784">
        <v>0.170666666666666</v>
      </c>
      <c r="F2784">
        <v>0.581981981981982</v>
      </c>
      <c r="G2784">
        <v>-0.662307692307692</v>
      </c>
      <c r="H2784">
        <v>-0.8524369747899161</v>
      </c>
      <c r="I2784">
        <v>-0.9559899749373431</v>
      </c>
    </row>
    <row r="2785" spans="1:9">
      <c r="A2785" s="8" t="s">
        <v>2797</v>
      </c>
      <c r="B2785">
        <f>HYPERLINK("https://www.suredividend.com/sure-analysis-research-database/","TPI Composites Inc")</f>
        <v>0</v>
      </c>
      <c r="C2785">
        <v>0.181141439205955</v>
      </c>
      <c r="D2785">
        <v>0.5709570957095711</v>
      </c>
      <c r="E2785">
        <v>1.025531914893616</v>
      </c>
      <c r="F2785">
        <v>0.14975845410628</v>
      </c>
      <c r="G2785">
        <v>-0.587163920208152</v>
      </c>
      <c r="H2785">
        <v>-0.688073394495412</v>
      </c>
      <c r="I2785">
        <v>-0.7854889589905361</v>
      </c>
    </row>
    <row r="2786" spans="1:9">
      <c r="A2786" s="8" t="s">
        <v>2798</v>
      </c>
      <c r="B2786">
        <f>HYPERLINK("https://www.suredividend.com/sure-analysis-TPR/","Tapestry Inc")</f>
        <v>0</v>
      </c>
      <c r="C2786">
        <v>0.121608414390096</v>
      </c>
      <c r="D2786">
        <v>-0.06815486930968601</v>
      </c>
      <c r="E2786">
        <v>0.329500318736821</v>
      </c>
      <c r="F2786">
        <v>0.196947205191738</v>
      </c>
      <c r="G2786">
        <v>0.04703448841817601</v>
      </c>
      <c r="H2786">
        <v>0.330866720048596</v>
      </c>
      <c r="I2786">
        <v>0.6448890135974461</v>
      </c>
    </row>
    <row r="2787" spans="1:9">
      <c r="A2787" s="8" t="s">
        <v>2799</v>
      </c>
      <c r="B2787">
        <f>HYPERLINK("https://www.suredividend.com/sure-analysis-research-database/","Turning Point Therapeutics Inc")</f>
        <v>0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</row>
    <row r="2788" spans="1:9">
      <c r="A2788" s="8" t="s">
        <v>2800</v>
      </c>
      <c r="B2788">
        <f>HYPERLINK("https://www.suredividend.com/sure-analysis-research-database/","Tempur Sealy International Inc")</f>
        <v>0</v>
      </c>
      <c r="C2788">
        <v>-0.055890002714508</v>
      </c>
      <c r="D2788">
        <v>-0.111676276286067</v>
      </c>
      <c r="E2788">
        <v>0.077778510362409</v>
      </c>
      <c r="F2788">
        <v>-0.033023890461955</v>
      </c>
      <c r="G2788">
        <v>0.286480672621624</v>
      </c>
      <c r="H2788">
        <v>1.025885395365745</v>
      </c>
      <c r="I2788">
        <v>2.039920654599553</v>
      </c>
    </row>
    <row r="2789" spans="1:9">
      <c r="A2789" s="8" t="s">
        <v>2801</v>
      </c>
      <c r="B2789">
        <f>HYPERLINK("https://www.suredividend.com/sure-analysis-TR/","Tootsie Roll Industries, Inc.")</f>
        <v>0</v>
      </c>
      <c r="C2789">
        <v>-0.023058663953882</v>
      </c>
      <c r="D2789">
        <v>-0.08655675332910501</v>
      </c>
      <c r="E2789">
        <v>-0.158945075989794</v>
      </c>
      <c r="F2789">
        <v>-0.130925303618077</v>
      </c>
      <c r="G2789">
        <v>-0.251628053167917</v>
      </c>
      <c r="H2789">
        <v>-0.060997669605462</v>
      </c>
      <c r="I2789">
        <v>-0.149017870329345</v>
      </c>
    </row>
    <row r="2790" spans="1:9">
      <c r="A2790" s="8" t="s">
        <v>2802</v>
      </c>
      <c r="B2790">
        <f>HYPERLINK("https://www.suredividend.com/sure-analysis-research-database/","Tejon Ranch Co.")</f>
        <v>0</v>
      </c>
      <c r="C2790">
        <v>0.061751732829237</v>
      </c>
      <c r="D2790">
        <v>0.021212121212121</v>
      </c>
      <c r="E2790">
        <v>0.034376918354819</v>
      </c>
      <c r="F2790">
        <v>-0.020348837209302</v>
      </c>
      <c r="G2790">
        <v>-0.060234244283323</v>
      </c>
      <c r="H2790">
        <v>-0.007656065959952001</v>
      </c>
      <c r="I2790">
        <v>-0.001185536455245</v>
      </c>
    </row>
    <row r="2791" spans="1:9">
      <c r="A2791" s="8" t="s">
        <v>2803</v>
      </c>
      <c r="B2791">
        <f>HYPERLINK("https://www.suredividend.com/sure-analysis-research-database/","Torchlight Energy Resources Inc")</f>
        <v>0</v>
      </c>
      <c r="C2791">
        <v>1.07112970711297</v>
      </c>
      <c r="D2791">
        <v>1.675675675675675</v>
      </c>
      <c r="E2791">
        <v>6.969731122202544</v>
      </c>
      <c r="F2791">
        <v>0</v>
      </c>
      <c r="G2791">
        <v>13.14285714285714</v>
      </c>
      <c r="H2791">
        <v>2.561151079136691</v>
      </c>
      <c r="I2791">
        <v>7.30536912751678</v>
      </c>
    </row>
    <row r="2792" spans="1:9">
      <c r="A2792" s="8" t="s">
        <v>2804</v>
      </c>
      <c r="B2792">
        <f>HYPERLINK("https://www.suredividend.com/sure-analysis-research-database/","Trecora Resources")</f>
        <v>0</v>
      </c>
      <c r="C2792">
        <v>0.009259259259259</v>
      </c>
      <c r="D2792">
        <v>0.152761457109283</v>
      </c>
      <c r="E2792">
        <v>0.209617755856966</v>
      </c>
      <c r="F2792">
        <v>0.214108910891089</v>
      </c>
      <c r="G2792">
        <v>0.166468489892984</v>
      </c>
      <c r="H2792">
        <v>0.8579545454545451</v>
      </c>
      <c r="I2792">
        <v>-0.161538461538461</v>
      </c>
    </row>
    <row r="2793" spans="1:9">
      <c r="A2793" s="8" t="s">
        <v>2805</v>
      </c>
      <c r="B2793">
        <f>HYPERLINK("https://www.suredividend.com/sure-analysis-research-database/","LendingTree Inc.")</f>
        <v>0</v>
      </c>
      <c r="C2793">
        <v>-0.125485387287962</v>
      </c>
      <c r="D2793">
        <v>0.06389855793137701</v>
      </c>
      <c r="E2793">
        <v>0.878402107111501</v>
      </c>
      <c r="F2793">
        <v>0.411279683377308</v>
      </c>
      <c r="G2793">
        <v>0.8817062445030781</v>
      </c>
      <c r="H2793">
        <v>-0.311171925305859</v>
      </c>
      <c r="I2793">
        <v>-0.892786449850918</v>
      </c>
    </row>
    <row r="2794" spans="1:9">
      <c r="A2794" s="8" t="s">
        <v>2806</v>
      </c>
      <c r="B2794">
        <f>HYPERLINK("https://www.suredividend.com/sure-analysis-research-database/","TREX Co., Inc.")</f>
        <v>0</v>
      </c>
      <c r="C2794">
        <v>-0.133823370446438</v>
      </c>
      <c r="D2794">
        <v>-0.162958320275775</v>
      </c>
      <c r="E2794">
        <v>0.099478594950603</v>
      </c>
      <c r="F2794">
        <v>-0.032129484237226</v>
      </c>
      <c r="G2794">
        <v>0.376567600068716</v>
      </c>
      <c r="H2794">
        <v>0.212437585111211</v>
      </c>
      <c r="I2794">
        <v>1.318911879612212</v>
      </c>
    </row>
    <row r="2795" spans="1:9">
      <c r="A2795" s="8" t="s">
        <v>2807</v>
      </c>
      <c r="B2795">
        <f>HYPERLINK("https://www.suredividend.com/sure-analysis-TRGP/","Targa Resources Corp")</f>
        <v>0</v>
      </c>
      <c r="C2795">
        <v>0.045909775768855</v>
      </c>
      <c r="D2795">
        <v>0.134081250997042</v>
      </c>
      <c r="E2795">
        <v>0.41009157649218</v>
      </c>
      <c r="F2795">
        <v>0.375193151652306</v>
      </c>
      <c r="G2795">
        <v>0.661520613077311</v>
      </c>
      <c r="H2795">
        <v>0.5376356555310451</v>
      </c>
      <c r="I2795">
        <v>2.586352350533197</v>
      </c>
    </row>
    <row r="2796" spans="1:9">
      <c r="A2796" s="8" t="s">
        <v>2808</v>
      </c>
      <c r="B2796">
        <f>HYPERLINK("https://www.suredividend.com/sure-analysis-research-database/","Tabula Rasa HealthCare Inc")</f>
        <v>0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</row>
    <row r="2797" spans="1:9">
      <c r="A2797" s="8" t="s">
        <v>2809</v>
      </c>
      <c r="B2797">
        <f>HYPERLINK("https://www.suredividend.com/sure-analysis-research-database/","TripAdvisor Inc.")</f>
        <v>0</v>
      </c>
      <c r="C2797">
        <v>-0.270800627943485</v>
      </c>
      <c r="D2797">
        <v>-0.294072948328267</v>
      </c>
      <c r="E2797">
        <v>0.04089635854341701</v>
      </c>
      <c r="F2797">
        <v>-0.137018114259173</v>
      </c>
      <c r="G2797">
        <v>0.123337363966142</v>
      </c>
      <c r="H2797">
        <v>-0.245635403978887</v>
      </c>
      <c r="I2797">
        <v>-0.538471092343041</v>
      </c>
    </row>
    <row r="2798" spans="1:9">
      <c r="A2798" s="8" t="s">
        <v>2810</v>
      </c>
      <c r="B2798">
        <f>HYPERLINK("https://www.suredividend.com/sure-analysis-research-database/","Trimble Inc")</f>
        <v>0</v>
      </c>
      <c r="C2798">
        <v>-0.035263157894736</v>
      </c>
      <c r="D2798">
        <v>-0.120159999999999</v>
      </c>
      <c r="E2798">
        <v>0.176256684491978</v>
      </c>
      <c r="F2798">
        <v>0.033646616541353</v>
      </c>
      <c r="G2798">
        <v>0.074653117060777</v>
      </c>
      <c r="H2798">
        <v>-0.200378071833648</v>
      </c>
      <c r="I2798">
        <v>0.293577981651376</v>
      </c>
    </row>
    <row r="2799" spans="1:9">
      <c r="A2799" s="8" t="s">
        <v>2811</v>
      </c>
      <c r="B2799">
        <f>HYPERLINK("https://www.suredividend.com/sure-analysis-research-database/","Trustmark Corp.")</f>
        <v>0</v>
      </c>
      <c r="C2799">
        <v>-0.053057466970417</v>
      </c>
      <c r="D2799">
        <v>0.063172440652957</v>
      </c>
      <c r="E2799">
        <v>0.147812727419746</v>
      </c>
      <c r="F2799">
        <v>0.052709642731334</v>
      </c>
      <c r="G2799">
        <v>0.296364790385256</v>
      </c>
      <c r="H2799">
        <v>0.06308087502902</v>
      </c>
      <c r="I2799">
        <v>0.08716047775322701</v>
      </c>
    </row>
    <row r="2800" spans="1:9">
      <c r="A2800" s="8" t="s">
        <v>2812</v>
      </c>
      <c r="B2800">
        <f>HYPERLINK("https://www.suredividend.com/sure-analysis-TRN/","Trinity Industries, Inc.")</f>
        <v>0</v>
      </c>
      <c r="C2800">
        <v>-0.041871115472685</v>
      </c>
      <c r="D2800">
        <v>0.143318864566093</v>
      </c>
      <c r="E2800">
        <v>0.135887690995113</v>
      </c>
      <c r="F2800">
        <v>0.125209848371346</v>
      </c>
      <c r="G2800">
        <v>0.297280538577376</v>
      </c>
      <c r="H2800">
        <v>0.185513182712311</v>
      </c>
      <c r="I2800">
        <v>0.7502449984463511</v>
      </c>
    </row>
    <row r="2801" spans="1:9">
      <c r="A2801" s="8" t="s">
        <v>2813</v>
      </c>
      <c r="B2801">
        <f>HYPERLINK("https://www.suredividend.com/sure-analysis-TRNO/","Terreno Realty Corp")</f>
        <v>0</v>
      </c>
      <c r="C2801">
        <v>0.017304189435336</v>
      </c>
      <c r="D2801">
        <v>-0.119086562954948</v>
      </c>
      <c r="E2801">
        <v>-0.038446639383917</v>
      </c>
      <c r="F2801">
        <v>-0.10250126549732</v>
      </c>
      <c r="G2801">
        <v>-0.07708222478542301</v>
      </c>
      <c r="H2801">
        <v>-0.052672109208162</v>
      </c>
      <c r="I2801">
        <v>0.334550398692451</v>
      </c>
    </row>
    <row r="2802" spans="1:9">
      <c r="A2802" s="8" t="s">
        <v>2814</v>
      </c>
      <c r="B2802">
        <f>HYPERLINK("https://www.suredividend.com/sure-analysis-research-database/","Transcat Inc")</f>
        <v>0</v>
      </c>
      <c r="C2802">
        <v>0.103888160768894</v>
      </c>
      <c r="D2802">
        <v>0.18329118666292</v>
      </c>
      <c r="E2802">
        <v>0.274745232569871</v>
      </c>
      <c r="F2802">
        <v>0.155584011707674</v>
      </c>
      <c r="G2802">
        <v>0.35893298913628</v>
      </c>
      <c r="H2802">
        <v>0.9691396508728181</v>
      </c>
      <c r="I2802">
        <v>4.051579368252699</v>
      </c>
    </row>
    <row r="2803" spans="1:9">
      <c r="A2803" s="8" t="s">
        <v>2815</v>
      </c>
      <c r="B2803">
        <f>HYPERLINK("https://www.suredividend.com/sure-analysis-TROW/","T. Rowe Price Group Inc.")</f>
        <v>0</v>
      </c>
      <c r="C2803">
        <v>0.038651685393258</v>
      </c>
      <c r="D2803">
        <v>0.009716169702223</v>
      </c>
      <c r="E2803">
        <v>0.209394235308031</v>
      </c>
      <c r="F2803">
        <v>0.09597642441366901</v>
      </c>
      <c r="G2803">
        <v>0.117630217703339</v>
      </c>
      <c r="H2803">
        <v>0.046256204647894</v>
      </c>
      <c r="I2803">
        <v>0.375506812657281</v>
      </c>
    </row>
    <row r="2804" spans="1:9">
      <c r="A2804" s="8" t="s">
        <v>2816</v>
      </c>
      <c r="B2804">
        <f>HYPERLINK("https://www.suredividend.com/sure-analysis-research-database/","Tronox Holdings plc")</f>
        <v>0</v>
      </c>
      <c r="C2804">
        <v>0.023846077265272</v>
      </c>
      <c r="D2804">
        <v>0.234653709331934</v>
      </c>
      <c r="E2804">
        <v>0.5521733604473811</v>
      </c>
      <c r="F2804">
        <v>0.400897606859666</v>
      </c>
      <c r="G2804">
        <v>0.606221023904251</v>
      </c>
      <c r="H2804">
        <v>0.06715309332401201</v>
      </c>
      <c r="I2804">
        <v>1.089928980918969</v>
      </c>
    </row>
    <row r="2805" spans="1:9">
      <c r="A2805" s="8" t="s">
        <v>2817</v>
      </c>
      <c r="B2805">
        <f>HYPERLINK("https://www.suredividend.com/sure-analysis-research-database/","Trimas Corporation")</f>
        <v>0</v>
      </c>
      <c r="C2805">
        <v>-0.004952380952380001</v>
      </c>
      <c r="D2805">
        <v>0.06416785496027701</v>
      </c>
      <c r="E2805">
        <v>0.04665886614627501</v>
      </c>
      <c r="F2805">
        <v>0.037570210771345</v>
      </c>
      <c r="G2805">
        <v>-0.080608656780511</v>
      </c>
      <c r="H2805">
        <v>-0.104534920395485</v>
      </c>
      <c r="I2805">
        <v>-0.097767215651597</v>
      </c>
    </row>
    <row r="2806" spans="1:9">
      <c r="A2806" s="8" t="s">
        <v>2818</v>
      </c>
      <c r="B2806">
        <f>HYPERLINK("https://www.suredividend.com/sure-analysis-TRST/","Trustco Bank Corp.")</f>
        <v>0</v>
      </c>
      <c r="C2806">
        <v>0.001914016489988</v>
      </c>
      <c r="D2806">
        <v>0.008787046611001001</v>
      </c>
      <c r="E2806">
        <v>-0.022326303086029</v>
      </c>
      <c r="F2806">
        <v>-0.07585649633500001</v>
      </c>
      <c r="G2806">
        <v>-0.027711299552075</v>
      </c>
      <c r="H2806">
        <v>0.004754311363099</v>
      </c>
      <c r="I2806">
        <v>-0.028734750386258</v>
      </c>
    </row>
    <row r="2807" spans="1:9">
      <c r="A2807" s="8" t="s">
        <v>2819</v>
      </c>
      <c r="B2807">
        <f>HYPERLINK("https://www.suredividend.com/sure-analysis-research-database/","Trio-Tech International")</f>
        <v>0</v>
      </c>
      <c r="C2807">
        <v>0.055193548387096</v>
      </c>
      <c r="D2807">
        <v>0.178774774774774</v>
      </c>
      <c r="E2807">
        <v>0.327018255578093</v>
      </c>
      <c r="F2807">
        <v>0.290374753451676</v>
      </c>
      <c r="G2807">
        <v>0.351694214876033</v>
      </c>
      <c r="H2807">
        <v>0.335142857142857</v>
      </c>
      <c r="I2807">
        <v>1.15203947368421</v>
      </c>
    </row>
    <row r="2808" spans="1:9">
      <c r="A2808" s="8" t="s">
        <v>2820</v>
      </c>
      <c r="B2808">
        <f>HYPERLINK("https://www.suredividend.com/sure-analysis-research-database/","Triton International Ltd")</f>
        <v>0</v>
      </c>
      <c r="C2808">
        <v>-0.036993725629767</v>
      </c>
      <c r="D2808">
        <v>-0.035835877571154</v>
      </c>
      <c r="E2808">
        <v>0.301352719753569</v>
      </c>
      <c r="F2808">
        <v>0.188642228401601</v>
      </c>
      <c r="G2808">
        <v>0.505690582951153</v>
      </c>
      <c r="H2808">
        <v>0.624782477267342</v>
      </c>
      <c r="I2808">
        <v>1.737486880366145</v>
      </c>
    </row>
    <row r="2809" spans="1:9">
      <c r="A2809" s="8" t="s">
        <v>2821</v>
      </c>
      <c r="B2809">
        <f>HYPERLINK("https://www.suredividend.com/sure-analysis-research-database/","TPG RE Finance Trust Inc")</f>
        <v>0</v>
      </c>
      <c r="C2809">
        <v>-0.05316742081447901</v>
      </c>
      <c r="D2809">
        <v>0.167722313680627</v>
      </c>
      <c r="E2809">
        <v>0.506235491011175</v>
      </c>
      <c r="F2809">
        <v>0.3293943870014771</v>
      </c>
      <c r="G2809">
        <v>0.30752647858281</v>
      </c>
      <c r="H2809">
        <v>0.035826990904028</v>
      </c>
      <c r="I2809">
        <v>-0.171131202899555</v>
      </c>
    </row>
    <row r="2810" spans="1:9">
      <c r="A2810" s="8" t="s">
        <v>2822</v>
      </c>
      <c r="B2810">
        <f>HYPERLINK("https://www.suredividend.com/sure-analysis-research-database/","TransUnion")</f>
        <v>0</v>
      </c>
      <c r="C2810">
        <v>-0.091441894836087</v>
      </c>
      <c r="D2810">
        <v>-0.098439621625311</v>
      </c>
      <c r="E2810">
        <v>0.141482342319845</v>
      </c>
      <c r="F2810">
        <v>0.040642101422838</v>
      </c>
      <c r="G2810">
        <v>-0.035740219138886</v>
      </c>
      <c r="H2810">
        <v>-0.164013298882537</v>
      </c>
      <c r="I2810">
        <v>0.048491442686584</v>
      </c>
    </row>
    <row r="2811" spans="1:9">
      <c r="A2811" s="8" t="s">
        <v>2823</v>
      </c>
      <c r="B2811">
        <f>HYPERLINK("https://www.suredividend.com/sure-analysis-research-database/","Trupanion Inc")</f>
        <v>0</v>
      </c>
      <c r="C2811">
        <v>0.09236790606653601</v>
      </c>
      <c r="D2811">
        <v>-0.046463956269217</v>
      </c>
      <c r="E2811">
        <v>-0.023784540048968</v>
      </c>
      <c r="F2811">
        <v>-0.085217961324156</v>
      </c>
      <c r="G2811">
        <v>0.229515418502202</v>
      </c>
      <c r="H2811">
        <v>-0.590402113296155</v>
      </c>
      <c r="I2811">
        <v>-0.137248840803709</v>
      </c>
    </row>
    <row r="2812" spans="1:9">
      <c r="A2812" s="8" t="s">
        <v>2824</v>
      </c>
      <c r="B2812">
        <f>HYPERLINK("https://www.suredividend.com/sure-analysis-TRV/","Travelers Companies Inc.")</f>
        <v>0</v>
      </c>
      <c r="C2812">
        <v>-0.018527907083928</v>
      </c>
      <c r="D2812">
        <v>-0.029398359161349</v>
      </c>
      <c r="E2812">
        <v>0.17596384028539</v>
      </c>
      <c r="F2812">
        <v>0.122996457248086</v>
      </c>
      <c r="G2812">
        <v>0.238367227784552</v>
      </c>
      <c r="H2812">
        <v>0.244635268387082</v>
      </c>
      <c r="I2812">
        <v>0.588562647330886</v>
      </c>
    </row>
    <row r="2813" spans="1:9">
      <c r="A2813" s="8" t="s">
        <v>2825</v>
      </c>
      <c r="B2813">
        <f>HYPERLINK("https://www.suredividend.com/sure-analysis-research-database/","Trevena Inc")</f>
        <v>0</v>
      </c>
      <c r="C2813">
        <v>-0.09181818181818101</v>
      </c>
      <c r="D2813">
        <v>-0.283870967741935</v>
      </c>
      <c r="E2813">
        <v>-0.364503816793893</v>
      </c>
      <c r="F2813">
        <v>-0.446614042376402</v>
      </c>
      <c r="G2813">
        <v>-0.636727272727272</v>
      </c>
      <c r="H2813">
        <v>-0.9589311408016441</v>
      </c>
      <c r="I2813">
        <v>-0.9847771428571421</v>
      </c>
    </row>
    <row r="2814" spans="1:9">
      <c r="A2814" s="8" t="s">
        <v>2826</v>
      </c>
      <c r="B2814">
        <f>HYPERLINK("https://www.suredividend.com/sure-analysis-research-database/","TransEnterix Inc")</f>
        <v>0</v>
      </c>
      <c r="C2814">
        <v>0.278996865203761</v>
      </c>
      <c r="D2814">
        <v>7.053691275167784</v>
      </c>
      <c r="E2814">
        <v>10.46711635750422</v>
      </c>
      <c r="F2814">
        <v>5.528</v>
      </c>
      <c r="G2814">
        <v>2.578947368421053</v>
      </c>
      <c r="H2814">
        <v>-0.878823878823878</v>
      </c>
      <c r="I2814">
        <v>-0.9110917411200691</v>
      </c>
    </row>
    <row r="2815" spans="1:9">
      <c r="A2815" s="8" t="s">
        <v>2827</v>
      </c>
      <c r="B2815">
        <f>HYPERLINK("https://www.suredividend.com/sure-analysis-research-database/","Timberland Bancorp, Inc.")</f>
        <v>0</v>
      </c>
      <c r="C2815">
        <v>0.0011208375348</v>
      </c>
      <c r="D2815">
        <v>-0.045547163451963</v>
      </c>
      <c r="E2815">
        <v>-0.149467734724037</v>
      </c>
      <c r="F2815">
        <v>-0.178395629539512</v>
      </c>
      <c r="G2815">
        <v>0.05262713260482901</v>
      </c>
      <c r="H2815">
        <v>0.06924796512501001</v>
      </c>
      <c r="I2815">
        <v>0.15105521092671</v>
      </c>
    </row>
    <row r="2816" spans="1:9">
      <c r="A2816" s="8" t="s">
        <v>2828</v>
      </c>
      <c r="B2816">
        <f>HYPERLINK("https://www.suredividend.com/sure-analysis-research-database/","Tristate Capital Holdings Inc")</f>
        <v>0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</row>
    <row r="2817" spans="1:9">
      <c r="A2817" s="8" t="s">
        <v>2829</v>
      </c>
      <c r="B2817">
        <f>HYPERLINK("https://www.suredividend.com/sure-analysis-TSCO/","Tractor Supply Co.")</f>
        <v>0</v>
      </c>
      <c r="C2817">
        <v>0.010798942677369</v>
      </c>
      <c r="D2817">
        <v>0.096178728961889</v>
      </c>
      <c r="E2817">
        <v>0.318200439643419</v>
      </c>
      <c r="F2817">
        <v>0.28154066797345</v>
      </c>
      <c r="G2817">
        <v>0.290945702422554</v>
      </c>
      <c r="H2817">
        <v>0.430491059760872</v>
      </c>
      <c r="I2817">
        <v>1.757433763780553</v>
      </c>
    </row>
    <row r="2818" spans="1:9">
      <c r="A2818" s="8" t="s">
        <v>2830</v>
      </c>
      <c r="B2818">
        <f>HYPERLINK("https://www.suredividend.com/sure-analysis-research-database/","Trinseo PLC")</f>
        <v>0</v>
      </c>
      <c r="C2818">
        <v>-0.034482758620689</v>
      </c>
      <c r="D2818">
        <v>-0.367127622413545</v>
      </c>
      <c r="E2818">
        <v>-0.488906957834824</v>
      </c>
      <c r="F2818">
        <v>-0.6305714148635031</v>
      </c>
      <c r="G2818">
        <v>-0.804654053745504</v>
      </c>
      <c r="H2818">
        <v>-0.9331871259400981</v>
      </c>
      <c r="I2818">
        <v>-0.9407008086253361</v>
      </c>
    </row>
    <row r="2819" spans="1:9">
      <c r="A2819" s="8" t="s">
        <v>2831</v>
      </c>
      <c r="B2819">
        <f>HYPERLINK("https://www.suredividend.com/sure-analysis-research-database/","Tesla Inc")</f>
        <v>0</v>
      </c>
      <c r="C2819">
        <v>-0.001855913615657</v>
      </c>
      <c r="D2819">
        <v>-0.006549118387909001</v>
      </c>
      <c r="E2819">
        <v>-0.268545994065281</v>
      </c>
      <c r="F2819">
        <v>-0.285737282678686</v>
      </c>
      <c r="G2819">
        <v>-0.209689629068887</v>
      </c>
      <c r="H2819">
        <v>-0.257053657654444</v>
      </c>
      <c r="I2819">
        <v>12.01812473869129</v>
      </c>
    </row>
    <row r="2820" spans="1:9">
      <c r="A2820" s="8" t="s">
        <v>2832</v>
      </c>
      <c r="B2820">
        <f>HYPERLINK("https://www.suredividend.com/sure-analysis-TSN/","Tyson Foods, Inc.")</f>
        <v>0</v>
      </c>
      <c r="C2820">
        <v>-0.043237577161022</v>
      </c>
      <c r="D2820">
        <v>0.049818452448072</v>
      </c>
      <c r="E2820">
        <v>0.10323524822793</v>
      </c>
      <c r="F2820">
        <v>0.057874403454283</v>
      </c>
      <c r="G2820">
        <v>0.129367808771706</v>
      </c>
      <c r="H2820">
        <v>-0.323800035589471</v>
      </c>
      <c r="I2820">
        <v>-0.223813070398737</v>
      </c>
    </row>
    <row r="2821" spans="1:9">
      <c r="A2821" s="8" t="s">
        <v>2833</v>
      </c>
      <c r="B2821">
        <f>HYPERLINK("https://www.suredividend.com/sure-analysis-research-database/","Townsquare Media Inc")</f>
        <v>0</v>
      </c>
      <c r="C2821">
        <v>-0.133016627078384</v>
      </c>
      <c r="D2821">
        <v>0.048800344811072</v>
      </c>
      <c r="E2821">
        <v>0.103463565547751</v>
      </c>
      <c r="F2821">
        <v>0.0537661312829</v>
      </c>
      <c r="G2821">
        <v>0.13632825877152</v>
      </c>
      <c r="H2821">
        <v>0.206292550730385</v>
      </c>
      <c r="I2821">
        <v>1.373520613863961</v>
      </c>
    </row>
    <row r="2822" spans="1:9">
      <c r="A2822" s="8" t="s">
        <v>2834</v>
      </c>
      <c r="B2822">
        <f>HYPERLINK("https://www.suredividend.com/sure-analysis-TTC/","Toro Co.")</f>
        <v>0</v>
      </c>
      <c r="C2822">
        <v>0.077458464301751</v>
      </c>
      <c r="D2822">
        <v>0.088378907357387</v>
      </c>
      <c r="E2822">
        <v>0.151536601899231</v>
      </c>
      <c r="F2822">
        <v>0.003906638146987</v>
      </c>
      <c r="G2822">
        <v>-0.06883066358669901</v>
      </c>
      <c r="H2822">
        <v>0.132305630501232</v>
      </c>
      <c r="I2822">
        <v>0.5102688209266171</v>
      </c>
    </row>
    <row r="2823" spans="1:9">
      <c r="A2823" s="8" t="s">
        <v>2835</v>
      </c>
      <c r="B2823">
        <f>HYPERLINK("https://www.suredividend.com/sure-analysis-research-database/","Trade Desk Inc")</f>
        <v>0</v>
      </c>
      <c r="C2823">
        <v>0.05053547523427</v>
      </c>
      <c r="D2823">
        <v>0.150800439936453</v>
      </c>
      <c r="E2823">
        <v>0.369148008141901</v>
      </c>
      <c r="F2823">
        <v>0.308643690939411</v>
      </c>
      <c r="G2823">
        <v>0.278441487917458</v>
      </c>
      <c r="H2823">
        <v>0.7697801165194511</v>
      </c>
      <c r="I2823">
        <v>2.843046033300685</v>
      </c>
    </row>
    <row r="2824" spans="1:9">
      <c r="A2824" s="8" t="s">
        <v>2836</v>
      </c>
      <c r="B2824">
        <f>HYPERLINK("https://www.suredividend.com/sure-analysis-research-database/","TTEC Holdings Inc")</f>
        <v>0</v>
      </c>
      <c r="C2824">
        <v>-0.204030226700251</v>
      </c>
      <c r="D2824">
        <v>-0.442474285008557</v>
      </c>
      <c r="E2824">
        <v>-0.678489306717131</v>
      </c>
      <c r="F2824">
        <v>-0.704899049326684</v>
      </c>
      <c r="G2824">
        <v>-0.813213380069394</v>
      </c>
      <c r="H2824">
        <v>-0.9011075330397851</v>
      </c>
      <c r="I2824">
        <v>-0.8166255621645141</v>
      </c>
    </row>
    <row r="2825" spans="1:9">
      <c r="A2825" s="8" t="s">
        <v>2837</v>
      </c>
      <c r="B2825">
        <f>HYPERLINK("https://www.suredividend.com/sure-analysis-research-database/","Tetra Tech, Inc.")</f>
        <v>0</v>
      </c>
      <c r="C2825">
        <v>-0.041143957930532</v>
      </c>
      <c r="D2825">
        <v>0.09260934949008301</v>
      </c>
      <c r="E2825">
        <v>0.240255483613129</v>
      </c>
      <c r="F2825">
        <v>0.226361901457321</v>
      </c>
      <c r="G2825">
        <v>0.327669964646336</v>
      </c>
      <c r="H2825">
        <v>0.508255844880353</v>
      </c>
      <c r="I2825">
        <v>1.875391238517079</v>
      </c>
    </row>
    <row r="2826" spans="1:9">
      <c r="A2826" s="8" t="s">
        <v>2838</v>
      </c>
      <c r="B2826">
        <f>HYPERLINK("https://www.suredividend.com/sure-analysis-research-database/","Techtarget Inc.")</f>
        <v>0</v>
      </c>
      <c r="C2826">
        <v>0.075538298623367</v>
      </c>
      <c r="D2826">
        <v>-0.014553686934023</v>
      </c>
      <c r="E2826">
        <v>-0.007168458781362</v>
      </c>
      <c r="F2826">
        <v>-0.125932300631095</v>
      </c>
      <c r="G2826">
        <v>-0.187683284457477</v>
      </c>
      <c r="H2826">
        <v>-0.5826027397260271</v>
      </c>
      <c r="I2826">
        <v>0.556974961676034</v>
      </c>
    </row>
    <row r="2827" spans="1:9">
      <c r="A2827" s="8" t="s">
        <v>2839</v>
      </c>
      <c r="B2827">
        <f>HYPERLINK("https://www.suredividend.com/sure-analysis-research-database/","Tetra Technologies, Inc.")</f>
        <v>0</v>
      </c>
      <c r="C2827">
        <v>-0.113110539845758</v>
      </c>
      <c r="D2827">
        <v>-0.122137404580152</v>
      </c>
      <c r="E2827">
        <v>-0.19953596287703</v>
      </c>
      <c r="F2827">
        <v>-0.236725663716814</v>
      </c>
      <c r="G2827">
        <v>0.153846153846153</v>
      </c>
      <c r="H2827">
        <v>-0.397905759162303</v>
      </c>
      <c r="I2827">
        <v>1.363013698630137</v>
      </c>
    </row>
    <row r="2828" spans="1:9">
      <c r="A2828" s="8" t="s">
        <v>2840</v>
      </c>
      <c r="B2828">
        <f>HYPERLINK("https://www.suredividend.com/sure-analysis-research-database/","TTM Technologies Inc")</f>
        <v>0</v>
      </c>
      <c r="C2828">
        <v>0.052302444570778</v>
      </c>
      <c r="D2828">
        <v>0.238127090301003</v>
      </c>
      <c r="E2828">
        <v>0.278314917127071</v>
      </c>
      <c r="F2828">
        <v>0.1707779886148</v>
      </c>
      <c r="G2828">
        <v>0.288997214484679</v>
      </c>
      <c r="H2828">
        <v>0.264344262295082</v>
      </c>
      <c r="I2828">
        <v>1.009771986970684</v>
      </c>
    </row>
    <row r="2829" spans="1:9">
      <c r="A2829" s="8" t="s">
        <v>2841</v>
      </c>
      <c r="B2829">
        <f>HYPERLINK("https://www.suredividend.com/sure-analysis-research-database/","Titan Pharmaceuticals, Inc. (de)")</f>
        <v>0</v>
      </c>
      <c r="C2829">
        <v>0.021958456973293</v>
      </c>
      <c r="D2829">
        <v>-0.035294117647058</v>
      </c>
      <c r="E2829">
        <v>0.151839464882943</v>
      </c>
      <c r="F2829">
        <v>-0.165090909090909</v>
      </c>
      <c r="G2829">
        <v>-0.555612903225806</v>
      </c>
      <c r="H2829">
        <v>-0.251304347826086</v>
      </c>
      <c r="I2829">
        <v>-0.991432835820895</v>
      </c>
    </row>
    <row r="2830" spans="1:9">
      <c r="A2830" s="8" t="s">
        <v>2842</v>
      </c>
      <c r="B2830">
        <f>HYPERLINK("https://www.suredividend.com/sure-analysis-research-database/","T2 Biosystems Inc")</f>
        <v>0</v>
      </c>
      <c r="C2830">
        <v>0.324074074074074</v>
      </c>
      <c r="D2830">
        <v>-0.120901639344262</v>
      </c>
      <c r="E2830">
        <v>0.159459459459459</v>
      </c>
      <c r="F2830">
        <v>-0.316334661354581</v>
      </c>
      <c r="G2830">
        <v>-0.468401486988847</v>
      </c>
      <c r="H2830">
        <v>-0.995241264559068</v>
      </c>
      <c r="I2830">
        <v>-0.9994428571428571</v>
      </c>
    </row>
    <row r="2831" spans="1:9">
      <c r="A2831" s="8" t="s">
        <v>2843</v>
      </c>
      <c r="B2831">
        <f>HYPERLINK("https://www.suredividend.com/sure-analysis-research-database/","Tile Shop Holdings, Inc.")</f>
        <v>0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</row>
    <row r="2832" spans="1:9">
      <c r="A2832" s="8" t="s">
        <v>2844</v>
      </c>
      <c r="B2832">
        <f>HYPERLINK("https://www.suredividend.com/sure-analysis-research-database/","Take-Two Interactive Software, Inc.")</f>
        <v>0</v>
      </c>
      <c r="C2832">
        <v>0.110833951324748</v>
      </c>
      <c r="D2832">
        <v>0.136266464381766</v>
      </c>
      <c r="E2832">
        <v>0.06847804941313701</v>
      </c>
      <c r="F2832">
        <v>0.023734078906492</v>
      </c>
      <c r="G2832">
        <v>0.245897920604915</v>
      </c>
      <c r="H2832">
        <v>0.251576148879605</v>
      </c>
      <c r="I2832">
        <v>0.47577250335871</v>
      </c>
    </row>
    <row r="2833" spans="1:9">
      <c r="A2833" s="8" t="s">
        <v>2845</v>
      </c>
      <c r="B2833">
        <f>HYPERLINK("https://www.suredividend.com/sure-analysis-research-database/","Tupperware Brands Corporation")</f>
        <v>0</v>
      </c>
      <c r="C2833">
        <v>0.296</v>
      </c>
      <c r="D2833">
        <v>0.2</v>
      </c>
      <c r="E2833">
        <v>-0.124324324324324</v>
      </c>
      <c r="F2833">
        <v>-0.189999999999999</v>
      </c>
      <c r="G2833">
        <v>0.674591689063469</v>
      </c>
      <c r="H2833">
        <v>-0.7488372093023251</v>
      </c>
      <c r="I2833">
        <v>-0.9156842844874691</v>
      </c>
    </row>
    <row r="2834" spans="1:9">
      <c r="A2834" s="8" t="s">
        <v>2846</v>
      </c>
      <c r="B2834">
        <f>HYPERLINK("https://www.suredividend.com/sure-analysis-research-database/","Mammoth Energy Services Inc")</f>
        <v>0</v>
      </c>
      <c r="C2834">
        <v>0.197986577181207</v>
      </c>
      <c r="D2834">
        <v>-0.005571030640668001</v>
      </c>
      <c r="E2834">
        <v>-0.263917525773195</v>
      </c>
      <c r="F2834">
        <v>-0.199551569506726</v>
      </c>
      <c r="G2834">
        <v>-0.15</v>
      </c>
      <c r="H2834">
        <v>0.4631147540983601</v>
      </c>
      <c r="I2834">
        <v>-0.427884615384615</v>
      </c>
    </row>
    <row r="2835" spans="1:9">
      <c r="A2835" s="8" t="s">
        <v>2847</v>
      </c>
      <c r="B2835">
        <f>HYPERLINK("https://www.suredividend.com/sure-analysis-research-database/","Tivity Health Inc")</f>
        <v>0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</row>
    <row r="2836" spans="1:9">
      <c r="A2836" s="8" t="s">
        <v>2848</v>
      </c>
      <c r="B2836">
        <f>HYPERLINK("https://www.suredividend.com/sure-analysis-research-database/","Tradeweb Markets Inc")</f>
        <v>0</v>
      </c>
      <c r="C2836">
        <v>-0.044179579152205</v>
      </c>
      <c r="D2836">
        <v>0.01837346484866</v>
      </c>
      <c r="E2836">
        <v>0.155601887413585</v>
      </c>
      <c r="F2836">
        <v>0.163104055346567</v>
      </c>
      <c r="G2836">
        <v>0.533805325716982</v>
      </c>
      <c r="H2836">
        <v>0.54547869335067</v>
      </c>
      <c r="I2836">
        <v>1.527844455112818</v>
      </c>
    </row>
    <row r="2837" spans="1:9">
      <c r="A2837" s="8" t="s">
        <v>2849</v>
      </c>
      <c r="B2837">
        <f>HYPERLINK("https://www.suredividend.com/sure-analysis-research-database/","Titan International, Inc.")</f>
        <v>0</v>
      </c>
      <c r="C2837">
        <v>-0.116252821670428</v>
      </c>
      <c r="D2837">
        <v>-0.39815526518063</v>
      </c>
      <c r="E2837">
        <v>-0.425531914893617</v>
      </c>
      <c r="F2837">
        <v>-0.473790322580645</v>
      </c>
      <c r="G2837">
        <v>-0.308914386584289</v>
      </c>
      <c r="H2837">
        <v>-0.600510204081632</v>
      </c>
      <c r="I2837">
        <v>0.8005794968495601</v>
      </c>
    </row>
    <row r="2838" spans="1:9">
      <c r="A2838" s="8" t="s">
        <v>2850</v>
      </c>
      <c r="B2838">
        <f>HYPERLINK("https://www.suredividend.com/sure-analysis-research-database/","Twin Disc Incorporated")</f>
        <v>0</v>
      </c>
      <c r="C2838">
        <v>-0.09065554524994</v>
      </c>
      <c r="D2838">
        <v>-0.124543382559555</v>
      </c>
      <c r="E2838">
        <v>-0.066005809150744</v>
      </c>
      <c r="F2838">
        <v>-0.123223934360616</v>
      </c>
      <c r="G2838">
        <v>0.187893987663525</v>
      </c>
      <c r="H2838">
        <v>0.424044204282289</v>
      </c>
      <c r="I2838">
        <v>-0.03943654251966301</v>
      </c>
    </row>
    <row r="2839" spans="1:9">
      <c r="A2839" s="8" t="s">
        <v>2851</v>
      </c>
      <c r="B2839">
        <f>HYPERLINK("https://www.suredividend.com/sure-analysis-research-database/","Twilio Inc")</f>
        <v>0</v>
      </c>
      <c r="C2839">
        <v>-0.100047341013097</v>
      </c>
      <c r="D2839">
        <v>-0.067527795945062</v>
      </c>
      <c r="E2839">
        <v>-0.17083454492585</v>
      </c>
      <c r="F2839">
        <v>-0.248319493871095</v>
      </c>
      <c r="G2839">
        <v>-0.120585967617578</v>
      </c>
      <c r="H2839">
        <v>-0.469142697570511</v>
      </c>
      <c r="I2839">
        <v>-0.604260634237735</v>
      </c>
    </row>
    <row r="2840" spans="1:9">
      <c r="A2840" s="8" t="s">
        <v>2852</v>
      </c>
      <c r="B2840">
        <f>HYPERLINK("https://www.suredividend.com/sure-analysis-research-database/","Hostess Brands Inc")</f>
        <v>0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</row>
    <row r="2841" spans="1:9">
      <c r="A2841" s="8" t="s">
        <v>2853</v>
      </c>
      <c r="B2841">
        <f>HYPERLINK("https://www.suredividend.com/sure-analysis-TWO/","Two Harbors Investment Corp")</f>
        <v>0</v>
      </c>
      <c r="C2841">
        <v>-0.002307692307692</v>
      </c>
      <c r="D2841">
        <v>0.048936910124627</v>
      </c>
      <c r="E2841">
        <v>0.005933222166207001</v>
      </c>
      <c r="F2841">
        <v>-0.003457548981943</v>
      </c>
      <c r="G2841">
        <v>0.098500889302955</v>
      </c>
      <c r="H2841">
        <v>-0.189597860588338</v>
      </c>
      <c r="I2841">
        <v>-0.516913610595868</v>
      </c>
    </row>
    <row r="2842" spans="1:9">
      <c r="A2842" s="8" t="s">
        <v>2854</v>
      </c>
      <c r="B2842">
        <f>HYPERLINK("https://www.suredividend.com/sure-analysis-research-database/","2U Inc")</f>
        <v>0</v>
      </c>
      <c r="C2842">
        <v>-0.192436974789915</v>
      </c>
      <c r="D2842">
        <v>-0.313734825041656</v>
      </c>
      <c r="E2842">
        <v>-0.7117</v>
      </c>
      <c r="F2842">
        <v>-0.7656097560975611</v>
      </c>
      <c r="G2842">
        <v>-0.9373260869565211</v>
      </c>
      <c r="H2842">
        <v>-0.9696526315789471</v>
      </c>
      <c r="I2842">
        <v>-0.9918490245971161</v>
      </c>
    </row>
    <row r="2843" spans="1:9">
      <c r="A2843" s="8" t="s">
        <v>2855</v>
      </c>
      <c r="B2843">
        <f>HYPERLINK("https://www.suredividend.com/sure-analysis-research-database/","Twist Bioscience Corp")</f>
        <v>0</v>
      </c>
      <c r="C2843">
        <v>0.169951309993044</v>
      </c>
      <c r="D2843">
        <v>0.32824427480916</v>
      </c>
      <c r="E2843">
        <v>0.9106399091253311</v>
      </c>
      <c r="F2843">
        <v>0.368963646228974</v>
      </c>
      <c r="G2843">
        <v>2.026994601079784</v>
      </c>
      <c r="H2843">
        <v>0.638843780448197</v>
      </c>
      <c r="I2843">
        <v>0.94076923076923</v>
      </c>
    </row>
    <row r="2844" spans="1:9">
      <c r="A2844" s="8" t="s">
        <v>2856</v>
      </c>
      <c r="B2844">
        <f>HYPERLINK("https://www.suredividend.com/sure-analysis-research-database/","Twitter Inc")</f>
        <v>0</v>
      </c>
      <c r="C2844">
        <v>0.27583749109052</v>
      </c>
      <c r="D2844">
        <v>0.347553324968632</v>
      </c>
      <c r="E2844">
        <v>0.104029605263157</v>
      </c>
      <c r="F2844">
        <v>0.242480333179083</v>
      </c>
      <c r="G2844">
        <v>-0.020251778872468</v>
      </c>
      <c r="H2844">
        <v>0.047396138092451</v>
      </c>
      <c r="I2844">
        <v>1.476937269372694</v>
      </c>
    </row>
    <row r="2845" spans="1:9">
      <c r="A2845" s="8" t="s">
        <v>2857</v>
      </c>
      <c r="B2845">
        <f>HYPERLINK("https://www.suredividend.com/sure-analysis-research-database/","TherapeuticsMD Inc")</f>
        <v>0</v>
      </c>
      <c r="C2845">
        <v>0.07142857142857101</v>
      </c>
      <c r="D2845">
        <v>-0.08296943231441001</v>
      </c>
      <c r="E2845">
        <v>-0.049773755656108</v>
      </c>
      <c r="F2845">
        <v>-0.066666666666666</v>
      </c>
      <c r="G2845">
        <v>-0.471032745591939</v>
      </c>
      <c r="H2845">
        <v>-0.7885196374622351</v>
      </c>
      <c r="I2845">
        <v>-0.986666666666666</v>
      </c>
    </row>
    <row r="2846" spans="1:9">
      <c r="A2846" s="8" t="s">
        <v>2858</v>
      </c>
      <c r="B2846">
        <f>HYPERLINK("https://www.suredividend.com/sure-analysis-TXN/","Texas Instruments Inc.")</f>
        <v>0</v>
      </c>
      <c r="C2846">
        <v>0.07083812339190901</v>
      </c>
      <c r="D2846">
        <v>0.132192323943254</v>
      </c>
      <c r="E2846">
        <v>0.278433228153372</v>
      </c>
      <c r="F2846">
        <v>0.182584492128295</v>
      </c>
      <c r="G2846">
        <v>0.210424214672239</v>
      </c>
      <c r="H2846">
        <v>0.27187301686381</v>
      </c>
      <c r="I2846">
        <v>1.103129804642561</v>
      </c>
    </row>
    <row r="2847" spans="1:9">
      <c r="A2847" s="8" t="s">
        <v>2859</v>
      </c>
      <c r="B2847">
        <f>HYPERLINK("https://www.suredividend.com/sure-analysis-research-database/","Texas Roadhouse Inc")</f>
        <v>0</v>
      </c>
      <c r="C2847">
        <v>0.011200096344914</v>
      </c>
      <c r="D2847">
        <v>0.121989742877072</v>
      </c>
      <c r="E2847">
        <v>0.4716695075301131</v>
      </c>
      <c r="F2847">
        <v>0.3795613302214541</v>
      </c>
      <c r="G2847">
        <v>0.5434643343287311</v>
      </c>
      <c r="H2847">
        <v>1.175487324447254</v>
      </c>
      <c r="I2847">
        <v>2.358734349373975</v>
      </c>
    </row>
    <row r="2848" spans="1:9">
      <c r="A2848" s="8" t="s">
        <v>2860</v>
      </c>
      <c r="B2848">
        <f>HYPERLINK("https://www.suredividend.com/sure-analysis-research-database/","Textron Inc.")</f>
        <v>0</v>
      </c>
      <c r="C2848">
        <v>-0.021602468853583</v>
      </c>
      <c r="D2848">
        <v>-0.05205292556843501</v>
      </c>
      <c r="E2848">
        <v>0.123151752759659</v>
      </c>
      <c r="F2848">
        <v>0.06464218818794301</v>
      </c>
      <c r="G2848">
        <v>0.304446547407336</v>
      </c>
      <c r="H2848">
        <v>0.248555992485326</v>
      </c>
      <c r="I2848">
        <v>0.7554761216282451</v>
      </c>
    </row>
    <row r="2849" spans="1:9">
      <c r="A2849" s="8" t="s">
        <v>2861</v>
      </c>
      <c r="B2849">
        <f>HYPERLINK("https://www.suredividend.com/sure-analysis-research-database/","Tyler Technologies, Inc.")</f>
        <v>0</v>
      </c>
      <c r="C2849">
        <v>0.0009555860235150001</v>
      </c>
      <c r="D2849">
        <v>0.141611581017366</v>
      </c>
      <c r="E2849">
        <v>0.198189685184264</v>
      </c>
      <c r="F2849">
        <v>0.152396441213048</v>
      </c>
      <c r="G2849">
        <v>0.240832303255047</v>
      </c>
      <c r="H2849">
        <v>0.3252654161395011</v>
      </c>
      <c r="I2849">
        <v>1.191078168341594</v>
      </c>
    </row>
    <row r="2850" spans="1:9">
      <c r="A2850" s="8" t="s">
        <v>2862</v>
      </c>
      <c r="B2850">
        <f>HYPERLINK("https://www.suredividend.com/sure-analysis-research-database/","Tyme Technologies Inc")</f>
        <v>0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</row>
    <row r="2851" spans="1:9">
      <c r="A2851" s="8" t="s">
        <v>2863</v>
      </c>
      <c r="B2851">
        <f>HYPERLINK("https://www.suredividend.com/sure-analysis-research-database/","Travelzoo")</f>
        <v>0</v>
      </c>
      <c r="C2851">
        <v>-0.078231292517006</v>
      </c>
      <c r="D2851">
        <v>-0.126745435016111</v>
      </c>
      <c r="E2851">
        <v>-0.156639004149377</v>
      </c>
      <c r="F2851">
        <v>-0.146904512067156</v>
      </c>
      <c r="G2851">
        <v>-0.189431704885343</v>
      </c>
      <c r="H2851">
        <v>0.148305084745762</v>
      </c>
      <c r="I2851">
        <v>-0.52539404553415</v>
      </c>
    </row>
    <row r="2852" spans="1:9">
      <c r="A2852" s="8" t="s">
        <v>2864</v>
      </c>
      <c r="B2852">
        <f>HYPERLINK("https://www.suredividend.com/sure-analysis-research-database/","Under Armour Inc")</f>
        <v>0</v>
      </c>
      <c r="C2852">
        <v>0.027439024390244</v>
      </c>
      <c r="D2852">
        <v>-0.174019607843137</v>
      </c>
      <c r="E2852">
        <v>-0.152201257861635</v>
      </c>
      <c r="F2852">
        <v>-0.192814371257485</v>
      </c>
      <c r="G2852">
        <v>-0.050704225352112</v>
      </c>
      <c r="H2852">
        <v>-0.333333333333333</v>
      </c>
      <c r="I2852">
        <v>-0.7055482743556131</v>
      </c>
    </row>
    <row r="2853" spans="1:9">
      <c r="A2853" s="8" t="s">
        <v>2865</v>
      </c>
      <c r="B2853">
        <f>HYPERLINK("https://www.suredividend.com/sure-analysis-research-database/","Under Armour Inc")</f>
        <v>0</v>
      </c>
      <c r="C2853">
        <v>0.029806259314456</v>
      </c>
      <c r="D2853">
        <v>-0.189917936694021</v>
      </c>
      <c r="E2853">
        <v>-0.182248520710059</v>
      </c>
      <c r="F2853">
        <v>-0.213879408418657</v>
      </c>
      <c r="G2853">
        <v>-0.103761348897535</v>
      </c>
      <c r="H2853">
        <v>-0.371246587807097</v>
      </c>
      <c r="I2853">
        <v>-0.733204633204633</v>
      </c>
    </row>
    <row r="2854" spans="1:9">
      <c r="A2854" s="8" t="s">
        <v>2866</v>
      </c>
      <c r="B2854">
        <f>HYPERLINK("https://www.suredividend.com/sure-analysis-research-database/","United Airlines Holdings Inc")</f>
        <v>0</v>
      </c>
      <c r="C2854">
        <v>0.005883469349022</v>
      </c>
      <c r="D2854">
        <v>0.201269265639165</v>
      </c>
      <c r="E2854">
        <v>0.284537081919534</v>
      </c>
      <c r="F2854">
        <v>0.284537081919534</v>
      </c>
      <c r="G2854">
        <v>0.073091718971451</v>
      </c>
      <c r="H2854">
        <v>0.141011840688912</v>
      </c>
      <c r="I2854">
        <v>-0.363516272366998</v>
      </c>
    </row>
    <row r="2855" spans="1:9">
      <c r="A2855" s="8" t="s">
        <v>2867</v>
      </c>
      <c r="B2855">
        <f>HYPERLINK("https://www.suredividend.com/sure-analysis-research-database/","United States Antimony Corp.")</f>
        <v>0</v>
      </c>
      <c r="C2855">
        <v>0.439068100358422</v>
      </c>
      <c r="D2855">
        <v>0.253218884120171</v>
      </c>
      <c r="E2855">
        <v>0.246410554908808</v>
      </c>
      <c r="F2855">
        <v>0.289959839357429</v>
      </c>
      <c r="G2855">
        <v>-0.02370820668693</v>
      </c>
      <c r="H2855">
        <v>-0.154736842105263</v>
      </c>
      <c r="I2855">
        <v>-0.455593220338983</v>
      </c>
    </row>
    <row r="2856" spans="1:9">
      <c r="A2856" s="8" t="s">
        <v>2868</v>
      </c>
      <c r="B2856">
        <f>HYPERLINK("https://www.suredividend.com/sure-analysis-research-database/","Urstadt Biddle Properties, Inc.")</f>
        <v>0</v>
      </c>
      <c r="C2856">
        <v>-0.041704442429737</v>
      </c>
      <c r="D2856">
        <v>0.259743045789335</v>
      </c>
      <c r="E2856">
        <v>0.192847429509713</v>
      </c>
      <c r="F2856">
        <v>0.158235580953215</v>
      </c>
      <c r="G2856">
        <v>0.21746141442064</v>
      </c>
      <c r="H2856">
        <v>0.235253215222713</v>
      </c>
      <c r="I2856">
        <v>0.199242106218586</v>
      </c>
    </row>
    <row r="2857" spans="1:9">
      <c r="A2857" s="8" t="s">
        <v>2869</v>
      </c>
      <c r="B2857">
        <f>HYPERLINK("https://www.suredividend.com/sure-analysis-research-database/","United Bancorp, Inc. (Martins Ferry, OH)")</f>
        <v>0</v>
      </c>
      <c r="C2857">
        <v>-0.016962843295638</v>
      </c>
      <c r="D2857">
        <v>0.012900540990428</v>
      </c>
      <c r="E2857">
        <v>0.133748823863689</v>
      </c>
      <c r="F2857">
        <v>-0.027838798578104</v>
      </c>
      <c r="G2857">
        <v>0.139993442930073</v>
      </c>
      <c r="H2857">
        <v>-0.141561272210426</v>
      </c>
      <c r="I2857">
        <v>0.3886828622613731</v>
      </c>
    </row>
    <row r="2858" spans="1:9">
      <c r="A2858" s="8" t="s">
        <v>2870</v>
      </c>
      <c r="B2858">
        <f>HYPERLINK("https://www.suredividend.com/sure-analysis-research-database/","Uber Technologies Inc")</f>
        <v>0</v>
      </c>
      <c r="C2858">
        <v>-0.015902314354678</v>
      </c>
      <c r="D2858">
        <v>-0.127188011585442</v>
      </c>
      <c r="E2858">
        <v>0.136602164644145</v>
      </c>
      <c r="F2858">
        <v>0.125710573331167</v>
      </c>
      <c r="G2858">
        <v>0.7776352911002821</v>
      </c>
      <c r="H2858">
        <v>1.739525691699604</v>
      </c>
      <c r="I2858">
        <v>0.569519927536232</v>
      </c>
    </row>
    <row r="2859" spans="1:9">
      <c r="A2859" s="8" t="s">
        <v>2871</v>
      </c>
      <c r="B2859">
        <f>HYPERLINK("https://www.suredividend.com/sure-analysis-research-database/","United Security Bancshares (CA)")</f>
        <v>0</v>
      </c>
      <c r="C2859">
        <v>-0.006887052341597001</v>
      </c>
      <c r="D2859">
        <v>-0.007037501205051</v>
      </c>
      <c r="E2859">
        <v>-0.064146829002362</v>
      </c>
      <c r="F2859">
        <v>-0.08863383557488101</v>
      </c>
      <c r="G2859">
        <v>0.240579510650745</v>
      </c>
      <c r="H2859">
        <v>0.159611425630468</v>
      </c>
      <c r="I2859">
        <v>0.009196142379239</v>
      </c>
    </row>
    <row r="2860" spans="1:9">
      <c r="A2860" s="8" t="s">
        <v>2872</v>
      </c>
      <c r="B2860">
        <f>HYPERLINK("https://www.suredividend.com/sure-analysis-research-database/","United Bancshares Inc. (OH)")</f>
        <v>0</v>
      </c>
      <c r="C2860">
        <v>-0.004437982182966</v>
      </c>
      <c r="D2860">
        <v>-0.022777017419598</v>
      </c>
      <c r="E2860">
        <v>0.08883983670369301</v>
      </c>
      <c r="F2860">
        <v>-0.02489571432367</v>
      </c>
      <c r="G2860">
        <v>0.020674924770417</v>
      </c>
      <c r="H2860">
        <v>-0.0004847784998000001</v>
      </c>
      <c r="I2860">
        <v>-0.0004847784998000001</v>
      </c>
    </row>
    <row r="2861" spans="1:9">
      <c r="A2861" s="8" t="s">
        <v>2873</v>
      </c>
      <c r="B2861">
        <f>HYPERLINK("https://www.suredividend.com/sure-analysis-UBSI/","United Bankshares, Inc.")</f>
        <v>0</v>
      </c>
      <c r="C2861">
        <v>-0.06043632075471701</v>
      </c>
      <c r="D2861">
        <v>-0.090727532097004</v>
      </c>
      <c r="E2861">
        <v>-0.07046065718169001</v>
      </c>
      <c r="F2861">
        <v>-0.133088701319543</v>
      </c>
      <c r="G2861">
        <v>0.024139748319343</v>
      </c>
      <c r="H2861">
        <v>-0.036962276238018</v>
      </c>
      <c r="I2861">
        <v>0.104422889658207</v>
      </c>
    </row>
    <row r="2862" spans="1:9">
      <c r="A2862" s="8" t="s">
        <v>2874</v>
      </c>
      <c r="B2862">
        <f>HYPERLINK("https://www.suredividend.com/sure-analysis-research-database/","United Community Banks Inc")</f>
        <v>0</v>
      </c>
      <c r="C2862">
        <v>-0.0441400304414</v>
      </c>
      <c r="D2862">
        <v>-0.025325247257757</v>
      </c>
      <c r="E2862">
        <v>-0.042690223397687</v>
      </c>
      <c r="F2862">
        <v>-0.125923399990953</v>
      </c>
      <c r="G2862">
        <v>-0.009842449851594002</v>
      </c>
      <c r="H2862">
        <v>-0.144350053478121</v>
      </c>
      <c r="I2862">
        <v>0.095326548587673</v>
      </c>
    </row>
    <row r="2863" spans="1:9">
      <c r="A2863" s="8" t="s">
        <v>2875</v>
      </c>
      <c r="B2863">
        <f>HYPERLINK("https://www.suredividend.com/sure-analysis-research-database/","Ultra Clean Hldgs Inc")</f>
        <v>0</v>
      </c>
      <c r="C2863">
        <v>0.04651690492398401</v>
      </c>
      <c r="D2863">
        <v>-0.018932142097426</v>
      </c>
      <c r="E2863">
        <v>0.6025017373175811</v>
      </c>
      <c r="F2863">
        <v>0.350908025776215</v>
      </c>
      <c r="G2863">
        <v>0.256333424135112</v>
      </c>
      <c r="H2863">
        <v>0.384153661464585</v>
      </c>
      <c r="I2863">
        <v>2.441791044776119</v>
      </c>
    </row>
    <row r="2864" spans="1:9">
      <c r="A2864" s="8" t="s">
        <v>2876</v>
      </c>
      <c r="B2864">
        <f>HYPERLINK("https://www.suredividend.com/sure-analysis-UDR/","UDR Inc")</f>
        <v>0</v>
      </c>
      <c r="C2864">
        <v>0.017962535283551</v>
      </c>
      <c r="D2864">
        <v>0.06455776708538701</v>
      </c>
      <c r="E2864">
        <v>0.15898925152141</v>
      </c>
      <c r="F2864">
        <v>0.05940633721007801</v>
      </c>
      <c r="G2864">
        <v>-0.018729963984643</v>
      </c>
      <c r="H2864">
        <v>-0.08948605424064901</v>
      </c>
      <c r="I2864">
        <v>0.038593147432054</v>
      </c>
    </row>
    <row r="2865" spans="1:9">
      <c r="A2865" s="8" t="s">
        <v>2877</v>
      </c>
      <c r="B2865">
        <f>HYPERLINK("https://www.suredividend.com/sure-analysis-UE/","Urban Edge Properties")</f>
        <v>0</v>
      </c>
      <c r="C2865">
        <v>0.01792943898207</v>
      </c>
      <c r="D2865">
        <v>0.041518723666146</v>
      </c>
      <c r="E2865">
        <v>0.033858878263117</v>
      </c>
      <c r="F2865">
        <v>-0.028483108854051</v>
      </c>
      <c r="G2865">
        <v>0.221577500763485</v>
      </c>
      <c r="H2865">
        <v>0.05049540408260701</v>
      </c>
      <c r="I2865">
        <v>0.216948777519637</v>
      </c>
    </row>
    <row r="2866" spans="1:9">
      <c r="A2866" s="8" t="s">
        <v>2878</v>
      </c>
      <c r="B2866">
        <f>HYPERLINK("https://www.suredividend.com/sure-analysis-research-database/","Uranium Energy Corp")</f>
        <v>0</v>
      </c>
      <c r="C2866">
        <v>-0.160493827160493</v>
      </c>
      <c r="D2866">
        <v>-0.09734513274336201</v>
      </c>
      <c r="E2866">
        <v>-0.071320182094081</v>
      </c>
      <c r="F2866">
        <v>-0.04375</v>
      </c>
      <c r="G2866">
        <v>1.046822742474916</v>
      </c>
      <c r="H2866">
        <v>0.339168490153172</v>
      </c>
      <c r="I2866">
        <v>3.744186046511628</v>
      </c>
    </row>
    <row r="2867" spans="1:9">
      <c r="A2867" s="8" t="s">
        <v>2879</v>
      </c>
      <c r="B2867">
        <f>HYPERLINK("https://www.suredividend.com/sure-analysis-research-database/","Universal Electronics Inc.")</f>
        <v>0</v>
      </c>
      <c r="C2867">
        <v>-0.098461538461538</v>
      </c>
      <c r="D2867">
        <v>0.385342789598108</v>
      </c>
      <c r="E2867">
        <v>0.5441370223978921</v>
      </c>
      <c r="F2867">
        <v>0.248136315228967</v>
      </c>
      <c r="G2867">
        <v>0.246808510638297</v>
      </c>
      <c r="H2867">
        <v>-0.573508005822416</v>
      </c>
      <c r="I2867">
        <v>-0.679956308028399</v>
      </c>
    </row>
    <row r="2868" spans="1:9">
      <c r="A2868" s="8" t="s">
        <v>2880</v>
      </c>
      <c r="B2868">
        <f>HYPERLINK("https://www.suredividend.com/sure-analysis-research-database/","Unique Fabricating Inc")</f>
        <v>0</v>
      </c>
      <c r="C2868">
        <v>-0.219375873311597</v>
      </c>
      <c r="D2868">
        <v>-0.301375573155481</v>
      </c>
      <c r="E2868">
        <v>-0.068888888888888</v>
      </c>
      <c r="F2868">
        <v>-0.6961015412511331</v>
      </c>
      <c r="G2868">
        <v>-0.7990407673860911</v>
      </c>
      <c r="H2868">
        <v>-0.945935483870967</v>
      </c>
      <c r="I2868">
        <v>-0.9743015731853171</v>
      </c>
    </row>
    <row r="2869" spans="1:9">
      <c r="A2869" s="8" t="s">
        <v>2881</v>
      </c>
      <c r="B2869">
        <f>HYPERLINK("https://www.suredividend.com/sure-analysis-research-database/","United Fire Group Inc")</f>
        <v>0</v>
      </c>
      <c r="C2869">
        <v>-0.07403391594743401</v>
      </c>
      <c r="D2869">
        <v>-0.032246366957672</v>
      </c>
      <c r="E2869">
        <v>0.03558332201548201</v>
      </c>
      <c r="F2869">
        <v>0.09168631020253701</v>
      </c>
      <c r="G2869">
        <v>-0.039175536104048</v>
      </c>
      <c r="H2869">
        <v>-0.292416092479725</v>
      </c>
      <c r="I2869">
        <v>-0.463748386221724</v>
      </c>
    </row>
    <row r="2870" spans="1:9">
      <c r="A2870" s="8" t="s">
        <v>2882</v>
      </c>
      <c r="B2870">
        <f>HYPERLINK("https://www.suredividend.com/sure-analysis-research-database/","UNIFI, Inc.")</f>
        <v>0</v>
      </c>
      <c r="C2870">
        <v>0.104882459312839</v>
      </c>
      <c r="D2870">
        <v>0.044444444444444</v>
      </c>
      <c r="E2870">
        <v>-0.03930817610062801</v>
      </c>
      <c r="F2870">
        <v>-0.08258258258258201</v>
      </c>
      <c r="G2870">
        <v>-0.217669654289372</v>
      </c>
      <c r="H2870">
        <v>-0.616206030150753</v>
      </c>
      <c r="I2870">
        <v>-0.6639163916391631</v>
      </c>
    </row>
    <row r="2871" spans="1:9">
      <c r="A2871" s="8" t="s">
        <v>2883</v>
      </c>
      <c r="B2871">
        <f>HYPERLINK("https://www.suredividend.com/sure-analysis-research-database/","UFP Industries Inc")</f>
        <v>0</v>
      </c>
      <c r="C2871">
        <v>-0.020427276193886</v>
      </c>
      <c r="D2871">
        <v>-0.005789658989347001</v>
      </c>
      <c r="E2871">
        <v>0.009145268146214001</v>
      </c>
      <c r="F2871">
        <v>-0.08320886564417801</v>
      </c>
      <c r="G2871">
        <v>0.289724477225256</v>
      </c>
      <c r="H2871">
        <v>0.451565790497473</v>
      </c>
      <c r="I2871">
        <v>2.393499867301631</v>
      </c>
    </row>
    <row r="2872" spans="1:9">
      <c r="A2872" s="8" t="s">
        <v>2884</v>
      </c>
      <c r="B2872">
        <f>HYPERLINK("https://www.suredividend.com/sure-analysis-research-database/","UFP Technologies Inc.")</f>
        <v>0</v>
      </c>
      <c r="C2872">
        <v>-0.023948782801138</v>
      </c>
      <c r="D2872">
        <v>0.196144905075552</v>
      </c>
      <c r="E2872">
        <v>0.429447852760736</v>
      </c>
      <c r="F2872">
        <v>0.435596372936526</v>
      </c>
      <c r="G2872">
        <v>0.4702940826288841</v>
      </c>
      <c r="H2872">
        <v>2.183142157494522</v>
      </c>
      <c r="I2872">
        <v>5.282879674383108</v>
      </c>
    </row>
    <row r="2873" spans="1:9">
      <c r="A2873" s="8" t="s">
        <v>2885</v>
      </c>
      <c r="B2873">
        <f>HYPERLINK("https://www.suredividend.com/sure-analysis-research-database/","Domtar Corporation")</f>
        <v>0</v>
      </c>
      <c r="C2873">
        <v>0.016486535995603</v>
      </c>
      <c r="D2873">
        <v>0.010746812386156</v>
      </c>
      <c r="E2873">
        <v>0.023234372118753</v>
      </c>
      <c r="F2873">
        <v>0.7532385466034751</v>
      </c>
      <c r="G2873">
        <v>0.79405108309085</v>
      </c>
      <c r="H2873">
        <v>0.537046731871352</v>
      </c>
      <c r="I2873">
        <v>0.6764046573173901</v>
      </c>
    </row>
    <row r="2874" spans="1:9">
      <c r="A2874" s="8" t="s">
        <v>2886</v>
      </c>
      <c r="B2874">
        <f>HYPERLINK("https://www.suredividend.com/sure-analysis-research-database/","United-Guardian, Inc.")</f>
        <v>0</v>
      </c>
      <c r="C2874">
        <v>0.114465408805031</v>
      </c>
      <c r="D2874">
        <v>0.07524271844660101</v>
      </c>
      <c r="E2874">
        <v>0.166403370194839</v>
      </c>
      <c r="F2874">
        <v>0.305725443961388</v>
      </c>
      <c r="G2874">
        <v>0.079342648653258</v>
      </c>
      <c r="H2874">
        <v>-0.5045823338309871</v>
      </c>
      <c r="I2874">
        <v>-0.396831664295293</v>
      </c>
    </row>
    <row r="2875" spans="1:9">
      <c r="A2875" s="8" t="s">
        <v>2887</v>
      </c>
      <c r="B2875">
        <f>HYPERLINK("https://www.suredividend.com/sure-analysis-UGI/","UGI Corp.")</f>
        <v>0</v>
      </c>
      <c r="C2875">
        <v>-0.05295315682281</v>
      </c>
      <c r="D2875">
        <v>-0.052300769164924</v>
      </c>
      <c r="E2875">
        <v>0.05029204895038501</v>
      </c>
      <c r="F2875">
        <v>-0.040742650850954</v>
      </c>
      <c r="G2875">
        <v>-0.167048809148491</v>
      </c>
      <c r="H2875">
        <v>-0.424108668836476</v>
      </c>
      <c r="I2875">
        <v>-0.4711185217705811</v>
      </c>
    </row>
    <row r="2876" spans="1:9">
      <c r="A2876" s="8" t="s">
        <v>2888</v>
      </c>
      <c r="B2876">
        <f>HYPERLINK("https://www.suredividend.com/sure-analysis-research-database/","U-Haul Holding Company")</f>
        <v>0</v>
      </c>
      <c r="C2876">
        <v>-0.08087912087912001</v>
      </c>
      <c r="D2876">
        <v>-0.06735057983942901</v>
      </c>
      <c r="E2876">
        <v>0.05801990217574601</v>
      </c>
      <c r="F2876">
        <v>-0.126323119777158</v>
      </c>
      <c r="G2876">
        <v>0.113813920454545</v>
      </c>
      <c r="H2876">
        <v>-0.874872463863514</v>
      </c>
      <c r="I2876">
        <v>-0.8381985120866201</v>
      </c>
    </row>
    <row r="2877" spans="1:9">
      <c r="A2877" s="8" t="s">
        <v>2889</v>
      </c>
      <c r="B2877">
        <f>HYPERLINK("https://www.suredividend.com/sure-analysis-research-database/","Universal Health Services, Inc.")</f>
        <v>0</v>
      </c>
      <c r="C2877">
        <v>0.107538680875541</v>
      </c>
      <c r="D2877">
        <v>0.056609429195392</v>
      </c>
      <c r="E2877">
        <v>0.399033888505511</v>
      </c>
      <c r="F2877">
        <v>0.233011004588697</v>
      </c>
      <c r="G2877">
        <v>0.371131013092755</v>
      </c>
      <c r="H2877">
        <v>0.5517583781547371</v>
      </c>
      <c r="I2877">
        <v>0.553843884800286</v>
      </c>
    </row>
    <row r="2878" spans="1:9">
      <c r="A2878" s="8" t="s">
        <v>2890</v>
      </c>
      <c r="B2878">
        <f>HYPERLINK("https://www.suredividend.com/sure-analysis-UHT/","Universal Health Realty Income Trust")</f>
        <v>0</v>
      </c>
      <c r="C2878">
        <v>0.064056939501779</v>
      </c>
      <c r="D2878">
        <v>0.038852051111413</v>
      </c>
      <c r="E2878">
        <v>-0.040208995910949</v>
      </c>
      <c r="F2878">
        <v>-0.08340820287168901</v>
      </c>
      <c r="G2878">
        <v>-0.142864073281042</v>
      </c>
      <c r="H2878">
        <v>-0.166512992276253</v>
      </c>
      <c r="I2878">
        <v>-0.410202719106579</v>
      </c>
    </row>
    <row r="2879" spans="1:9">
      <c r="A2879" s="8" t="s">
        <v>2891</v>
      </c>
      <c r="B2879">
        <f>HYPERLINK("https://www.suredividend.com/sure-analysis-research-database/","Ubiquiti Inc")</f>
        <v>0</v>
      </c>
      <c r="C2879">
        <v>0.27929811672624</v>
      </c>
      <c r="D2879">
        <v>0.221924125663864</v>
      </c>
      <c r="E2879">
        <v>0.216130007051002</v>
      </c>
      <c r="F2879">
        <v>0.04742625795257301</v>
      </c>
      <c r="G2879">
        <v>-0.13397866507904</v>
      </c>
      <c r="H2879">
        <v>-0.4580391851734361</v>
      </c>
      <c r="I2879">
        <v>0.12782979173916</v>
      </c>
    </row>
    <row r="2880" spans="1:9">
      <c r="A2880" s="8" t="s">
        <v>2892</v>
      </c>
      <c r="B2880">
        <f>HYPERLINK("https://www.suredividend.com/sure-analysis-research-database/","American Coastal Insurance Corp")</f>
        <v>0</v>
      </c>
      <c r="C2880">
        <v>0.910843373493975</v>
      </c>
      <c r="D2880">
        <v>0.8791469194312791</v>
      </c>
      <c r="E2880">
        <v>4.251655629139073</v>
      </c>
      <c r="F2880">
        <v>6.481132075471698</v>
      </c>
      <c r="G2880">
        <v>6.209090909090908</v>
      </c>
      <c r="H2880">
        <v>0.9946173000980961</v>
      </c>
      <c r="I2880">
        <v>-0.5780972344885561</v>
      </c>
    </row>
    <row r="2881" spans="1:9">
      <c r="A2881" s="8" t="s">
        <v>2893</v>
      </c>
      <c r="B2881">
        <f>HYPERLINK("https://www.suredividend.com/sure-analysis-research-database/","Unisys Corp.")</f>
        <v>0</v>
      </c>
      <c r="C2881">
        <v>-0.225325884543761</v>
      </c>
      <c r="D2881">
        <v>-0.215094339622641</v>
      </c>
      <c r="E2881">
        <v>-0.222429906542056</v>
      </c>
      <c r="F2881">
        <v>-0.259786476868327</v>
      </c>
      <c r="G2881">
        <v>-0.016548463356974</v>
      </c>
      <c r="H2881">
        <v>-0.673212882953652</v>
      </c>
      <c r="I2881">
        <v>-0.56935817805383</v>
      </c>
    </row>
    <row r="2882" spans="1:9">
      <c r="A2882" s="8" t="s">
        <v>2894</v>
      </c>
      <c r="B2882">
        <f>HYPERLINK("https://www.suredividend.com/sure-analysis-research-database/","Ultralife Corp")</f>
        <v>0</v>
      </c>
      <c r="C2882">
        <v>-0.138339920948616</v>
      </c>
      <c r="D2882">
        <v>0.117948717948717</v>
      </c>
      <c r="E2882">
        <v>0.5728715728715731</v>
      </c>
      <c r="F2882">
        <v>0.5982404692082111</v>
      </c>
      <c r="G2882">
        <v>1.314225053078556</v>
      </c>
      <c r="H2882">
        <v>1.104247104247104</v>
      </c>
      <c r="I2882">
        <v>0.3797468354430381</v>
      </c>
    </row>
    <row r="2883" spans="1:9">
      <c r="A2883" s="8" t="s">
        <v>2895</v>
      </c>
      <c r="B2883">
        <f>HYPERLINK("https://www.suredividend.com/sure-analysis-research-database/","Universal Logistics Holdings Inc")</f>
        <v>0</v>
      </c>
      <c r="C2883">
        <v>-0.115793598101851</v>
      </c>
      <c r="D2883">
        <v>0.103759357634878</v>
      </c>
      <c r="E2883">
        <v>0.5469335526917091</v>
      </c>
      <c r="F2883">
        <v>0.462460981238591</v>
      </c>
      <c r="G2883">
        <v>0.4118530310350451</v>
      </c>
      <c r="H2883">
        <v>0.423659667532358</v>
      </c>
      <c r="I2883">
        <v>1.361971216746619</v>
      </c>
    </row>
    <row r="2884" spans="1:9">
      <c r="A2884" s="8" t="s">
        <v>2896</v>
      </c>
      <c r="B2884">
        <f>HYPERLINK("https://www.suredividend.com/sure-analysis-research-database/","Ulta Beauty Inc")</f>
        <v>0</v>
      </c>
      <c r="C2884">
        <v>-0.028094596997485</v>
      </c>
      <c r="D2884">
        <v>-0.302214035599649</v>
      </c>
      <c r="E2884">
        <v>-0.218924160457282</v>
      </c>
      <c r="F2884">
        <v>-0.219147329537337</v>
      </c>
      <c r="G2884">
        <v>-0.079268439417639</v>
      </c>
      <c r="H2884">
        <v>-0.09123082038858001</v>
      </c>
      <c r="I2884">
        <v>0.131446652472202</v>
      </c>
    </row>
    <row r="2885" spans="1:9">
      <c r="A2885" s="8" t="s">
        <v>2897</v>
      </c>
      <c r="B2885">
        <f>HYPERLINK("https://www.suredividend.com/sure-analysis-UMBF/","UMB Financial Corp.")</f>
        <v>0</v>
      </c>
      <c r="C2885">
        <v>-0.016178080525483</v>
      </c>
      <c r="D2885">
        <v>-0.029401176047041</v>
      </c>
      <c r="E2885">
        <v>0.076544038078352</v>
      </c>
      <c r="F2885">
        <v>-0.027426383584573</v>
      </c>
      <c r="G2885">
        <v>0.250504422685337</v>
      </c>
      <c r="H2885">
        <v>-0.07644664903602401</v>
      </c>
      <c r="I2885">
        <v>0.4354016036460051</v>
      </c>
    </row>
    <row r="2886" spans="1:9">
      <c r="A2886" s="8" t="s">
        <v>2898</v>
      </c>
      <c r="B2886">
        <f>HYPERLINK("https://www.suredividend.com/sure-analysis-UMH/","UMH Properties Inc")</f>
        <v>0</v>
      </c>
      <c r="C2886">
        <v>-0.018362174050449</v>
      </c>
      <c r="D2886">
        <v>-0.043909793328726</v>
      </c>
      <c r="E2886">
        <v>0.05918786318243401</v>
      </c>
      <c r="F2886">
        <v>0.021853704387525</v>
      </c>
      <c r="G2886">
        <v>-0.018134196927959</v>
      </c>
      <c r="H2886">
        <v>-0.146736632020361</v>
      </c>
      <c r="I2886">
        <v>0.408085854380608</v>
      </c>
    </row>
    <row r="2887" spans="1:9">
      <c r="A2887" s="8" t="s">
        <v>2899</v>
      </c>
      <c r="B2887">
        <f>HYPERLINK("https://www.suredividend.com/sure-analysis-research-database/","Umpqua Holdings Corp")</f>
        <v>0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</row>
    <row r="2888" spans="1:9">
      <c r="A2888" s="8" t="s">
        <v>2900</v>
      </c>
      <c r="B2888">
        <f>HYPERLINK("https://www.suredividend.com/sure-analysis-research-database/","Unico American Corp.")</f>
        <v>0</v>
      </c>
      <c r="C2888">
        <v>1.5</v>
      </c>
      <c r="D2888">
        <v>4</v>
      </c>
      <c r="E2888">
        <v>4</v>
      </c>
      <c r="F2888">
        <v>14.625</v>
      </c>
      <c r="G2888">
        <v>-0.9425287356321841</v>
      </c>
      <c r="H2888">
        <v>-0.9425287356321841</v>
      </c>
      <c r="I2888">
        <v>-0.9425287356321841</v>
      </c>
    </row>
    <row r="2889" spans="1:9">
      <c r="A2889" s="8" t="s">
        <v>2901</v>
      </c>
      <c r="B2889">
        <f>HYPERLINK("https://www.suredividend.com/sure-analysis-research-database/","Union Bankshares, Inc.")</f>
        <v>0</v>
      </c>
      <c r="C2889">
        <v>-0.07058823529411701</v>
      </c>
      <c r="D2889">
        <v>-0.18919473695014</v>
      </c>
      <c r="E2889">
        <v>-0.153553290427652</v>
      </c>
      <c r="F2889">
        <v>-0.185312245410076</v>
      </c>
      <c r="G2889">
        <v>0.157316977888897</v>
      </c>
      <c r="H2889">
        <v>0.007713044143784001</v>
      </c>
      <c r="I2889">
        <v>-0.026546128159104</v>
      </c>
    </row>
    <row r="2890" spans="1:9">
      <c r="A2890" s="8" t="s">
        <v>2902</v>
      </c>
      <c r="B2890">
        <f>HYPERLINK("https://www.suredividend.com/sure-analysis-UNF/","Unifirst Corp.")</f>
        <v>0</v>
      </c>
      <c r="C2890">
        <v>-0.055600629394699</v>
      </c>
      <c r="D2890">
        <v>-0.08674469209358</v>
      </c>
      <c r="E2890">
        <v>-0.136008996977577</v>
      </c>
      <c r="F2890">
        <v>-0.156556599086896</v>
      </c>
      <c r="G2890">
        <v>-0.143238863778046</v>
      </c>
      <c r="H2890">
        <v>-0.106848579299232</v>
      </c>
      <c r="I2890">
        <v>-0.011880584498518</v>
      </c>
    </row>
    <row r="2891" spans="1:9">
      <c r="A2891" s="8" t="s">
        <v>2903</v>
      </c>
      <c r="B2891">
        <f>HYPERLINK("https://www.suredividend.com/sure-analysis-research-database/","United Natural Foods Inc.")</f>
        <v>0</v>
      </c>
      <c r="C2891">
        <v>0.522774327122153</v>
      </c>
      <c r="D2891">
        <v>0.229933110367893</v>
      </c>
      <c r="E2891">
        <v>-0.06484424666242801</v>
      </c>
      <c r="F2891">
        <v>-0.09365372766481801</v>
      </c>
      <c r="G2891">
        <v>-0.372975277067348</v>
      </c>
      <c r="H2891">
        <v>-0.6616057050839651</v>
      </c>
      <c r="I2891">
        <v>0.4365234375</v>
      </c>
    </row>
    <row r="2892" spans="1:9">
      <c r="A2892" s="8" t="s">
        <v>2904</v>
      </c>
      <c r="B2892">
        <f>HYPERLINK("https://www.suredividend.com/sure-analysis-UNH/","Unitedhealth Group Inc")</f>
        <v>0</v>
      </c>
      <c r="C2892">
        <v>-0.020500638773554</v>
      </c>
      <c r="D2892">
        <v>0.028915915286223</v>
      </c>
      <c r="E2892">
        <v>-0.101493068061776</v>
      </c>
      <c r="F2892">
        <v>-0.064287807824025</v>
      </c>
      <c r="G2892">
        <v>0.033468681806684</v>
      </c>
      <c r="H2892">
        <v>0.015792615925269</v>
      </c>
      <c r="I2892">
        <v>1.14299627293603</v>
      </c>
    </row>
    <row r="2893" spans="1:9">
      <c r="A2893" s="8" t="s">
        <v>2905</v>
      </c>
      <c r="B2893">
        <f>HYPERLINK("https://www.suredividend.com/sure-analysis-UNIT/","Uniti Group Inc")</f>
        <v>0</v>
      </c>
      <c r="C2893">
        <v>-0.159793814432989</v>
      </c>
      <c r="D2893">
        <v>-0.489396359991228</v>
      </c>
      <c r="E2893">
        <v>-0.388963862648073</v>
      </c>
      <c r="F2893">
        <v>-0.421370252041178</v>
      </c>
      <c r="G2893">
        <v>-0.129366520670868</v>
      </c>
      <c r="H2893">
        <v>-0.633271086912502</v>
      </c>
      <c r="I2893">
        <v>-0.532676787224587</v>
      </c>
    </row>
    <row r="2894" spans="1:9">
      <c r="A2894" s="8" t="s">
        <v>2906</v>
      </c>
      <c r="B2894">
        <f>HYPERLINK("https://www.suredividend.com/sure-analysis-UNM/","Unum Group")</f>
        <v>0</v>
      </c>
      <c r="C2894">
        <v>-0.013531541833428</v>
      </c>
      <c r="D2894">
        <v>0.014323199899665</v>
      </c>
      <c r="E2894">
        <v>0.232307600738051</v>
      </c>
      <c r="F2894">
        <v>0.161725890147774</v>
      </c>
      <c r="G2894">
        <v>0.167259016038535</v>
      </c>
      <c r="H2894">
        <v>0.485209596474061</v>
      </c>
      <c r="I2894">
        <v>0.9053719266858821</v>
      </c>
    </row>
    <row r="2895" spans="1:9">
      <c r="A2895" s="8" t="s">
        <v>2907</v>
      </c>
      <c r="B2895">
        <f>HYPERLINK("https://www.suredividend.com/sure-analysis-UNP/","Union Pacific Corp.")</f>
        <v>0</v>
      </c>
      <c r="C2895">
        <v>-0.05408797724533201</v>
      </c>
      <c r="D2895">
        <v>-0.07938409152126301</v>
      </c>
      <c r="E2895">
        <v>-0.004479992873234</v>
      </c>
      <c r="F2895">
        <v>-0.06174991850966501</v>
      </c>
      <c r="G2895">
        <v>0.157065397516956</v>
      </c>
      <c r="H2895">
        <v>0.045062803704043</v>
      </c>
      <c r="I2895">
        <v>0.479832679005421</v>
      </c>
    </row>
    <row r="2896" spans="1:9">
      <c r="A2896" s="8" t="s">
        <v>2908</v>
      </c>
      <c r="B2896">
        <f>HYPERLINK("https://www.suredividend.com/sure-analysis-research-database/","Unity Bancorp, Inc.")</f>
        <v>0</v>
      </c>
      <c r="C2896">
        <v>-0.020524647087094</v>
      </c>
      <c r="D2896">
        <v>-0.030565399039046</v>
      </c>
      <c r="E2896">
        <v>-0.019490836397813</v>
      </c>
      <c r="F2896">
        <v>-0.09478113260819401</v>
      </c>
      <c r="G2896">
        <v>0.133438816291512</v>
      </c>
      <c r="H2896">
        <v>-0.01928600738613</v>
      </c>
      <c r="I2896">
        <v>0.477871280728086</v>
      </c>
    </row>
    <row r="2897" spans="1:9">
      <c r="A2897" s="8" t="s">
        <v>2909</v>
      </c>
      <c r="B2897">
        <f>HYPERLINK("https://www.suredividend.com/sure-analysis-research-database/","Univar Solutions Inc")</f>
        <v>0</v>
      </c>
      <c r="C2897">
        <v>0.008370535714285001</v>
      </c>
      <c r="D2897">
        <v>0.018028169014084</v>
      </c>
      <c r="E2897">
        <v>0.04814385150812001</v>
      </c>
      <c r="F2897">
        <v>0.136477987421383</v>
      </c>
      <c r="G2897">
        <v>0.336538461538461</v>
      </c>
      <c r="H2897">
        <v>0.472697636511817</v>
      </c>
      <c r="I2897">
        <v>0.314659876318661</v>
      </c>
    </row>
    <row r="2898" spans="1:9">
      <c r="A2898" s="8" t="s">
        <v>2910</v>
      </c>
      <c r="B2898">
        <f>HYPERLINK("https://www.suredividend.com/sure-analysis-research-database/","Urban One Inc")</f>
        <v>0</v>
      </c>
      <c r="C2898">
        <v>0.06</v>
      </c>
      <c r="D2898">
        <v>-0.138211382113821</v>
      </c>
      <c r="E2898">
        <v>-0.446475195822454</v>
      </c>
      <c r="F2898">
        <v>-0.47394540942928</v>
      </c>
      <c r="G2898">
        <v>-0.673343605546995</v>
      </c>
      <c r="H2898">
        <v>-0.698863636363636</v>
      </c>
      <c r="I2898">
        <v>0.08717948717948701</v>
      </c>
    </row>
    <row r="2899" spans="1:9">
      <c r="A2899" s="8" t="s">
        <v>2911</v>
      </c>
      <c r="B2899">
        <f>HYPERLINK("https://www.suredividend.com/sure-analysis-research-database/","Urban One Inc")</f>
        <v>0</v>
      </c>
      <c r="C2899">
        <v>-0.024539877300613</v>
      </c>
      <c r="D2899">
        <v>-0.286995515695067</v>
      </c>
      <c r="E2899">
        <v>-0.588082901554404</v>
      </c>
      <c r="F2899">
        <v>-0.549575070821529</v>
      </c>
      <c r="G2899">
        <v>-0.730964467005076</v>
      </c>
      <c r="H2899">
        <v>-0.6971428571428571</v>
      </c>
      <c r="I2899">
        <v>-0.149414219226448</v>
      </c>
    </row>
    <row r="2900" spans="1:9">
      <c r="A2900" s="8" t="s">
        <v>2912</v>
      </c>
      <c r="B2900">
        <f>HYPERLINK("https://www.suredividend.com/sure-analysis-research-database/","Upland Software Inc")</f>
        <v>0</v>
      </c>
      <c r="C2900">
        <v>-0.25</v>
      </c>
      <c r="D2900">
        <v>-0.045454545454545</v>
      </c>
      <c r="E2900">
        <v>-0.4437086092715231</v>
      </c>
      <c r="F2900">
        <v>-0.404255319148936</v>
      </c>
      <c r="G2900">
        <v>-0.263157894736842</v>
      </c>
      <c r="H2900">
        <v>-0.824756606397774</v>
      </c>
      <c r="I2900">
        <v>-0.9484240687679081</v>
      </c>
    </row>
    <row r="2901" spans="1:9">
      <c r="A2901" s="8" t="s">
        <v>2913</v>
      </c>
      <c r="B2901">
        <f>HYPERLINK("https://www.suredividend.com/sure-analysis-UPS/","United Parcel Service, Inc.")</f>
        <v>0</v>
      </c>
      <c r="C2901">
        <v>-0.053830083996296</v>
      </c>
      <c r="D2901">
        <v>-0.09280910829146301</v>
      </c>
      <c r="E2901">
        <v>-0.10074833105319</v>
      </c>
      <c r="F2901">
        <v>-0.104923700012876</v>
      </c>
      <c r="G2901">
        <v>-0.162266190465756</v>
      </c>
      <c r="H2901">
        <v>-0.190724255929632</v>
      </c>
      <c r="I2901">
        <v>0.665640062491755</v>
      </c>
    </row>
    <row r="2902" spans="1:9">
      <c r="A2902" s="8" t="s">
        <v>2914</v>
      </c>
      <c r="B2902">
        <f>HYPERLINK("https://www.suredividend.com/sure-analysis-research-database/","Upwork Inc")</f>
        <v>0</v>
      </c>
      <c r="C2902">
        <v>-0.131983805668016</v>
      </c>
      <c r="D2902">
        <v>-0.168992248062015</v>
      </c>
      <c r="E2902">
        <v>-0.220363636363636</v>
      </c>
      <c r="F2902">
        <v>-0.279085406859448</v>
      </c>
      <c r="G2902">
        <v>0.176728869374314</v>
      </c>
      <c r="H2902">
        <v>-0.434599156118143</v>
      </c>
      <c r="I2902">
        <v>-0.255038220986796</v>
      </c>
    </row>
    <row r="2903" spans="1:9">
      <c r="A2903" s="8" t="s">
        <v>2915</v>
      </c>
      <c r="B2903">
        <f>HYPERLINK("https://www.suredividend.com/sure-analysis-research-database/","Urban Outfitters, Inc.")</f>
        <v>0</v>
      </c>
      <c r="C2903">
        <v>0.009507557289127</v>
      </c>
      <c r="D2903">
        <v>-0.012637100619933</v>
      </c>
      <c r="E2903">
        <v>0.150277777777777</v>
      </c>
      <c r="F2903">
        <v>0.160268982908377</v>
      </c>
      <c r="G2903">
        <v>0.289227895392278</v>
      </c>
      <c r="H2903">
        <v>0.8831286948613001</v>
      </c>
      <c r="I2903">
        <v>0.774967852550364</v>
      </c>
    </row>
    <row r="2904" spans="1:9">
      <c r="A2904" s="8" t="s">
        <v>2916</v>
      </c>
      <c r="B2904">
        <f>HYPERLINK("https://www.suredividend.com/sure-analysis-research-database/","United Rentals, Inc.")</f>
        <v>0</v>
      </c>
      <c r="C2904">
        <v>-0.045782846634137</v>
      </c>
      <c r="D2904">
        <v>-0.05055590586248501</v>
      </c>
      <c r="E2904">
        <v>0.33574351233279</v>
      </c>
      <c r="F2904">
        <v>0.127492324938591</v>
      </c>
      <c r="G2904">
        <v>0.679083638929687</v>
      </c>
      <c r="H2904">
        <v>1.0969368881965</v>
      </c>
      <c r="I2904">
        <v>4.364232557906865</v>
      </c>
    </row>
    <row r="2905" spans="1:9">
      <c r="A2905" s="8" t="s">
        <v>2917</v>
      </c>
      <c r="B2905">
        <f>HYPERLINK("https://www.suredividend.com/sure-analysis-research-database/","Urovant Sciences Ltd")</f>
        <v>0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</row>
    <row r="2906" spans="1:9">
      <c r="A2906" s="8" t="s">
        <v>2918</v>
      </c>
      <c r="B2906">
        <f>HYPERLINK("https://www.suredividend.com/sure-analysis-research-database/","USA Truck, Inc.")</f>
        <v>0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</row>
    <row r="2907" spans="1:9">
      <c r="A2907" s="8" t="s">
        <v>2919</v>
      </c>
      <c r="B2907">
        <f>HYPERLINK("https://www.suredividend.com/sure-analysis-research-database/","Universal Stainless &amp; Alloy Products, Inc.")</f>
        <v>0</v>
      </c>
      <c r="C2907">
        <v>0.029352901934623</v>
      </c>
      <c r="D2907">
        <v>0.480806142034548</v>
      </c>
      <c r="E2907">
        <v>0.82711663706335</v>
      </c>
      <c r="F2907">
        <v>0.536852589641434</v>
      </c>
      <c r="G2907">
        <v>1.546204620462046</v>
      </c>
      <c r="H2907">
        <v>2.91128010139417</v>
      </c>
      <c r="I2907">
        <v>1.302985074626865</v>
      </c>
    </row>
    <row r="2908" spans="1:9">
      <c r="A2908" s="8" t="s">
        <v>2920</v>
      </c>
      <c r="B2908">
        <f>HYPERLINK("https://www.suredividend.com/sure-analysis-research-database/","Cantaloupe Inc")</f>
        <v>0</v>
      </c>
      <c r="C2908">
        <v>0.08571428571428501</v>
      </c>
      <c r="D2908">
        <v>0.173745173745173</v>
      </c>
      <c r="E2908">
        <v>1.788990825688073</v>
      </c>
      <c r="F2908">
        <v>0.16030534351145</v>
      </c>
      <c r="G2908">
        <v>1.788990825688073</v>
      </c>
      <c r="H2908">
        <v>1.398422090729782</v>
      </c>
      <c r="I2908">
        <v>1.776255707762557</v>
      </c>
    </row>
    <row r="2909" spans="1:9">
      <c r="A2909" s="8" t="s">
        <v>2921</v>
      </c>
      <c r="B2909">
        <f>HYPERLINK("https://www.suredividend.com/sure-analysis-USB/","U.S. Bancorp.")</f>
        <v>0</v>
      </c>
      <c r="C2909">
        <v>-0.061568061568061</v>
      </c>
      <c r="D2909">
        <v>-0.08942618914825601</v>
      </c>
      <c r="E2909">
        <v>0.004512842163795001</v>
      </c>
      <c r="F2909">
        <v>-0.08816436409863301</v>
      </c>
      <c r="G2909">
        <v>0.236253726661829</v>
      </c>
      <c r="H2909">
        <v>-0.180878487879016</v>
      </c>
      <c r="I2909">
        <v>-0.09209785426099701</v>
      </c>
    </row>
    <row r="2910" spans="1:9">
      <c r="A2910" s="8" t="s">
        <v>2922</v>
      </c>
      <c r="B2910">
        <f>HYPERLINK("https://www.suredividend.com/sure-analysis-research-database/","U.S. Concrete, Inc.")</f>
        <v>0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</row>
    <row r="2911" spans="1:9">
      <c r="A2911" s="8" t="s">
        <v>2923</v>
      </c>
      <c r="B2911">
        <f>HYPERLINK("https://www.suredividend.com/sure-analysis-research-database/","ProShares Trust")</f>
        <v>0</v>
      </c>
      <c r="C2911">
        <v>0.42248228473266</v>
      </c>
      <c r="D2911">
        <v>0.224604861817173</v>
      </c>
      <c r="E2911">
        <v>1.980940788422727</v>
      </c>
      <c r="F2911">
        <v>1.434582873943403</v>
      </c>
      <c r="G2911">
        <v>2.606799261707329</v>
      </c>
      <c r="H2911">
        <v>3.715349353681453</v>
      </c>
      <c r="I2911">
        <v>13.52406792295634</v>
      </c>
    </row>
    <row r="2912" spans="1:9">
      <c r="A2912" s="8" t="s">
        <v>2924</v>
      </c>
      <c r="B2912">
        <f>HYPERLINK("https://www.suredividend.com/sure-analysis-research-database/","U.S. Energy Corp.")</f>
        <v>0</v>
      </c>
      <c r="C2912">
        <v>-0.103448275862068</v>
      </c>
      <c r="D2912">
        <v>0.029702970297029</v>
      </c>
      <c r="E2912">
        <v>-0.04587155963302701</v>
      </c>
      <c r="F2912">
        <v>0.03989601039896001</v>
      </c>
      <c r="G2912">
        <v>-0.341772151898734</v>
      </c>
      <c r="H2912">
        <v>-0.7732722912579021</v>
      </c>
      <c r="I2912">
        <v>-0.70058156273392</v>
      </c>
    </row>
    <row r="2913" spans="1:9">
      <c r="A2913" s="8" t="s">
        <v>2925</v>
      </c>
      <c r="B2913">
        <f>HYPERLINK("https://www.suredividend.com/sure-analysis-research-database/","US Foods Holding Corp")</f>
        <v>0</v>
      </c>
      <c r="C2913">
        <v>0.025527831094049</v>
      </c>
      <c r="D2913">
        <v>-0.014933628318584</v>
      </c>
      <c r="E2913">
        <v>0.195569478630566</v>
      </c>
      <c r="F2913">
        <v>0.176613080819202</v>
      </c>
      <c r="G2913">
        <v>0.286849710982658</v>
      </c>
      <c r="H2913">
        <v>0.6399631675874771</v>
      </c>
      <c r="I2913">
        <v>0.492458100558659</v>
      </c>
    </row>
    <row r="2914" spans="1:9">
      <c r="A2914" s="8" t="s">
        <v>2926</v>
      </c>
      <c r="B2914">
        <f>HYPERLINK("https://www.suredividend.com/sure-analysis-research-database/","Usio Inc")</f>
        <v>0</v>
      </c>
      <c r="C2914">
        <v>-0.028807947019867</v>
      </c>
      <c r="D2914">
        <v>-0.196438356164383</v>
      </c>
      <c r="E2914">
        <v>-0.147383720930232</v>
      </c>
      <c r="F2914">
        <v>-0.147383720930232</v>
      </c>
      <c r="G2914">
        <v>-0.294951923076923</v>
      </c>
      <c r="H2914">
        <v>-0.424901960784313</v>
      </c>
      <c r="I2914">
        <v>-0.535005390322785</v>
      </c>
    </row>
    <row r="2915" spans="1:9">
      <c r="A2915" s="8" t="s">
        <v>2927</v>
      </c>
      <c r="B2915">
        <f>HYPERLINK("https://www.suredividend.com/sure-analysis-research-database/","United States Lime &amp; Minerals Inc.")</f>
        <v>0</v>
      </c>
      <c r="C2915">
        <v>-0.131051007825685</v>
      </c>
      <c r="D2915">
        <v>0.141547098681316</v>
      </c>
      <c r="E2915">
        <v>0.49543133466586</v>
      </c>
      <c r="F2915">
        <v>0.405258011050927</v>
      </c>
      <c r="G2915">
        <v>0.70115269824195</v>
      </c>
      <c r="H2915">
        <v>1.673569444352363</v>
      </c>
      <c r="I2915">
        <v>3.387616045174996</v>
      </c>
    </row>
    <row r="2916" spans="1:9">
      <c r="A2916" s="8" t="s">
        <v>2928</v>
      </c>
      <c r="B2916">
        <f>HYPERLINK("https://www.suredividend.com/sure-analysis-research-database/","United States Cellular Corporation")</f>
        <v>0</v>
      </c>
      <c r="C2916">
        <v>0.57191011235955</v>
      </c>
      <c r="D2916">
        <v>0.606660924490382</v>
      </c>
      <c r="E2916">
        <v>0.295070585512612</v>
      </c>
      <c r="F2916">
        <v>0.347135291285507</v>
      </c>
      <c r="G2916">
        <v>2.564331210191083</v>
      </c>
      <c r="H2916">
        <v>0.8886263921700971</v>
      </c>
      <c r="I2916">
        <v>0.225580376697328</v>
      </c>
    </row>
    <row r="2917" spans="1:9">
      <c r="A2917" s="8" t="s">
        <v>2929</v>
      </c>
      <c r="B2917">
        <f>HYPERLINK("https://www.suredividend.com/sure-analysis-research-database/","Usana Health Sciences Inc")</f>
        <v>0</v>
      </c>
      <c r="C2917">
        <v>0.061242735806884</v>
      </c>
      <c r="D2917">
        <v>-0.022240527182866</v>
      </c>
      <c r="E2917">
        <v>-0.037697608431293</v>
      </c>
      <c r="F2917">
        <v>-0.114179104477612</v>
      </c>
      <c r="G2917">
        <v>-0.258588382261086</v>
      </c>
      <c r="H2917">
        <v>-0.357423196643659</v>
      </c>
      <c r="I2917">
        <v>-0.359071274298056</v>
      </c>
    </row>
    <row r="2918" spans="1:9">
      <c r="A2918" s="8" t="s">
        <v>2930</v>
      </c>
      <c r="B2918">
        <f>HYPERLINK("https://www.suredividend.com/sure-analysis-research-database/","U.S. Physical Therapy, Inc.")</f>
        <v>0</v>
      </c>
      <c r="C2918">
        <v>-0.07827965824450801</v>
      </c>
      <c r="D2918">
        <v>-0.07140735630862301</v>
      </c>
      <c r="E2918">
        <v>0.100364555363936</v>
      </c>
      <c r="F2918">
        <v>0.049327713533101</v>
      </c>
      <c r="G2918">
        <v>-0.08030096135688801</v>
      </c>
      <c r="H2918">
        <v>-0.117500300479674</v>
      </c>
      <c r="I2918">
        <v>-0.123209350503666</v>
      </c>
    </row>
    <row r="2919" spans="1:9">
      <c r="A2919" s="8" t="s">
        <v>2931</v>
      </c>
      <c r="B2919">
        <f>HYPERLINK("https://www.suredividend.com/sure-analysis-research-database/","U.S. Well Services Inc")</f>
        <v>0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</row>
    <row r="2920" spans="1:9">
      <c r="A2920" s="8" t="s">
        <v>2932</v>
      </c>
      <c r="B2920">
        <f>HYPERLINK("https://www.suredividend.com/sure-analysis-research-database/","U.S. Xpress Enterprises Inc")</f>
        <v>0</v>
      </c>
      <c r="C2920">
        <v>0.004909983633387001</v>
      </c>
      <c r="D2920">
        <v>0.033670033670033</v>
      </c>
      <c r="E2920">
        <v>2.392265193370165</v>
      </c>
      <c r="F2920">
        <v>2.392265193370165</v>
      </c>
      <c r="G2920">
        <v>1.22463768115942</v>
      </c>
      <c r="H2920">
        <v>-0.264670658682634</v>
      </c>
      <c r="I2920">
        <v>-0.5960526315789471</v>
      </c>
    </row>
    <row r="2921" spans="1:9">
      <c r="A2921" s="8" t="s">
        <v>2933</v>
      </c>
      <c r="B2921">
        <f>HYPERLINK("https://www.suredividend.com/sure-analysis-research-database/","United Therapeutics Corp")</f>
        <v>0</v>
      </c>
      <c r="C2921">
        <v>0.03298024190519101</v>
      </c>
      <c r="D2921">
        <v>0.146024337389564</v>
      </c>
      <c r="E2921">
        <v>0.136035031189325</v>
      </c>
      <c r="F2921">
        <v>0.250625312656328</v>
      </c>
      <c r="G2921">
        <v>0.246261216350947</v>
      </c>
      <c r="H2921">
        <v>0.20286939025457</v>
      </c>
      <c r="I2921">
        <v>2.354476701634544</v>
      </c>
    </row>
    <row r="2922" spans="1:9">
      <c r="A2922" s="8" t="s">
        <v>2934</v>
      </c>
      <c r="B2922">
        <f>HYPERLINK("https://www.suredividend.com/sure-analysis-research-database/","Universal Technical Institute Inc")</f>
        <v>0</v>
      </c>
      <c r="C2922">
        <v>-0.13349368610944</v>
      </c>
      <c r="D2922">
        <v>-0.033534540576794</v>
      </c>
      <c r="E2922">
        <v>0.212962962962962</v>
      </c>
      <c r="F2922">
        <v>0.150958466453674</v>
      </c>
      <c r="G2922">
        <v>1.10672514619883</v>
      </c>
      <c r="H2922">
        <v>0.6191011235955051</v>
      </c>
      <c r="I2922">
        <v>3.201166180758017</v>
      </c>
    </row>
    <row r="2923" spans="1:9">
      <c r="A2923" s="8" t="s">
        <v>2935</v>
      </c>
      <c r="B2923">
        <f>HYPERLINK("https://www.suredividend.com/sure-analysis-research-database/","Unitil Corp.")</f>
        <v>0</v>
      </c>
      <c r="C2923">
        <v>-0.042874913198201</v>
      </c>
      <c r="D2923">
        <v>-0.027256331153617</v>
      </c>
      <c r="E2923">
        <v>0.01799607292903</v>
      </c>
      <c r="F2923">
        <v>-0.0164720624693</v>
      </c>
      <c r="G2923">
        <v>-0.03933331318565</v>
      </c>
      <c r="H2923">
        <v>-0.04628141636398</v>
      </c>
      <c r="I2923">
        <v>0.0245026549243</v>
      </c>
    </row>
    <row r="2924" spans="1:9">
      <c r="A2924" s="8" t="s">
        <v>2936</v>
      </c>
      <c r="B2924">
        <f>HYPERLINK("https://www.suredividend.com/sure-analysis-research-database/","Utah Medical Products, Inc.")</f>
        <v>0</v>
      </c>
      <c r="C2924">
        <v>-0.029940981718727</v>
      </c>
      <c r="D2924">
        <v>-0.026236278225637</v>
      </c>
      <c r="E2924">
        <v>-0.165120133997041</v>
      </c>
      <c r="F2924">
        <v>-0.19296216059562</v>
      </c>
      <c r="G2924">
        <v>-0.304680688612714</v>
      </c>
      <c r="H2924">
        <v>-0.164685495846358</v>
      </c>
      <c r="I2924">
        <v>-0.09607323698065101</v>
      </c>
    </row>
    <row r="2925" spans="1:9">
      <c r="A2925" s="8" t="s">
        <v>2937</v>
      </c>
      <c r="B2925">
        <f>HYPERLINK("https://www.suredividend.com/sure-analysis-research-database/","Universal Security Instruments, Inc.")</f>
        <v>0</v>
      </c>
      <c r="C2925">
        <v>0.046357615894039</v>
      </c>
      <c r="D2925">
        <v>0.060402684563758</v>
      </c>
      <c r="E2925">
        <v>-0.229268292682926</v>
      </c>
      <c r="F2925">
        <v>-0.048192771084337</v>
      </c>
      <c r="G2925">
        <v>-0.321888412017167</v>
      </c>
      <c r="H2925">
        <v>-0.5524079320113311</v>
      </c>
      <c r="I2925">
        <v>0.27821373675269</v>
      </c>
    </row>
    <row r="2926" spans="1:9">
      <c r="A2926" s="8" t="s">
        <v>2938</v>
      </c>
      <c r="B2926">
        <f>HYPERLINK("https://www.suredividend.com/sure-analysis-research-database/","Universal Insurance Holdings Inc")</f>
        <v>0</v>
      </c>
      <c r="C2926">
        <v>-0.06499577949483801</v>
      </c>
      <c r="D2926">
        <v>-0.030398458582164</v>
      </c>
      <c r="E2926">
        <v>0.146005509641873</v>
      </c>
      <c r="F2926">
        <v>0.19046861983224</v>
      </c>
      <c r="G2926">
        <v>0.185417840791798</v>
      </c>
      <c r="H2926">
        <v>0.602698560824636</v>
      </c>
      <c r="I2926">
        <v>-0.21114177956638</v>
      </c>
    </row>
    <row r="2927" spans="1:9">
      <c r="A2927" s="8" t="s">
        <v>2939</v>
      </c>
      <c r="B2927">
        <f>HYPERLINK("https://www.suredividend.com/sure-analysis-research-database/","Univest Financial Corp")</f>
        <v>0</v>
      </c>
      <c r="C2927">
        <v>-0.028649386084583</v>
      </c>
      <c r="D2927">
        <v>0.07551786991067501</v>
      </c>
      <c r="E2927">
        <v>0.092890583028473</v>
      </c>
      <c r="F2927">
        <v>-0.001369843800404</v>
      </c>
      <c r="G2927">
        <v>0.116267402483381</v>
      </c>
      <c r="H2927">
        <v>-0.086050720761966</v>
      </c>
      <c r="I2927">
        <v>0.08309289955530301</v>
      </c>
    </row>
    <row r="2928" spans="1:9">
      <c r="A2928" s="8" t="s">
        <v>2940</v>
      </c>
      <c r="B2928">
        <f>HYPERLINK("https://www.suredividend.com/sure-analysis-UVV/","Universal Corp.")</f>
        <v>0</v>
      </c>
      <c r="C2928">
        <v>-0.110817443836133</v>
      </c>
      <c r="D2928">
        <v>-0.04406825068549</v>
      </c>
      <c r="E2928">
        <v>-0.195318839960705</v>
      </c>
      <c r="F2928">
        <v>-0.280185226222042</v>
      </c>
      <c r="G2928">
        <v>-0.05810737575916301</v>
      </c>
      <c r="H2928">
        <v>-0.159021679742599</v>
      </c>
      <c r="I2928">
        <v>0.04873617271415501</v>
      </c>
    </row>
    <row r="2929" spans="1:9">
      <c r="A2929" s="8" t="s">
        <v>2941</v>
      </c>
      <c r="B2929">
        <f>HYPERLINK("https://www.suredividend.com/sure-analysis-V/","Visa Inc")</f>
        <v>0</v>
      </c>
      <c r="C2929">
        <v>0.009859419828207001</v>
      </c>
      <c r="D2929">
        <v>0.003326780583698</v>
      </c>
      <c r="E2929">
        <v>0.093371501481919</v>
      </c>
      <c r="F2929">
        <v>0.074347284002877</v>
      </c>
      <c r="G2929">
        <v>0.246632566603828</v>
      </c>
      <c r="H2929">
        <v>0.322687409194877</v>
      </c>
      <c r="I2929">
        <v>0.7002793224508621</v>
      </c>
    </row>
    <row r="2930" spans="1:9">
      <c r="A2930" s="8" t="s">
        <v>2942</v>
      </c>
      <c r="B2930">
        <f>HYPERLINK("https://www.suredividend.com/sure-analysis-research-database/","Marriott Vacations Worldwide Corp")</f>
        <v>0</v>
      </c>
      <c r="C2930">
        <v>-0.09939312232413101</v>
      </c>
      <c r="D2930">
        <v>-0.046093971266515</v>
      </c>
      <c r="E2930">
        <v>0.169267973304046</v>
      </c>
      <c r="F2930">
        <v>0.06043700826992401</v>
      </c>
      <c r="G2930">
        <v>-0.307086909825082</v>
      </c>
      <c r="H2930">
        <v>-0.390348398890266</v>
      </c>
      <c r="I2930">
        <v>0.02834746953152</v>
      </c>
    </row>
    <row r="2931" spans="1:9">
      <c r="A2931" s="8" t="s">
        <v>2943</v>
      </c>
      <c r="B2931">
        <f>HYPERLINK("https://www.suredividend.com/sure-analysis-research-database/","Valaris Ltd")</f>
        <v>0</v>
      </c>
      <c r="C2931">
        <v>-0.012378303198887</v>
      </c>
      <c r="D2931">
        <v>0.05184417123389101</v>
      </c>
      <c r="E2931">
        <v>0.108492038713706</v>
      </c>
      <c r="F2931">
        <v>0.03558407466822201</v>
      </c>
      <c r="G2931">
        <v>0.145137880986937</v>
      </c>
      <c r="H2931">
        <v>0.180941293863296</v>
      </c>
      <c r="I2931">
        <v>1.99620253164557</v>
      </c>
    </row>
    <row r="2932" spans="1:9">
      <c r="A2932" s="8" t="s">
        <v>2944</v>
      </c>
      <c r="B2932">
        <f>HYPERLINK("https://www.suredividend.com/sure-analysis-research-database/","Value Line, Inc.")</f>
        <v>0</v>
      </c>
      <c r="C2932">
        <v>0.010471204188481</v>
      </c>
      <c r="D2932">
        <v>-0.06069012507908701</v>
      </c>
      <c r="E2932">
        <v>-0.175495557074504</v>
      </c>
      <c r="F2932">
        <v>-0.186997007053748</v>
      </c>
      <c r="G2932">
        <v>-0.122330326670471</v>
      </c>
      <c r="H2932">
        <v>-0.357377835195716</v>
      </c>
      <c r="I2932">
        <v>0.7370408204592801</v>
      </c>
    </row>
    <row r="2933" spans="1:9">
      <c r="A2933" s="8" t="s">
        <v>2945</v>
      </c>
      <c r="B2933">
        <f>HYPERLINK("https://www.suredividend.com/sure-analysis-research-database/","Vapotherm Inc")</f>
        <v>0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</row>
    <row r="2934" spans="1:9">
      <c r="A2934" s="8" t="s">
        <v>2946</v>
      </c>
      <c r="B2934">
        <f>HYPERLINK("https://www.suredividend.com/sure-analysis-research-database/","Varian Medical Systems, Inc.")</f>
        <v>0</v>
      </c>
      <c r="C2934">
        <v>0.004823516059471</v>
      </c>
      <c r="D2934">
        <v>0.010269869344439</v>
      </c>
      <c r="E2934">
        <v>0.029476744186046</v>
      </c>
      <c r="F2934">
        <v>0.011770755956802</v>
      </c>
      <c r="G2934">
        <v>0.5711623779946761</v>
      </c>
      <c r="H2934">
        <v>0.251378091872791</v>
      </c>
      <c r="I2934">
        <v>1.545956477041531</v>
      </c>
    </row>
    <row r="2935" spans="1:9">
      <c r="A2935" s="8" t="s">
        <v>2947</v>
      </c>
      <c r="B2935">
        <f>HYPERLINK("https://www.suredividend.com/sure-analysis-research-database/","Village Bank &amp; Trust Financial Corporation")</f>
        <v>0</v>
      </c>
      <c r="C2935">
        <v>0.103456328818309</v>
      </c>
      <c r="D2935">
        <v>0.174251461290707</v>
      </c>
      <c r="E2935">
        <v>0.199393830165833</v>
      </c>
      <c r="F2935">
        <v>0.194578509722225</v>
      </c>
      <c r="G2935">
        <v>0.202421639008848</v>
      </c>
      <c r="H2935">
        <v>-0.04548925493618401</v>
      </c>
      <c r="I2935">
        <v>0.43770842968769</v>
      </c>
    </row>
    <row r="2936" spans="1:9">
      <c r="A2936" s="8" t="s">
        <v>2948</v>
      </c>
      <c r="B2936">
        <f>HYPERLINK("https://www.suredividend.com/sure-analysis-research-database/","VBI Vaccines Inc.")</f>
        <v>0</v>
      </c>
      <c r="C2936">
        <v>-0.009302325581395</v>
      </c>
      <c r="D2936">
        <v>0.019661480594973</v>
      </c>
      <c r="E2936">
        <v>-0.140386278466416</v>
      </c>
      <c r="F2936">
        <v>0.015148936170212</v>
      </c>
      <c r="G2936">
        <v>-0.7946987951807221</v>
      </c>
      <c r="H2936">
        <v>-0.9794670522619291</v>
      </c>
      <c r="I2936">
        <v>-0.9885086705202311</v>
      </c>
    </row>
    <row r="2937" spans="1:9">
      <c r="A2937" s="8" t="s">
        <v>2949</v>
      </c>
      <c r="B2937">
        <f>HYPERLINK("https://www.suredividend.com/sure-analysis-research-database/","Veritex Holdings Inc")</f>
        <v>0</v>
      </c>
      <c r="C2937">
        <v>0.010121284806029</v>
      </c>
      <c r="D2937">
        <v>0.010618269448</v>
      </c>
      <c r="E2937">
        <v>-0.022701673981434</v>
      </c>
      <c r="F2937">
        <v>-0.099981221664833</v>
      </c>
      <c r="G2937">
        <v>0.043183549518829</v>
      </c>
      <c r="H2937">
        <v>-0.347011596788581</v>
      </c>
      <c r="I2937">
        <v>-0.05018047986410901</v>
      </c>
    </row>
    <row r="2938" spans="1:9">
      <c r="A2938" s="8" t="s">
        <v>2950</v>
      </c>
      <c r="B2938">
        <f>HYPERLINK("https://www.suredividend.com/sure-analysis-research-database/","Visteon Corp.")</f>
        <v>0</v>
      </c>
      <c r="C2938">
        <v>-0.08387874612469801</v>
      </c>
      <c r="D2938">
        <v>-0.09278526351697</v>
      </c>
      <c r="E2938">
        <v>-0.124372376327269</v>
      </c>
      <c r="F2938">
        <v>-0.148278622898318</v>
      </c>
      <c r="G2938">
        <v>-0.277751374838753</v>
      </c>
      <c r="H2938">
        <v>-0.070186172537365</v>
      </c>
      <c r="I2938">
        <v>1.120390671716165</v>
      </c>
    </row>
    <row r="2939" spans="1:9">
      <c r="A2939" s="8" t="s">
        <v>2951</v>
      </c>
      <c r="B2939">
        <f>HYPERLINK("https://www.suredividend.com/sure-analysis-research-database/","Vericel Corp")</f>
        <v>0</v>
      </c>
      <c r="C2939">
        <v>-0.103796445880452</v>
      </c>
      <c r="D2939">
        <v>-0.009817045961624001</v>
      </c>
      <c r="E2939">
        <v>0.296144859813084</v>
      </c>
      <c r="F2939">
        <v>0.246279135074417</v>
      </c>
      <c r="G2939">
        <v>0.28451519536903</v>
      </c>
      <c r="H2939">
        <v>0.6424870466321241</v>
      </c>
      <c r="I2939">
        <v>1.80886075949367</v>
      </c>
    </row>
    <row r="2940" spans="1:9">
      <c r="A2940" s="8" t="s">
        <v>2952</v>
      </c>
      <c r="B2940">
        <f>HYPERLINK("https://www.suredividend.com/sure-analysis-research-database/","Vocera Communication Inc")</f>
        <v>0</v>
      </c>
      <c r="C2940">
        <v>0.002787986313521</v>
      </c>
      <c r="D2940">
        <v>0.305344770702738</v>
      </c>
      <c r="E2940">
        <v>0.6872068230277181</v>
      </c>
      <c r="F2940">
        <v>0.220388648982109</v>
      </c>
      <c r="G2940">
        <v>0.8053844398813591</v>
      </c>
      <c r="H2940">
        <v>1.955920806873365</v>
      </c>
      <c r="I2940">
        <v>2.899950714637753</v>
      </c>
    </row>
    <row r="2941" spans="1:9">
      <c r="A2941" s="8" t="s">
        <v>2953</v>
      </c>
      <c r="B2941">
        <f>HYPERLINK("https://www.suredividend.com/sure-analysis-research-database/","Victory Capital Holdings Inc")</f>
        <v>0</v>
      </c>
      <c r="C2941">
        <v>-0.048312883435582</v>
      </c>
      <c r="D2941">
        <v>0.261980424558281</v>
      </c>
      <c r="E2941">
        <v>0.555581321742727</v>
      </c>
      <c r="F2941">
        <v>0.4536211682850551</v>
      </c>
      <c r="G2941">
        <v>0.579684317718941</v>
      </c>
      <c r="H2941">
        <v>1.014005534052273</v>
      </c>
      <c r="I2941">
        <v>2.351925128634516</v>
      </c>
    </row>
    <row r="2942" spans="1:9">
      <c r="A2942" s="8" t="s">
        <v>2954</v>
      </c>
      <c r="B2942">
        <f>HYPERLINK("https://www.suredividend.com/sure-analysis-research-database/","Veracyte Inc")</f>
        <v>0</v>
      </c>
      <c r="C2942">
        <v>-0.018069424631478</v>
      </c>
      <c r="D2942">
        <v>-0.09230769230769201</v>
      </c>
      <c r="E2942">
        <v>-0.174660271782573</v>
      </c>
      <c r="F2942">
        <v>-0.249363867684478</v>
      </c>
      <c r="G2942">
        <v>-0.218986384266263</v>
      </c>
      <c r="H2942">
        <v>0.156215005599104</v>
      </c>
      <c r="I2942">
        <v>-0.198058252427184</v>
      </c>
    </row>
    <row r="2943" spans="1:9">
      <c r="A2943" s="8" t="s">
        <v>2955</v>
      </c>
      <c r="B2943">
        <f>HYPERLINK("https://www.suredividend.com/sure-analysis-research-database/","Veeco Instruments Inc")</f>
        <v>0</v>
      </c>
      <c r="C2943">
        <v>0.141104294478527</v>
      </c>
      <c r="D2943">
        <v>0.161868549701249</v>
      </c>
      <c r="E2943">
        <v>0.519176136363636</v>
      </c>
      <c r="F2943">
        <v>0.378665807283274</v>
      </c>
      <c r="G2943">
        <v>0.6842519685039371</v>
      </c>
      <c r="H2943">
        <v>0.9305054151624551</v>
      </c>
      <c r="I2943">
        <v>2.616229923922232</v>
      </c>
    </row>
    <row r="2944" spans="1:9">
      <c r="A2944" s="8" t="s">
        <v>2956</v>
      </c>
      <c r="B2944">
        <f>HYPERLINK("https://www.suredividend.com/sure-analysis-research-database/","Veeva Systems Inc")</f>
        <v>0</v>
      </c>
      <c r="C2944">
        <v>-0.107983050021918</v>
      </c>
      <c r="D2944">
        <v>-0.204327236390494</v>
      </c>
      <c r="E2944">
        <v>0.058918762648164</v>
      </c>
      <c r="F2944">
        <v>-0.04872221067941</v>
      </c>
      <c r="G2944">
        <v>-0.030389665396018</v>
      </c>
      <c r="H2944">
        <v>-0.046443819639696</v>
      </c>
      <c r="I2944">
        <v>0.129099876695437</v>
      </c>
    </row>
    <row r="2945" spans="1:9">
      <c r="A2945" s="8" t="s">
        <v>2957</v>
      </c>
      <c r="B2945">
        <f>HYPERLINK("https://www.suredividend.com/sure-analysis-research-database/","VEREIT Inc")</f>
        <v>0</v>
      </c>
      <c r="C2945">
        <v>0.09252924900324601</v>
      </c>
      <c r="D2945">
        <v>0.03770597985675801</v>
      </c>
      <c r="E2945">
        <v>0.072797754539697</v>
      </c>
      <c r="F2945">
        <v>0.374522031110806</v>
      </c>
      <c r="G2945">
        <v>0.6929319937341331</v>
      </c>
      <c r="H2945">
        <v>0.141866936273505</v>
      </c>
      <c r="I2945">
        <v>0.5105081314894521</v>
      </c>
    </row>
    <row r="2946" spans="1:9">
      <c r="A2946" s="8" t="s">
        <v>2958</v>
      </c>
      <c r="B2946">
        <f>HYPERLINK("https://www.suredividend.com/sure-analysis-research-database/","Veritone Inc")</f>
        <v>0</v>
      </c>
      <c r="C2946">
        <v>-0.249249249249249</v>
      </c>
      <c r="D2946">
        <v>0.141552511415525</v>
      </c>
      <c r="E2946">
        <v>0.136363636363636</v>
      </c>
      <c r="F2946">
        <v>0.381215469613259</v>
      </c>
      <c r="G2946">
        <v>-0.370277078085642</v>
      </c>
      <c r="H2946">
        <v>-0.6774193548387091</v>
      </c>
      <c r="I2946">
        <v>-0.7093023255813951</v>
      </c>
    </row>
    <row r="2947" spans="1:9">
      <c r="A2947" s="8" t="s">
        <v>2959</v>
      </c>
      <c r="B2947">
        <f>HYPERLINK("https://www.suredividend.com/sure-analysis-research-database/","Veru Inc")</f>
        <v>0</v>
      </c>
      <c r="C2947">
        <v>-0.4366871165644171</v>
      </c>
      <c r="D2947">
        <v>0.50032679738562</v>
      </c>
      <c r="E2947">
        <v>-0.194561403508771</v>
      </c>
      <c r="F2947">
        <v>0.275277777777777</v>
      </c>
      <c r="G2947">
        <v>-0.247377049180327</v>
      </c>
      <c r="H2947">
        <v>-0.942069400630914</v>
      </c>
      <c r="I2947">
        <v>-0.526701030927835</v>
      </c>
    </row>
    <row r="2948" spans="1:9">
      <c r="A2948" s="8" t="s">
        <v>2960</v>
      </c>
      <c r="B2948">
        <f>HYPERLINK("https://www.suredividend.com/sure-analysis-VFC/","VF Corp.")</f>
        <v>0</v>
      </c>
      <c r="C2948">
        <v>0.071823204419889</v>
      </c>
      <c r="D2948">
        <v>-0.15125</v>
      </c>
      <c r="E2948">
        <v>-0.245920027542243</v>
      </c>
      <c r="F2948">
        <v>-0.273594796413976</v>
      </c>
      <c r="G2948">
        <v>-0.277240527752792</v>
      </c>
      <c r="H2948">
        <v>-0.701537805577594</v>
      </c>
      <c r="I2948">
        <v>-0.8107171978339801</v>
      </c>
    </row>
    <row r="2949" spans="1:9">
      <c r="A2949" s="8" t="s">
        <v>2961</v>
      </c>
      <c r="B2949">
        <f>HYPERLINK("https://www.suredividend.com/sure-analysis-research-database/","Vonage Holdings Corp")</f>
        <v>0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</row>
    <row r="2950" spans="1:9">
      <c r="A2950" s="8" t="s">
        <v>2962</v>
      </c>
      <c r="B2950">
        <f>HYPERLINK("https://www.suredividend.com/sure-analysis-VGR/","Vector Group Ltd")</f>
        <v>0</v>
      </c>
      <c r="C2950">
        <v>0.038841510579342</v>
      </c>
      <c r="D2950">
        <v>-0.021380213617664</v>
      </c>
      <c r="E2950">
        <v>-0.002622698088908</v>
      </c>
      <c r="F2950">
        <v>-0.024726537365566</v>
      </c>
      <c r="G2950">
        <v>-0.100717900036445</v>
      </c>
      <c r="H2950">
        <v>0.012646146504414</v>
      </c>
      <c r="I2950">
        <v>0.5989993067486511</v>
      </c>
    </row>
    <row r="2951" spans="1:9">
      <c r="A2951" s="8" t="s">
        <v>2963</v>
      </c>
      <c r="B2951">
        <f>HYPERLINK("https://www.suredividend.com/sure-analysis-research-database/","Virnetx Holding Corp")</f>
        <v>0</v>
      </c>
      <c r="C2951">
        <v>-0.212371134020618</v>
      </c>
      <c r="D2951">
        <v>-0.342512908777969</v>
      </c>
      <c r="E2951">
        <v>-0.534146341463414</v>
      </c>
      <c r="F2951">
        <v>-0.454285714285714</v>
      </c>
      <c r="G2951">
        <v>-0.553634026641738</v>
      </c>
      <c r="H2951">
        <v>-0.625295496679647</v>
      </c>
      <c r="I2951">
        <v>-0.8929447208015131</v>
      </c>
    </row>
    <row r="2952" spans="1:9">
      <c r="A2952" s="8" t="s">
        <v>2964</v>
      </c>
      <c r="B2952">
        <f>HYPERLINK("https://www.suredividend.com/sure-analysis-research-database/","Via Renewables Inc")</f>
        <v>0</v>
      </c>
      <c r="C2952">
        <v>0.005952380952380001</v>
      </c>
      <c r="D2952">
        <v>0.010579576816927</v>
      </c>
      <c r="E2952">
        <v>0.268475750577367</v>
      </c>
      <c r="F2952">
        <v>0.168617021276595</v>
      </c>
      <c r="G2952">
        <v>-0.05138169257340201</v>
      </c>
      <c r="H2952">
        <v>-0.7187040669476631</v>
      </c>
      <c r="I2952">
        <v>0.138961611239275</v>
      </c>
    </row>
    <row r="2953" spans="1:9">
      <c r="A2953" s="8" t="s">
        <v>2965</v>
      </c>
      <c r="B2953">
        <f>HYPERLINK("https://www.suredividend.com/sure-analysis-research-database/","Viavi Solutions Inc")</f>
        <v>0</v>
      </c>
      <c r="C2953">
        <v>-0.004707464694014001</v>
      </c>
      <c r="D2953">
        <v>-0.3097014925373131</v>
      </c>
      <c r="E2953">
        <v>-0.137529137529137</v>
      </c>
      <c r="F2953">
        <v>-0.26514399205561</v>
      </c>
      <c r="G2953">
        <v>-0.254783484390735</v>
      </c>
      <c r="H2953">
        <v>-0.5089581950895821</v>
      </c>
      <c r="I2953">
        <v>-0.436834094368341</v>
      </c>
    </row>
    <row r="2954" spans="1:9">
      <c r="A2954" s="8" t="s">
        <v>2966</v>
      </c>
      <c r="B2954">
        <f>HYPERLINK("https://www.suredividend.com/sure-analysis-VICI/","VICI Properties Inc")</f>
        <v>0</v>
      </c>
      <c r="C2954">
        <v>-0.039932318104906</v>
      </c>
      <c r="D2954">
        <v>-0.008191076166869</v>
      </c>
      <c r="E2954">
        <v>-0.04164147189276601</v>
      </c>
      <c r="F2954">
        <v>-0.09716675205977701</v>
      </c>
      <c r="G2954">
        <v>-0.07924587088670801</v>
      </c>
      <c r="H2954">
        <v>-0.021929869923912</v>
      </c>
      <c r="I2954">
        <v>0.661863255072871</v>
      </c>
    </row>
    <row r="2955" spans="1:9">
      <c r="A2955" s="8" t="s">
        <v>2967</v>
      </c>
      <c r="B2955">
        <f>HYPERLINK("https://www.suredividend.com/sure-analysis-research-database/","Vicor Corp.")</f>
        <v>0</v>
      </c>
      <c r="C2955">
        <v>0.045536791314837</v>
      </c>
      <c r="D2955">
        <v>-0.08085896076352</v>
      </c>
      <c r="E2955">
        <v>-0.114431673052362</v>
      </c>
      <c r="F2955">
        <v>-0.228526924788606</v>
      </c>
      <c r="G2955">
        <v>-0.405521262002743</v>
      </c>
      <c r="H2955">
        <v>-0.501007484168105</v>
      </c>
      <c r="I2955">
        <v>0.141963109354413</v>
      </c>
    </row>
    <row r="2956" spans="1:9">
      <c r="A2956" s="8" t="s">
        <v>2968</v>
      </c>
      <c r="B2956">
        <f>HYPERLINK("https://www.suredividend.com/sure-analysis-research-database/","Virco Manufacturing Corp.")</f>
        <v>0</v>
      </c>
      <c r="C2956">
        <v>0.112141652613827</v>
      </c>
      <c r="D2956">
        <v>0.36401240951396</v>
      </c>
      <c r="E2956">
        <v>0.8921788030068281</v>
      </c>
      <c r="F2956">
        <v>0.098635659431274</v>
      </c>
      <c r="G2956">
        <v>2.499787730842708</v>
      </c>
      <c r="H2956">
        <v>3.08131691317532</v>
      </c>
      <c r="I2956">
        <v>2.275065799274966</v>
      </c>
    </row>
    <row r="2957" spans="1:9">
      <c r="A2957" s="8" t="s">
        <v>2969</v>
      </c>
      <c r="B2957">
        <f>HYPERLINK("https://www.suredividend.com/sure-analysis-research-database/","Virtu Financial Inc")</f>
        <v>0</v>
      </c>
      <c r="C2957">
        <v>0.005229385033454</v>
      </c>
      <c r="D2957">
        <v>0.182373449511418</v>
      </c>
      <c r="E2957">
        <v>0.252404092362668</v>
      </c>
      <c r="F2957">
        <v>0.140520877594801</v>
      </c>
      <c r="G2957">
        <v>0.332622924020512</v>
      </c>
      <c r="H2957">
        <v>0.07725288278940401</v>
      </c>
      <c r="I2957">
        <v>0.325424545345055</v>
      </c>
    </row>
    <row r="2958" spans="1:9">
      <c r="A2958" s="8" t="s">
        <v>2970</v>
      </c>
      <c r="B2958">
        <f>HYPERLINK("https://www.suredividend.com/sure-analysis-research-database/","Vislink Technologies Inc")</f>
        <v>0</v>
      </c>
      <c r="C2958">
        <v>0.173316708229426</v>
      </c>
      <c r="D2958">
        <v>0.351894951584633</v>
      </c>
      <c r="E2958">
        <v>0.064479638009049</v>
      </c>
      <c r="F2958">
        <v>0.212628865979381</v>
      </c>
      <c r="G2958">
        <v>-0.264268960125097</v>
      </c>
      <c r="H2958">
        <v>-0.655462800234329</v>
      </c>
      <c r="I2958">
        <v>-0.9774664750957851</v>
      </c>
    </row>
    <row r="2959" spans="1:9">
      <c r="A2959" s="8" t="s">
        <v>2971</v>
      </c>
      <c r="B2959">
        <f>HYPERLINK("https://www.suredividend.com/sure-analysis-research-database/","Meridian Bioscience Inc.")</f>
        <v>0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</row>
    <row r="2960" spans="1:9">
      <c r="A2960" s="8" t="s">
        <v>2972</v>
      </c>
      <c r="B2960">
        <f>HYPERLINK("https://www.suredividend.com/sure-analysis-research-database/","Viking Therapeutics Inc")</f>
        <v>0</v>
      </c>
      <c r="C2960">
        <v>-0.29669639492526</v>
      </c>
      <c r="D2960">
        <v>-0.243378378378378</v>
      </c>
      <c r="E2960">
        <v>2.103658536585366</v>
      </c>
      <c r="F2960">
        <v>2.00859752821064</v>
      </c>
      <c r="G2960">
        <v>1.298440065681445</v>
      </c>
      <c r="H2960">
        <v>21.30677290836654</v>
      </c>
      <c r="I2960">
        <v>6.141581632653062</v>
      </c>
    </row>
    <row r="2961" spans="1:9">
      <c r="A2961" s="8" t="s">
        <v>2973</v>
      </c>
      <c r="B2961">
        <f>HYPERLINK("https://www.suredividend.com/sure-analysis-research-database/","Village Super Market, Inc.")</f>
        <v>0</v>
      </c>
      <c r="C2961">
        <v>-0.087266553480475</v>
      </c>
      <c r="D2961">
        <v>0.030935742941081</v>
      </c>
      <c r="E2961">
        <v>0.108165713649649</v>
      </c>
      <c r="F2961">
        <v>0.063379473769577</v>
      </c>
      <c r="G2961">
        <v>0.31578947368421</v>
      </c>
      <c r="H2961">
        <v>0.259281815839403</v>
      </c>
      <c r="I2961">
        <v>0.350590883511536</v>
      </c>
    </row>
    <row r="2962" spans="1:9">
      <c r="A2962" s="8" t="s">
        <v>2974</v>
      </c>
      <c r="B2962">
        <f>HYPERLINK("https://www.suredividend.com/sure-analysis-VLO/","Valero Energy Corp.")</f>
        <v>0</v>
      </c>
      <c r="C2962">
        <v>-0.007476543013098001</v>
      </c>
      <c r="D2962">
        <v>0.043405055747815</v>
      </c>
      <c r="E2962">
        <v>0.283528152344477</v>
      </c>
      <c r="F2962">
        <v>0.205232063558958</v>
      </c>
      <c r="G2962">
        <v>0.402510405531937</v>
      </c>
      <c r="H2962">
        <v>0.133308088369116</v>
      </c>
      <c r="I2962">
        <v>1.574009223963637</v>
      </c>
    </row>
    <row r="2963" spans="1:9">
      <c r="A2963" s="8" t="s">
        <v>2975</v>
      </c>
      <c r="B2963">
        <f>HYPERLINK("https://www.suredividend.com/sure-analysis-research-database/","Valley National Bancorp")</f>
        <v>0</v>
      </c>
      <c r="C2963">
        <v>-0.08912188728702401</v>
      </c>
      <c r="D2963">
        <v>-0.131792629606495</v>
      </c>
      <c r="E2963">
        <v>-0.273004947750499</v>
      </c>
      <c r="F2963">
        <v>-0.342049209039013</v>
      </c>
      <c r="G2963">
        <v>-0.122696288815955</v>
      </c>
      <c r="H2963">
        <v>-0.361659135162937</v>
      </c>
      <c r="I2963">
        <v>-0.120865220416166</v>
      </c>
    </row>
    <row r="2964" spans="1:9">
      <c r="A2964" s="8" t="s">
        <v>2976</v>
      </c>
      <c r="B2964">
        <f>HYPERLINK("https://www.suredividend.com/sure-analysis-VMC/","Vulcan Materials Co")</f>
        <v>0</v>
      </c>
      <c r="C2964">
        <v>-0.07573182896017801</v>
      </c>
      <c r="D2964">
        <v>-0.08534355307401201</v>
      </c>
      <c r="E2964">
        <v>0.160093785844409</v>
      </c>
      <c r="F2964">
        <v>0.09447717595801501</v>
      </c>
      <c r="G2964">
        <v>0.216876139024375</v>
      </c>
      <c r="H2964">
        <v>0.4871029451954</v>
      </c>
      <c r="I2964">
        <v>0.926665473476153</v>
      </c>
    </row>
    <row r="2965" spans="1:9">
      <c r="A2965" s="8" t="s">
        <v>2977</v>
      </c>
      <c r="B2965">
        <f>HYPERLINK("https://www.suredividend.com/sure-analysis-research-database/","Valmont Industries, Inc.")</f>
        <v>0</v>
      </c>
      <c r="C2965">
        <v>0.03935091277890401</v>
      </c>
      <c r="D2965">
        <v>0.209625445760196</v>
      </c>
      <c r="E2965">
        <v>0.179084097413884</v>
      </c>
      <c r="F2965">
        <v>0.100168117024908</v>
      </c>
      <c r="G2965">
        <v>-0.0816127911766</v>
      </c>
      <c r="H2965">
        <v>-0.007064107150262001</v>
      </c>
      <c r="I2965">
        <v>1.307956323593133</v>
      </c>
    </row>
    <row r="2966" spans="1:9">
      <c r="A2966" s="8" t="s">
        <v>2978</v>
      </c>
      <c r="B2966">
        <f>HYPERLINK("https://www.suredividend.com/sure-analysis-research-database/","Vmware Inc.")</f>
        <v>0</v>
      </c>
      <c r="C2966">
        <v>-0.05586110927042601</v>
      </c>
      <c r="D2966">
        <v>-0.123092072870507</v>
      </c>
      <c r="E2966">
        <v>0.133131859392396</v>
      </c>
      <c r="F2966">
        <v>0.160638644509612</v>
      </c>
      <c r="G2966">
        <v>0.22017641517513</v>
      </c>
      <c r="H2966">
        <v>0.181916217337204</v>
      </c>
      <c r="I2966">
        <v>0.146555144168365</v>
      </c>
    </row>
    <row r="2967" spans="1:9">
      <c r="A2967" s="8" t="s">
        <v>2979</v>
      </c>
      <c r="B2967">
        <f>HYPERLINK("https://www.suredividend.com/sure-analysis-research-database/","Vince Holding Corp")</f>
        <v>0</v>
      </c>
      <c r="C2967">
        <v>0.129032258064516</v>
      </c>
      <c r="D2967">
        <v>-0.477611940298507</v>
      </c>
      <c r="E2967">
        <v>0.446280991735537</v>
      </c>
      <c r="F2967">
        <v>-0.49421965317919</v>
      </c>
      <c r="G2967">
        <v>-0.6506986027944111</v>
      </c>
      <c r="H2967">
        <v>-0.7784810126582271</v>
      </c>
      <c r="I2967">
        <v>-0.8700816629547141</v>
      </c>
    </row>
    <row r="2968" spans="1:9">
      <c r="A2968" s="8" t="s">
        <v>2980</v>
      </c>
      <c r="B2968">
        <f>HYPERLINK("https://www.suredividend.com/sure-analysis-research-database/","Vanda Pharmaceuticals Inc")</f>
        <v>0</v>
      </c>
      <c r="C2968">
        <v>0.116788321167883</v>
      </c>
      <c r="D2968">
        <v>0.602094240837696</v>
      </c>
      <c r="E2968">
        <v>0.541561712846347</v>
      </c>
      <c r="F2968">
        <v>0.450236966824644</v>
      </c>
      <c r="G2968">
        <v>-0.052631578947368</v>
      </c>
      <c r="H2968">
        <v>-0.4092664092664091</v>
      </c>
      <c r="I2968">
        <v>-0.5644128113879</v>
      </c>
    </row>
    <row r="2969" spans="1:9">
      <c r="A2969" s="8" t="s">
        <v>2981</v>
      </c>
      <c r="B2969">
        <f>HYPERLINK("https://www.suredividend.com/sure-analysis-research-database/","Veoneer Inc")</f>
        <v>0</v>
      </c>
      <c r="C2969">
        <v>0.04231311706629001</v>
      </c>
      <c r="D2969">
        <v>0.041431792559188</v>
      </c>
      <c r="E2969">
        <v>0.08485026423957701</v>
      </c>
      <c r="F2969">
        <v>0.041431792559188</v>
      </c>
      <c r="G2969">
        <v>0.5093954248366011</v>
      </c>
      <c r="H2969">
        <v>4.047814207650274</v>
      </c>
      <c r="I2969">
        <v>-0.120238095238095</v>
      </c>
    </row>
    <row r="2970" spans="1:9">
      <c r="A2970" s="8" t="s">
        <v>2982</v>
      </c>
      <c r="B2970">
        <f>HYPERLINK("https://www.suredividend.com/sure-analysis-VNO/","Vornado Realty Trust")</f>
        <v>0</v>
      </c>
      <c r="C2970">
        <v>0.000413052457661</v>
      </c>
      <c r="D2970">
        <v>-0.06881968473663901</v>
      </c>
      <c r="E2970">
        <v>-0.124145662315119</v>
      </c>
      <c r="F2970">
        <v>-0.142654867256637</v>
      </c>
      <c r="G2970">
        <v>0.565661462878567</v>
      </c>
      <c r="H2970">
        <v>-0.230290087204128</v>
      </c>
      <c r="I2970">
        <v>-0.542521683943304</v>
      </c>
    </row>
    <row r="2971" spans="1:9">
      <c r="A2971" s="8" t="s">
        <v>2983</v>
      </c>
      <c r="B2971">
        <f>HYPERLINK("https://www.suredividend.com/sure-analysis-research-database/","VolitionRX Ltd")</f>
        <v>0</v>
      </c>
      <c r="C2971">
        <v>-0.05569444444444401</v>
      </c>
      <c r="D2971">
        <v>-0.313232323232323</v>
      </c>
      <c r="E2971">
        <v>0.03485540334855301</v>
      </c>
      <c r="F2971">
        <v>-0.051743375174337</v>
      </c>
      <c r="G2971">
        <v>-0.572389937106918</v>
      </c>
      <c r="H2971">
        <v>-0.725846774193548</v>
      </c>
      <c r="I2971">
        <v>-0.7722583238427011</v>
      </c>
    </row>
    <row r="2972" spans="1:9">
      <c r="A2972" s="8" t="s">
        <v>2984</v>
      </c>
      <c r="B2972">
        <f>HYPERLINK("https://www.suredividend.com/sure-analysis-research-database/","Venator Materials PLC")</f>
        <v>0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</row>
    <row r="2973" spans="1:9">
      <c r="A2973" s="8" t="s">
        <v>2985</v>
      </c>
      <c r="B2973">
        <f>HYPERLINK("https://www.suredividend.com/sure-analysis-research-database/","VOXX International Corp")</f>
        <v>0</v>
      </c>
      <c r="C2973">
        <v>-0.362831858407079</v>
      </c>
      <c r="D2973">
        <v>-0.544303797468354</v>
      </c>
      <c r="E2973">
        <v>-0.6777081468218441</v>
      </c>
      <c r="F2973">
        <v>-0.662921348314606</v>
      </c>
      <c r="G2973">
        <v>-0.6855895196506551</v>
      </c>
      <c r="H2973">
        <v>-0.60655737704918</v>
      </c>
      <c r="I2973">
        <v>0</v>
      </c>
    </row>
    <row r="2974" spans="1:9">
      <c r="A2974" s="8" t="s">
        <v>2986</v>
      </c>
      <c r="B2974">
        <f>HYPERLINK("https://www.suredividend.com/sure-analysis-research-database/","Voya Financial Inc")</f>
        <v>0</v>
      </c>
      <c r="C2974">
        <v>0.012326223693286</v>
      </c>
      <c r="D2974">
        <v>0.09775260801244101</v>
      </c>
      <c r="E2974">
        <v>0.044459134446335</v>
      </c>
      <c r="F2974">
        <v>0.029427258058255</v>
      </c>
      <c r="G2974">
        <v>0.053282536728725</v>
      </c>
      <c r="H2974">
        <v>0.135899534229183</v>
      </c>
      <c r="I2974">
        <v>0.477575709339806</v>
      </c>
    </row>
    <row r="2975" spans="1:9">
      <c r="A2975" s="8" t="s">
        <v>2987</v>
      </c>
      <c r="B2975">
        <f>HYPERLINK("https://www.suredividend.com/sure-analysis-research-database/","Vishay Precision Group Inc")</f>
        <v>0</v>
      </c>
      <c r="C2975">
        <v>-0.032508201610498</v>
      </c>
      <c r="D2975">
        <v>-0.07208237986270001</v>
      </c>
      <c r="E2975">
        <v>0.054273643158921</v>
      </c>
      <c r="F2975">
        <v>-0.047842676841796</v>
      </c>
      <c r="G2975">
        <v>-0.117278911564625</v>
      </c>
      <c r="H2975">
        <v>0.05085843861354</v>
      </c>
      <c r="I2975">
        <v>-0.142479513613534</v>
      </c>
    </row>
    <row r="2976" spans="1:9">
      <c r="A2976" s="8" t="s">
        <v>2988</v>
      </c>
      <c r="B2976">
        <f>HYPERLINK("https://www.suredividend.com/sure-analysis-research-database/","Vera Bradley Inc")</f>
        <v>0</v>
      </c>
      <c r="C2976">
        <v>0.101551480959097</v>
      </c>
      <c r="D2976">
        <v>0.05540540540540501</v>
      </c>
      <c r="E2976">
        <v>0.059701492537313</v>
      </c>
      <c r="F2976">
        <v>0.014285714285714</v>
      </c>
      <c r="G2976">
        <v>0.308207705192629</v>
      </c>
      <c r="H2976">
        <v>0.245614035087719</v>
      </c>
      <c r="I2976">
        <v>-0.268726591760299</v>
      </c>
    </row>
    <row r="2977" spans="1:9">
      <c r="A2977" s="8" t="s">
        <v>2989</v>
      </c>
      <c r="B2977">
        <f>HYPERLINK("https://www.suredividend.com/sure-analysis-research-database/","ViewRay Inc.")</f>
        <v>0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</row>
    <row r="2978" spans="1:9">
      <c r="A2978" s="8" t="s">
        <v>2990</v>
      </c>
      <c r="B2978">
        <f>HYPERLINK("https://www.suredividend.com/sure-analysis-research-database/","Varex Imaging Corp")</f>
        <v>0</v>
      </c>
      <c r="C2978">
        <v>-0.042271293375394</v>
      </c>
      <c r="D2978">
        <v>-0.1375</v>
      </c>
      <c r="E2978">
        <v>-0.216718266253869</v>
      </c>
      <c r="F2978">
        <v>-0.259512195121951</v>
      </c>
      <c r="G2978">
        <v>-0.328615656789031</v>
      </c>
      <c r="H2978">
        <v>-0.329505300353356</v>
      </c>
      <c r="I2978">
        <v>-0.458050696179935</v>
      </c>
    </row>
    <row r="2979" spans="1:9">
      <c r="A2979" s="8" t="s">
        <v>2991</v>
      </c>
      <c r="B2979">
        <f>HYPERLINK("https://www.suredividend.com/sure-analysis-research-database/","Varonis Systems Inc")</f>
        <v>0</v>
      </c>
      <c r="C2979">
        <v>-0.05866666666666601</v>
      </c>
      <c r="D2979">
        <v>-0.156847133757961</v>
      </c>
      <c r="E2979">
        <v>-0.026206896551724</v>
      </c>
      <c r="F2979">
        <v>-0.06448763250883301</v>
      </c>
      <c r="G2979">
        <v>0.631741140215716</v>
      </c>
      <c r="H2979">
        <v>0.224985540775014</v>
      </c>
      <c r="I2979">
        <v>1.096334384139913</v>
      </c>
    </row>
    <row r="2980" spans="1:9">
      <c r="A2980" s="8" t="s">
        <v>2992</v>
      </c>
      <c r="B2980">
        <f>HYPERLINK("https://www.suredividend.com/sure-analysis-research-database/","Verint Systems, Inc.")</f>
        <v>0</v>
      </c>
      <c r="C2980">
        <v>0.169103623649078</v>
      </c>
      <c r="D2980">
        <v>0.188368336025848</v>
      </c>
      <c r="E2980">
        <v>0.286013986013986</v>
      </c>
      <c r="F2980">
        <v>0.360710321864594</v>
      </c>
      <c r="G2980">
        <v>-0.02492046659597</v>
      </c>
      <c r="H2980">
        <v>-0.29889439573008</v>
      </c>
      <c r="I2980">
        <v>0.143343861132525</v>
      </c>
    </row>
    <row r="2981" spans="1:9">
      <c r="A2981" s="8" t="s">
        <v>2993</v>
      </c>
      <c r="B2981">
        <f>HYPERLINK("https://www.suredividend.com/sure-analysis-research-database/","Verra Mobility Corp")</f>
        <v>0</v>
      </c>
      <c r="C2981">
        <v>-0.026027913994719</v>
      </c>
      <c r="D2981">
        <v>0.155257270693512</v>
      </c>
      <c r="E2981">
        <v>0.226020892687559</v>
      </c>
      <c r="F2981">
        <v>0.121146330872774</v>
      </c>
      <c r="G2981">
        <v>0.374866879659211</v>
      </c>
      <c r="H2981">
        <v>0.564848484848484</v>
      </c>
      <c r="I2981">
        <v>1.063948840927258</v>
      </c>
    </row>
    <row r="2982" spans="1:9">
      <c r="A2982" s="8" t="s">
        <v>2994</v>
      </c>
      <c r="B2982">
        <f>HYPERLINK("https://www.suredividend.com/sure-analysis-research-database/","Verso Corp")</f>
        <v>0</v>
      </c>
      <c r="C2982">
        <v>0.014661654135338</v>
      </c>
      <c r="D2982">
        <v>0.0007415647015200001</v>
      </c>
      <c r="E2982">
        <v>0.276817181919246</v>
      </c>
      <c r="F2982">
        <v>-0.001110288675055</v>
      </c>
      <c r="G2982">
        <v>0.925381652161506</v>
      </c>
      <c r="H2982">
        <v>1.488543846870187</v>
      </c>
      <c r="I2982">
        <v>3.707503401123243</v>
      </c>
    </row>
    <row r="2983" spans="1:9">
      <c r="A2983" s="8" t="s">
        <v>2995</v>
      </c>
      <c r="B2983">
        <f>HYPERLINK("https://www.suredividend.com/sure-analysis-VRSK/","Verisk Analytics Inc")</f>
        <v>0</v>
      </c>
      <c r="C2983">
        <v>0.068825910931174</v>
      </c>
      <c r="D2983">
        <v>0.121680208972422</v>
      </c>
      <c r="E2983">
        <v>0.13626826260709</v>
      </c>
      <c r="F2983">
        <v>0.108907297870141</v>
      </c>
      <c r="G2983">
        <v>0.22282967418537</v>
      </c>
      <c r="H2983">
        <v>0.533724510544356</v>
      </c>
      <c r="I2983">
        <v>0.872615341401184</v>
      </c>
    </row>
    <row r="2984" spans="1:9">
      <c r="A2984" s="8" t="s">
        <v>2996</v>
      </c>
      <c r="B2984">
        <f>HYPERLINK("https://www.suredividend.com/sure-analysis-research-database/","Verisign Inc.")</f>
        <v>0</v>
      </c>
      <c r="C2984">
        <v>0.064284029252182</v>
      </c>
      <c r="D2984">
        <v>-0.063275369841681</v>
      </c>
      <c r="E2984">
        <v>-0.15904748590335</v>
      </c>
      <c r="F2984">
        <v>-0.123810448630802</v>
      </c>
      <c r="G2984">
        <v>-0.182810306570665</v>
      </c>
      <c r="H2984">
        <v>0.007706053160598</v>
      </c>
      <c r="I2984">
        <v>-0.128591433676179</v>
      </c>
    </row>
    <row r="2985" spans="1:9">
      <c r="A2985" s="8" t="s">
        <v>2997</v>
      </c>
      <c r="B2985">
        <f>HYPERLINK("https://www.suredividend.com/sure-analysis-research-database/","Virtus Investment Partners Inc")</f>
        <v>0</v>
      </c>
      <c r="C2985">
        <v>-0.029428787676416</v>
      </c>
      <c r="D2985">
        <v>-0.10685570188646</v>
      </c>
      <c r="E2985">
        <v>0.0893044790901</v>
      </c>
      <c r="F2985">
        <v>-0.068711173159059</v>
      </c>
      <c r="G2985">
        <v>0.098309812037878</v>
      </c>
      <c r="H2985">
        <v>0.242747315266751</v>
      </c>
      <c r="I2985">
        <v>1.444162655661208</v>
      </c>
    </row>
    <row r="2986" spans="1:9">
      <c r="A2986" s="8" t="s">
        <v>2998</v>
      </c>
      <c r="B2986">
        <f>HYPERLINK("https://www.suredividend.com/sure-analysis-research-database/","Virtusa Corp")</f>
        <v>0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</row>
    <row r="2987" spans="1:9">
      <c r="A2987" s="8" t="s">
        <v>2999</v>
      </c>
      <c r="B2987">
        <f>HYPERLINK("https://www.suredividend.com/sure-analysis-research-database/","Veritiv Corp")</f>
        <v>0</v>
      </c>
      <c r="C2987">
        <v>0.003482880755607</v>
      </c>
      <c r="D2987">
        <v>0.011183153887335</v>
      </c>
      <c r="E2987">
        <v>0.584583518989088</v>
      </c>
      <c r="F2987">
        <v>0.417277799455066</v>
      </c>
      <c r="G2987">
        <v>0.318178046701918</v>
      </c>
      <c r="H2987">
        <v>0.317909269788796</v>
      </c>
      <c r="I2987">
        <v>4.635395014702616</v>
      </c>
    </row>
    <row r="2988" spans="1:9">
      <c r="A2988" s="8" t="s">
        <v>3000</v>
      </c>
      <c r="B2988">
        <f>HYPERLINK("https://www.suredividend.com/sure-analysis-research-database/","Vertex Pharmaceuticals, Inc.")</f>
        <v>0</v>
      </c>
      <c r="C2988">
        <v>0.177457098283931</v>
      </c>
      <c r="D2988">
        <v>0.176596677546645</v>
      </c>
      <c r="E2988">
        <v>0.364712530018364</v>
      </c>
      <c r="F2988">
        <v>0.187151318538179</v>
      </c>
      <c r="G2988">
        <v>0.487879254581857</v>
      </c>
      <c r="H2988">
        <v>0.776796880747443</v>
      </c>
      <c r="I2988">
        <v>1.783931761858106</v>
      </c>
    </row>
    <row r="2989" spans="1:9">
      <c r="A2989" s="8" t="s">
        <v>3001</v>
      </c>
      <c r="B2989">
        <f>HYPERLINK("https://www.suredividend.com/sure-analysis-research-database/","Viasat, Inc.")</f>
        <v>0</v>
      </c>
      <c r="C2989">
        <v>-0.08579545454545401</v>
      </c>
      <c r="D2989">
        <v>-0.164155844155844</v>
      </c>
      <c r="E2989">
        <v>-0.312393162393162</v>
      </c>
      <c r="F2989">
        <v>-0.4243291592128801</v>
      </c>
      <c r="G2989">
        <v>-0.644969108561341</v>
      </c>
      <c r="H2989">
        <v>-0.5744512033853471</v>
      </c>
      <c r="I2989">
        <v>-0.822464967450071</v>
      </c>
    </row>
    <row r="2990" spans="1:9">
      <c r="A2990" s="8" t="s">
        <v>3002</v>
      </c>
      <c r="B2990">
        <f>HYPERLINK("https://www.suredividend.com/sure-analysis-research-database/","VSE Corp.")</f>
        <v>0</v>
      </c>
      <c r="C2990">
        <v>-0.03301108229191201</v>
      </c>
      <c r="D2990">
        <v>0.09305492994160201</v>
      </c>
      <c r="E2990">
        <v>0.358225860938338</v>
      </c>
      <c r="F2990">
        <v>0.277080744761353</v>
      </c>
      <c r="G2990">
        <v>0.534834109919721</v>
      </c>
      <c r="H2990">
        <v>1.124666806549631</v>
      </c>
      <c r="I2990">
        <v>2.462234960890506</v>
      </c>
    </row>
    <row r="2991" spans="1:9">
      <c r="A2991" s="8" t="s">
        <v>3003</v>
      </c>
      <c r="B2991">
        <f>HYPERLINK("https://www.suredividend.com/sure-analysis-research-database/","Vishay Intertechnology, Inc.")</f>
        <v>0</v>
      </c>
      <c r="C2991">
        <v>-0.014801915542011</v>
      </c>
      <c r="D2991">
        <v>-0.031212675145874</v>
      </c>
      <c r="E2991">
        <v>-0.001526609779126</v>
      </c>
      <c r="F2991">
        <v>-0.05182491232627601</v>
      </c>
      <c r="G2991">
        <v>-0.155228215302949</v>
      </c>
      <c r="H2991">
        <v>0.140297394397778</v>
      </c>
      <c r="I2991">
        <v>0.5726854490110771</v>
      </c>
    </row>
    <row r="2992" spans="1:9">
      <c r="A2992" s="8" t="s">
        <v>3004</v>
      </c>
      <c r="B2992">
        <f>HYPERLINK("https://www.suredividend.com/sure-analysis-VST/","Vistra Corp")</f>
        <v>0</v>
      </c>
      <c r="C2992">
        <v>0.040738928309273</v>
      </c>
      <c r="D2992">
        <v>0.383976651189728</v>
      </c>
      <c r="E2992">
        <v>1.309607391178043</v>
      </c>
      <c r="F2992">
        <v>1.216091738435007</v>
      </c>
      <c r="G2992">
        <v>2.46138040192213</v>
      </c>
      <c r="H2992">
        <v>2.279946330254005</v>
      </c>
      <c r="I2992">
        <v>3.022507506442537</v>
      </c>
    </row>
    <row r="2993" spans="1:9">
      <c r="A2993" s="8" t="s">
        <v>3005</v>
      </c>
      <c r="B2993">
        <f>HYPERLINK("https://www.suredividend.com/sure-analysis-research-database/","Verastem Inc")</f>
        <v>0</v>
      </c>
      <c r="C2993">
        <v>-0.7022767075306481</v>
      </c>
      <c r="D2993">
        <v>-0.7116200169635281</v>
      </c>
      <c r="E2993">
        <v>-0.5520421607378131</v>
      </c>
      <c r="F2993">
        <v>-0.5823095823095821</v>
      </c>
      <c r="G2993">
        <v>-0.6964285714285711</v>
      </c>
      <c r="H2993">
        <v>-0.7908979089790891</v>
      </c>
      <c r="I2993">
        <v>-0.7733333333333331</v>
      </c>
    </row>
    <row r="2994" spans="1:9">
      <c r="A2994" s="8" t="s">
        <v>3006</v>
      </c>
      <c r="B2994">
        <f>HYPERLINK("https://www.suredividend.com/sure-analysis-research-database/","Vista Outdoor Inc")</f>
        <v>0</v>
      </c>
      <c r="C2994">
        <v>-0.003620161514898</v>
      </c>
      <c r="D2994">
        <v>0.115684440286872</v>
      </c>
      <c r="E2994">
        <v>0.290299314821492</v>
      </c>
      <c r="F2994">
        <v>0.210010145417653</v>
      </c>
      <c r="G2994">
        <v>0.238062283737024</v>
      </c>
      <c r="H2994">
        <v>-0.029826464208242</v>
      </c>
      <c r="I2994">
        <v>3.316043425814234</v>
      </c>
    </row>
    <row r="2995" spans="1:9">
      <c r="A2995" s="8" t="s">
        <v>3007</v>
      </c>
      <c r="B2995">
        <f>HYPERLINK("https://www.suredividend.com/sure-analysis-research-database/","Vertex Energy Inc")</f>
        <v>0</v>
      </c>
      <c r="C2995">
        <v>-0.303448275862068</v>
      </c>
      <c r="D2995">
        <v>-0.240601503759398</v>
      </c>
      <c r="E2995">
        <v>-0.6813880126182961</v>
      </c>
      <c r="F2995">
        <v>-0.702064896755162</v>
      </c>
      <c r="G2995">
        <v>-0.851688693098384</v>
      </c>
      <c r="H2995">
        <v>-0.9438888888888881</v>
      </c>
      <c r="I2995">
        <v>-0.320962753798574</v>
      </c>
    </row>
    <row r="2996" spans="1:9">
      <c r="A2996" s="8" t="s">
        <v>3008</v>
      </c>
      <c r="B2996">
        <f>HYPERLINK("https://www.suredividend.com/sure-analysis-VTR/","Ventas Inc")</f>
        <v>0</v>
      </c>
      <c r="C2996">
        <v>0.05474220241884101</v>
      </c>
      <c r="D2996">
        <v>0.153607838313889</v>
      </c>
      <c r="E2996">
        <v>0.09639981208355601</v>
      </c>
      <c r="F2996">
        <v>0.007784941004743</v>
      </c>
      <c r="G2996">
        <v>0.114691458516928</v>
      </c>
      <c r="H2996">
        <v>-0.050681862886454</v>
      </c>
      <c r="I2996">
        <v>-0.04527409717807501</v>
      </c>
    </row>
    <row r="2997" spans="1:9">
      <c r="A2997" s="8" t="s">
        <v>3009</v>
      </c>
      <c r="B2997">
        <f>HYPERLINK("https://www.suredividend.com/sure-analysis-research-database/","vTv Therapeutics Inc")</f>
        <v>0</v>
      </c>
      <c r="C2997">
        <v>-0.315452361889511</v>
      </c>
      <c r="D2997">
        <v>0.150740242261103</v>
      </c>
      <c r="E2997">
        <v>0.4766839378238341</v>
      </c>
      <c r="F2997">
        <v>0.48695652173913</v>
      </c>
      <c r="G2997">
        <v>-0.4758781340035551</v>
      </c>
      <c r="H2997">
        <v>-0.342307692307692</v>
      </c>
      <c r="I2997">
        <v>-0.694642857142857</v>
      </c>
    </row>
    <row r="2998" spans="1:9">
      <c r="A2998" s="8" t="s">
        <v>3010</v>
      </c>
      <c r="B2998">
        <f>HYPERLINK("https://www.suredividend.com/sure-analysis-research-database/","Vuzix Corporation")</f>
        <v>0</v>
      </c>
      <c r="C2998">
        <v>0.096</v>
      </c>
      <c r="D2998">
        <v>-0.09271523178807901</v>
      </c>
      <c r="E2998">
        <v>-0.36574074074074</v>
      </c>
      <c r="F2998">
        <v>-0.342925659472422</v>
      </c>
      <c r="G2998">
        <v>-0.726</v>
      </c>
      <c r="H2998">
        <v>-0.7970370370370371</v>
      </c>
      <c r="I2998">
        <v>-0.325123152709359</v>
      </c>
    </row>
    <row r="2999" spans="1:9">
      <c r="A2999" s="8" t="s">
        <v>3011</v>
      </c>
      <c r="B2999">
        <f>HYPERLINK("https://www.suredividend.com/sure-analysis-research-database/","Viad Corp.")</f>
        <v>0</v>
      </c>
      <c r="C2999">
        <v>-0.016473988439306</v>
      </c>
      <c r="D2999">
        <v>-0.08717811158798201</v>
      </c>
      <c r="E2999">
        <v>0.002356406480117</v>
      </c>
      <c r="F2999">
        <v>-0.059944751381215</v>
      </c>
      <c r="G2999">
        <v>0.282698831511496</v>
      </c>
      <c r="H2999">
        <v>0.054539820266501</v>
      </c>
      <c r="I2999">
        <v>-0.4669494565328061</v>
      </c>
    </row>
    <row r="3000" spans="1:9">
      <c r="A3000" s="8" t="s">
        <v>3012</v>
      </c>
      <c r="B3000">
        <f>HYPERLINK("https://www.suredividend.com/sure-analysis-research-database/","Valvoline Inc")</f>
        <v>0</v>
      </c>
      <c r="C3000">
        <v>-0.074191359420945</v>
      </c>
      <c r="D3000">
        <v>-0.061238532110091</v>
      </c>
      <c r="E3000">
        <v>0.165764739390487</v>
      </c>
      <c r="F3000">
        <v>0.08914316125598701</v>
      </c>
      <c r="G3000">
        <v>0.063116883116883</v>
      </c>
      <c r="H3000">
        <v>0.189379564058826</v>
      </c>
      <c r="I3000">
        <v>1.302607521588703</v>
      </c>
    </row>
    <row r="3001" spans="1:9">
      <c r="A3001" s="8" t="s">
        <v>3013</v>
      </c>
      <c r="B3001">
        <f>HYPERLINK("https://www.suredividend.com/sure-analysis-research-database/","Vaxart Inc")</f>
        <v>0</v>
      </c>
      <c r="C3001">
        <v>0.044555796316359</v>
      </c>
      <c r="D3001">
        <v>-0.305135135135135</v>
      </c>
      <c r="E3001">
        <v>0.105806451612903</v>
      </c>
      <c r="F3001">
        <v>0.346543296089385</v>
      </c>
      <c r="G3001">
        <v>-0.14309521164315</v>
      </c>
      <c r="H3001">
        <v>-0.7937700534759351</v>
      </c>
      <c r="I3001">
        <v>0.186980609418282</v>
      </c>
    </row>
    <row r="3002" spans="1:9">
      <c r="A3002" s="8" t="s">
        <v>3014</v>
      </c>
      <c r="B3002">
        <f>HYPERLINK("https://www.suredividend.com/sure-analysis-research-database/","Voyager Therapeutics Inc")</f>
        <v>0</v>
      </c>
      <c r="C3002">
        <v>-0.039908779931584</v>
      </c>
      <c r="D3002">
        <v>-0.108050847457627</v>
      </c>
      <c r="E3002">
        <v>0.071246819338422</v>
      </c>
      <c r="F3002">
        <v>-0.002369668246445</v>
      </c>
      <c r="G3002">
        <v>-0.33121525019857</v>
      </c>
      <c r="H3002">
        <v>0.485008818342151</v>
      </c>
      <c r="I3002">
        <v>-0.6441251056635671</v>
      </c>
    </row>
    <row r="3003" spans="1:9">
      <c r="A3003" s="8" t="s">
        <v>3015</v>
      </c>
      <c r="B3003">
        <f>HYPERLINK("https://www.suredividend.com/sure-analysis-VZ/","Verizon Communications Inc")</f>
        <v>0</v>
      </c>
      <c r="C3003">
        <v>0.041465276011192</v>
      </c>
      <c r="D3003">
        <v>0.052439453883151</v>
      </c>
      <c r="E3003">
        <v>0.094555827961703</v>
      </c>
      <c r="F3003">
        <v>0.122135730731279</v>
      </c>
      <c r="G3003">
        <v>0.24731890416301</v>
      </c>
      <c r="H3003">
        <v>-0.09476048963418901</v>
      </c>
      <c r="I3003">
        <v>-0.05838301317435701</v>
      </c>
    </row>
    <row r="3004" spans="1:9">
      <c r="A3004" s="8" t="s">
        <v>3016</v>
      </c>
      <c r="B3004">
        <f>HYPERLINK("https://www.suredividend.com/sure-analysis-research-database/","Wayfair Inc")</f>
        <v>0</v>
      </c>
      <c r="C3004">
        <v>-0.188353702372393</v>
      </c>
      <c r="D3004">
        <v>-0.056966254594052</v>
      </c>
      <c r="E3004">
        <v>0.063689466742038</v>
      </c>
      <c r="F3004">
        <v>-0.08508914100486201</v>
      </c>
      <c r="G3004">
        <v>0.145030425963488</v>
      </c>
      <c r="H3004">
        <v>0.031615497076023</v>
      </c>
      <c r="I3004">
        <v>-0.634106818771065</v>
      </c>
    </row>
    <row r="3005" spans="1:9">
      <c r="A3005" s="8" t="s">
        <v>3017</v>
      </c>
      <c r="B3005">
        <f>HYPERLINK("https://www.suredividend.com/sure-analysis-research-database/","Westinghouse Air Brake Technologies Corp")</f>
        <v>0</v>
      </c>
      <c r="C3005">
        <v>-0.007456394871401001</v>
      </c>
      <c r="D3005">
        <v>0.150523471609562</v>
      </c>
      <c r="E3005">
        <v>0.376437004619335</v>
      </c>
      <c r="F3005">
        <v>0.289230183330317</v>
      </c>
      <c r="G3005">
        <v>0.6389787044263571</v>
      </c>
      <c r="H3005">
        <v>0.744463890335154</v>
      </c>
      <c r="I3005">
        <v>1.503167887287643</v>
      </c>
    </row>
    <row r="3006" spans="1:9">
      <c r="A3006" s="8" t="s">
        <v>3018</v>
      </c>
      <c r="B3006">
        <f>HYPERLINK("https://www.suredividend.com/sure-analysis-WABC/","Westamerica Bancorporation")</f>
        <v>0</v>
      </c>
      <c r="C3006">
        <v>-0.041151429150618</v>
      </c>
      <c r="D3006">
        <v>5.285691632700001E-05</v>
      </c>
      <c r="E3006">
        <v>-0.099270656789747</v>
      </c>
      <c r="F3006">
        <v>-0.137751884003018</v>
      </c>
      <c r="G3006">
        <v>0.165348976439255</v>
      </c>
      <c r="H3006">
        <v>-0.115484445242316</v>
      </c>
      <c r="I3006">
        <v>-0.054650400524439</v>
      </c>
    </row>
    <row r="3007" spans="1:9">
      <c r="A3007" s="8" t="s">
        <v>3019</v>
      </c>
      <c r="B3007">
        <f>HYPERLINK("https://www.suredividend.com/sure-analysis-WAFD/","WaFd Inc")</f>
        <v>0</v>
      </c>
      <c r="C3007">
        <v>-0.0446649245434</v>
      </c>
      <c r="D3007">
        <v>-0.022573551521387</v>
      </c>
      <c r="E3007">
        <v>-0.07589764316222401</v>
      </c>
      <c r="F3007">
        <v>-0.150757802294653</v>
      </c>
      <c r="G3007">
        <v>-0.032572682549016</v>
      </c>
      <c r="H3007">
        <v>-0.098240934781228</v>
      </c>
      <c r="I3007">
        <v>0.002117148906139</v>
      </c>
    </row>
    <row r="3008" spans="1:9">
      <c r="A3008" s="8" t="s">
        <v>3020</v>
      </c>
      <c r="B3008">
        <f>HYPERLINK("https://www.suredividend.com/sure-analysis-research-database/","Western Alliance Bancorp")</f>
        <v>0</v>
      </c>
      <c r="C3008">
        <v>-0.049189133220299</v>
      </c>
      <c r="D3008">
        <v>-0.014800621595932</v>
      </c>
      <c r="E3008">
        <v>0.084569475560739</v>
      </c>
      <c r="F3008">
        <v>-0.09594490447966401</v>
      </c>
      <c r="G3008">
        <v>0.489122337595208</v>
      </c>
      <c r="H3008">
        <v>-0.254316513901154</v>
      </c>
      <c r="I3008">
        <v>0.49849309270412</v>
      </c>
    </row>
    <row r="3009" spans="1:9">
      <c r="A3009" s="8" t="s">
        <v>3021</v>
      </c>
      <c r="B3009">
        <f>HYPERLINK("https://www.suredividend.com/sure-analysis-WASH/","Washington Trust Bancorp, Inc.")</f>
        <v>0</v>
      </c>
      <c r="C3009">
        <v>-0.009549274255156</v>
      </c>
      <c r="D3009">
        <v>0.004540383065765</v>
      </c>
      <c r="E3009">
        <v>-0.07106879034742601</v>
      </c>
      <c r="F3009">
        <v>-0.182532101299184</v>
      </c>
      <c r="G3009">
        <v>0.036006520488397</v>
      </c>
      <c r="H3009">
        <v>-0.3772874420034391</v>
      </c>
      <c r="I3009">
        <v>-0.275876320904358</v>
      </c>
    </row>
    <row r="3010" spans="1:9">
      <c r="A3010" s="8" t="s">
        <v>3022</v>
      </c>
      <c r="B3010">
        <f>HYPERLINK("https://www.suredividend.com/sure-analysis-research-database/","Waters Corp.")</f>
        <v>0</v>
      </c>
      <c r="C3010">
        <v>-0.073514077163712</v>
      </c>
      <c r="D3010">
        <v>-0.163185595567867</v>
      </c>
      <c r="E3010">
        <v>0.029688458654304</v>
      </c>
      <c r="F3010">
        <v>-0.08243477204386</v>
      </c>
      <c r="G3010">
        <v>0.174807497861087</v>
      </c>
      <c r="H3010">
        <v>-0.118628738147337</v>
      </c>
      <c r="I3010">
        <v>0.446999089907553</v>
      </c>
    </row>
    <row r="3011" spans="1:9">
      <c r="A3011" s="8" t="s">
        <v>3023</v>
      </c>
      <c r="B3011">
        <f>HYPERLINK("https://www.suredividend.com/sure-analysis-research-database/","Energous Corp")</f>
        <v>0</v>
      </c>
      <c r="C3011">
        <v>-0.08441558441558401</v>
      </c>
      <c r="D3011">
        <v>-0.301980198019802</v>
      </c>
      <c r="E3011">
        <v>-0.298507462686567</v>
      </c>
      <c r="F3011">
        <v>-0.229508196721311</v>
      </c>
      <c r="G3011">
        <v>-0.7796875000000001</v>
      </c>
      <c r="H3011">
        <v>-0.9315533980582521</v>
      </c>
      <c r="I3011">
        <v>-0.9834894613583131</v>
      </c>
    </row>
    <row r="3012" spans="1:9">
      <c r="A3012" s="8" t="s">
        <v>3024</v>
      </c>
      <c r="B3012">
        <f>HYPERLINK("https://www.suredividend.com/sure-analysis-WBA/","Walgreens Boots Alliance Inc")</f>
        <v>0</v>
      </c>
      <c r="C3012">
        <v>-0.06140007821666001</v>
      </c>
      <c r="D3012">
        <v>-0.22231332328494</v>
      </c>
      <c r="E3012">
        <v>-0.281124060559851</v>
      </c>
      <c r="F3012">
        <v>-0.3692283799443291</v>
      </c>
      <c r="G3012">
        <v>-0.449765003803707</v>
      </c>
      <c r="H3012">
        <v>-0.5697148817802501</v>
      </c>
      <c r="I3012">
        <v>-0.599064483795522</v>
      </c>
    </row>
    <row r="3013" spans="1:9">
      <c r="A3013" s="8" t="s">
        <v>3025</v>
      </c>
      <c r="B3013">
        <f>HYPERLINK("https://www.suredividend.com/sure-analysis-research-database/","Webster Financial Corp.")</f>
        <v>0</v>
      </c>
      <c r="C3013">
        <v>-0.09224364592462701</v>
      </c>
      <c r="D3013">
        <v>-0.143726968156894</v>
      </c>
      <c r="E3013">
        <v>-0.102770949962642</v>
      </c>
      <c r="F3013">
        <v>-0.169409906135099</v>
      </c>
      <c r="G3013">
        <v>0.05611183620197401</v>
      </c>
      <c r="H3013">
        <v>-0.12192950850942</v>
      </c>
      <c r="I3013">
        <v>0.07069756864042301</v>
      </c>
    </row>
    <row r="3014" spans="1:9">
      <c r="A3014" s="8" t="s">
        <v>3026</v>
      </c>
      <c r="B3014">
        <f>HYPERLINK("https://www.suredividend.com/sure-analysis-research-database/","Welbilt Inc")</f>
        <v>0</v>
      </c>
      <c r="C3014">
        <v>0.007130872483221</v>
      </c>
      <c r="D3014">
        <v>0.01522198731501</v>
      </c>
      <c r="E3014">
        <v>0.012225969645868</v>
      </c>
      <c r="F3014">
        <v>0.010096760622633</v>
      </c>
      <c r="G3014">
        <v>0.027385537013264</v>
      </c>
      <c r="H3014">
        <v>2.775157232704402</v>
      </c>
      <c r="I3014">
        <v>0.232546201232032</v>
      </c>
    </row>
    <row r="3015" spans="1:9">
      <c r="A3015" s="8" t="s">
        <v>3027</v>
      </c>
      <c r="B3015">
        <f>HYPERLINK("https://www.suredividend.com/sure-analysis-research-database/","Wesco International, Inc.")</f>
        <v>0</v>
      </c>
      <c r="C3015">
        <v>-0.02271719858156</v>
      </c>
      <c r="D3015">
        <v>0.103167901929511</v>
      </c>
      <c r="E3015">
        <v>0.123767315560845</v>
      </c>
      <c r="F3015">
        <v>0.016947588972824</v>
      </c>
      <c r="G3015">
        <v>0.159041251170507</v>
      </c>
      <c r="H3015">
        <v>0.240561101045452</v>
      </c>
      <c r="I3015">
        <v>2.650142586928359</v>
      </c>
    </row>
    <row r="3016" spans="1:9">
      <c r="A3016" s="8" t="s">
        <v>3028</v>
      </c>
      <c r="B3016">
        <f>HYPERLINK("https://www.suredividend.com/sure-analysis-research-database/","Walker &amp; Dunlop Inc")</f>
        <v>0</v>
      </c>
      <c r="C3016">
        <v>-0.039143236052146</v>
      </c>
      <c r="D3016">
        <v>-0.012022748347743</v>
      </c>
      <c r="E3016">
        <v>0.005060198918164001</v>
      </c>
      <c r="F3016">
        <v>-0.158632010144619</v>
      </c>
      <c r="G3016">
        <v>0.208887209878875</v>
      </c>
      <c r="H3016">
        <v>-0.09962015225173101</v>
      </c>
      <c r="I3016">
        <v>0.9799640358095051</v>
      </c>
    </row>
    <row r="3017" spans="1:9">
      <c r="A3017" s="8" t="s">
        <v>3029</v>
      </c>
      <c r="B3017">
        <f>HYPERLINK("https://www.suredividend.com/sure-analysis-research-database/","Workday Inc")</f>
        <v>0</v>
      </c>
      <c r="C3017">
        <v>-0.135789600288658</v>
      </c>
      <c r="D3017">
        <v>-0.185767167787263</v>
      </c>
      <c r="E3017">
        <v>-0.20860562449519</v>
      </c>
      <c r="F3017">
        <v>-0.219155256103745</v>
      </c>
      <c r="G3017">
        <v>0.059575304758159</v>
      </c>
      <c r="H3017">
        <v>0.353594976452119</v>
      </c>
      <c r="I3017">
        <v>0.019340804842294</v>
      </c>
    </row>
    <row r="3018" spans="1:9">
      <c r="A3018" s="8" t="s">
        <v>3030</v>
      </c>
      <c r="B3018">
        <f>HYPERLINK("https://www.suredividend.com/sure-analysis-research-database/","Western Digital Corp.")</f>
        <v>0</v>
      </c>
      <c r="C3018">
        <v>0.048818016505805</v>
      </c>
      <c r="D3018">
        <v>0.166459240821406</v>
      </c>
      <c r="E3018">
        <v>0.5848657789050941</v>
      </c>
      <c r="F3018">
        <v>0.4317357265610081</v>
      </c>
      <c r="G3018">
        <v>0.8735632183908041</v>
      </c>
      <c r="H3018">
        <v>0.243037135278514</v>
      </c>
      <c r="I3018">
        <v>1.115073779347424</v>
      </c>
    </row>
    <row r="3019" spans="1:9">
      <c r="A3019" s="8" t="s">
        <v>3031</v>
      </c>
      <c r="B3019">
        <f>HYPERLINK("https://www.suredividend.com/sure-analysis-WDFC/","WD-40 Co.")</f>
        <v>0</v>
      </c>
      <c r="C3019">
        <v>-0.043683941356972</v>
      </c>
      <c r="D3019">
        <v>-0.09236268441249501</v>
      </c>
      <c r="E3019">
        <v>-0.043038734776003</v>
      </c>
      <c r="F3019">
        <v>-0.05120427163151901</v>
      </c>
      <c r="G3019">
        <v>0.209160065116494</v>
      </c>
      <c r="H3019">
        <v>0.217679056723364</v>
      </c>
      <c r="I3019">
        <v>0.488859266670957</v>
      </c>
    </row>
    <row r="3020" spans="1:9">
      <c r="A3020" s="8" t="s">
        <v>3032</v>
      </c>
      <c r="B3020">
        <f>HYPERLINK("https://www.suredividend.com/sure-analysis-research-database/","Waddell &amp; Reed Financial, Inc.")</f>
        <v>0</v>
      </c>
      <c r="C3020">
        <v>0.003196735795408</v>
      </c>
      <c r="D3020">
        <v>0.007201206383510001</v>
      </c>
      <c r="E3020">
        <v>0.635587449583573</v>
      </c>
      <c r="F3020">
        <v>0.0004886293546080001</v>
      </c>
      <c r="G3020">
        <v>0.8683620044876591</v>
      </c>
      <c r="H3020">
        <v>0.524369778667366</v>
      </c>
      <c r="I3020">
        <v>0.748173445679254</v>
      </c>
    </row>
    <row r="3021" spans="1:9">
      <c r="A3021" s="8" t="s">
        <v>3033</v>
      </c>
      <c r="B3021">
        <f>HYPERLINK("https://www.suredividend.com/sure-analysis-WEC/","WEC Energy Group Inc")</f>
        <v>0</v>
      </c>
      <c r="C3021">
        <v>-0.03807465552592</v>
      </c>
      <c r="D3021">
        <v>-0.011181022601045</v>
      </c>
      <c r="E3021">
        <v>-0.041098851480202</v>
      </c>
      <c r="F3021">
        <v>-0.031643489576069</v>
      </c>
      <c r="G3021">
        <v>-0.07186129876651101</v>
      </c>
      <c r="H3021">
        <v>-0.181949408923871</v>
      </c>
      <c r="I3021">
        <v>0.133571167968699</v>
      </c>
    </row>
    <row r="3022" spans="1:9">
      <c r="A3022" s="8" t="s">
        <v>3034</v>
      </c>
      <c r="B3022">
        <f>HYPERLINK("https://www.suredividend.com/sure-analysis-WELL/","Welltower Inc.")</f>
        <v>0</v>
      </c>
      <c r="C3022">
        <v>0.07174751317616501</v>
      </c>
      <c r="D3022">
        <v>0.134860473709411</v>
      </c>
      <c r="E3022">
        <v>0.201382266620992</v>
      </c>
      <c r="F3022">
        <v>0.165942047704674</v>
      </c>
      <c r="G3022">
        <v>0.326241986462903</v>
      </c>
      <c r="H3022">
        <v>0.233916356137191</v>
      </c>
      <c r="I3022">
        <v>0.136037820505805</v>
      </c>
    </row>
    <row r="3023" spans="1:9">
      <c r="A3023" s="8" t="s">
        <v>3035</v>
      </c>
      <c r="B3023">
        <f>HYPERLINK("https://www.suredividend.com/sure-analysis-WEN/","Wendy`s Co")</f>
        <v>0</v>
      </c>
      <c r="C3023">
        <v>-0.118744779606897</v>
      </c>
      <c r="D3023">
        <v>-0.06546771462848501</v>
      </c>
      <c r="E3023">
        <v>-0.091236180466211</v>
      </c>
      <c r="F3023">
        <v>-0.10709981520662</v>
      </c>
      <c r="G3023">
        <v>-0.175001608425178</v>
      </c>
      <c r="H3023">
        <v>0.021151996667626</v>
      </c>
      <c r="I3023">
        <v>0.020208325683301</v>
      </c>
    </row>
    <row r="3024" spans="1:9">
      <c r="A3024" s="8" t="s">
        <v>3036</v>
      </c>
      <c r="B3024">
        <f>HYPERLINK("https://www.suredividend.com/sure-analysis-research-database/","Werner Enterprises, Inc.")</f>
        <v>0</v>
      </c>
      <c r="C3024">
        <v>0.000547495209416</v>
      </c>
      <c r="D3024">
        <v>-0.058341599144649</v>
      </c>
      <c r="E3024">
        <v>-0.086957607853913</v>
      </c>
      <c r="F3024">
        <v>-0.130794603554348</v>
      </c>
      <c r="G3024">
        <v>-0.172207928685316</v>
      </c>
      <c r="H3024">
        <v>-0.062931038903103</v>
      </c>
      <c r="I3024">
        <v>0.349076869698736</v>
      </c>
    </row>
    <row r="3025" spans="1:9">
      <c r="A3025" s="8" t="s">
        <v>3037</v>
      </c>
      <c r="B3025">
        <f>HYPERLINK("https://www.suredividend.com/sure-analysis-research-database/","WEX Inc")</f>
        <v>0</v>
      </c>
      <c r="C3025">
        <v>-0.144051781158461</v>
      </c>
      <c r="D3025">
        <v>-0.209175433235846</v>
      </c>
      <c r="E3025">
        <v>0.020273694880891</v>
      </c>
      <c r="F3025">
        <v>-0.068774094063222</v>
      </c>
      <c r="G3025">
        <v>-0.001212856276531</v>
      </c>
      <c r="H3025">
        <v>0.040608845491097</v>
      </c>
      <c r="I3025">
        <v>-0.08652246256239601</v>
      </c>
    </row>
    <row r="3026" spans="1:9">
      <c r="A3026" s="8" t="s">
        <v>3038</v>
      </c>
      <c r="B3026">
        <f>HYPERLINK("https://www.suredividend.com/sure-analysis-WEYS/","Weyco Group, Inc")</f>
        <v>0</v>
      </c>
      <c r="C3026">
        <v>0.058592607471464</v>
      </c>
      <c r="D3026">
        <v>0.07827547712971901</v>
      </c>
      <c r="E3026">
        <v>0.044230314659547</v>
      </c>
      <c r="F3026">
        <v>-0.008714992360769001</v>
      </c>
      <c r="G3026">
        <v>0.187065569171069</v>
      </c>
      <c r="H3026">
        <v>0.141914417239714</v>
      </c>
      <c r="I3026">
        <v>0.491514651996464</v>
      </c>
    </row>
    <row r="3027" spans="1:9">
      <c r="A3027" s="8" t="s">
        <v>3039</v>
      </c>
      <c r="B3027">
        <f>HYPERLINK("https://www.suredividend.com/sure-analysis-WFC/","Wells Fargo &amp; Co.")</f>
        <v>0</v>
      </c>
      <c r="C3027">
        <v>-0.025961562533901</v>
      </c>
      <c r="D3027">
        <v>0.029745457368608</v>
      </c>
      <c r="E3027">
        <v>0.301934608794974</v>
      </c>
      <c r="F3027">
        <v>0.200889761365343</v>
      </c>
      <c r="G3027">
        <v>0.428599404668651</v>
      </c>
      <c r="H3027">
        <v>0.358533082235946</v>
      </c>
      <c r="I3027">
        <v>0.471815836395413</v>
      </c>
    </row>
    <row r="3028" spans="1:9">
      <c r="A3028" s="8" t="s">
        <v>3040</v>
      </c>
      <c r="B3028">
        <f>HYPERLINK("https://www.suredividend.com/sure-analysis-WGO/","Winnebago Industries, Inc.")</f>
        <v>0</v>
      </c>
      <c r="C3028">
        <v>-0.03338194782045</v>
      </c>
      <c r="D3028">
        <v>-0.062691998862345</v>
      </c>
      <c r="E3028">
        <v>-0.144869071068333</v>
      </c>
      <c r="F3028">
        <v>-0.174203587542033</v>
      </c>
      <c r="G3028">
        <v>-0.06792068966056</v>
      </c>
      <c r="H3028">
        <v>0.246278401671454</v>
      </c>
      <c r="I3028">
        <v>0.8489702800887751</v>
      </c>
    </row>
    <row r="3029" spans="1:9">
      <c r="A3029" s="8" t="s">
        <v>3041</v>
      </c>
      <c r="B3029">
        <f>HYPERLINK("https://www.suredividend.com/sure-analysis-research-database/","Wyndham Hotels &amp; Resorts Inc")</f>
        <v>0</v>
      </c>
      <c r="C3029">
        <v>-0.040852096534987</v>
      </c>
      <c r="D3029">
        <v>-0.063591286686648</v>
      </c>
      <c r="E3029">
        <v>-0.08486777278375601</v>
      </c>
      <c r="F3029">
        <v>-0.110987810760621</v>
      </c>
      <c r="G3029">
        <v>-0.015887727646859</v>
      </c>
      <c r="H3029">
        <v>-0.082163997708635</v>
      </c>
      <c r="I3029">
        <v>0.369114290443143</v>
      </c>
    </row>
    <row r="3030" spans="1:9">
      <c r="A3030" s="8" t="s">
        <v>3042</v>
      </c>
      <c r="B3030">
        <f>HYPERLINK("https://www.suredividend.com/sure-analysis-research-database/","Cactus Inc")</f>
        <v>0</v>
      </c>
      <c r="C3030">
        <v>-0.08818082141626001</v>
      </c>
      <c r="D3030">
        <v>0.000668964942389</v>
      </c>
      <c r="E3030">
        <v>0.149919318988405</v>
      </c>
      <c r="F3030">
        <v>0.036446065843767</v>
      </c>
      <c r="G3030">
        <v>0.260024759136659</v>
      </c>
      <c r="H3030">
        <v>-0.147429815919863</v>
      </c>
      <c r="I3030">
        <v>0.5082450946599361</v>
      </c>
    </row>
    <row r="3031" spans="1:9">
      <c r="A3031" s="8" t="s">
        <v>3043</v>
      </c>
      <c r="B3031">
        <f>HYPERLINK("https://www.suredividend.com/sure-analysis-research-database/","Westwood Holdings Group Inc")</f>
        <v>0</v>
      </c>
      <c r="C3031">
        <v>0.025115325474115</v>
      </c>
      <c r="D3031">
        <v>0.031102096010817</v>
      </c>
      <c r="E3031">
        <v>0.136967279572798</v>
      </c>
      <c r="F3031">
        <v>-0.005040043060562</v>
      </c>
      <c r="G3031">
        <v>-0.075049848747905</v>
      </c>
      <c r="H3031">
        <v>-0.176404668840418</v>
      </c>
      <c r="I3031">
        <v>-0.431905491425032</v>
      </c>
    </row>
    <row r="3032" spans="1:9">
      <c r="A3032" s="8" t="s">
        <v>3044</v>
      </c>
      <c r="B3032">
        <f>HYPERLINK("https://www.suredividend.com/sure-analysis-research-database/","Wilhelmina International Inc")</f>
        <v>0</v>
      </c>
      <c r="C3032">
        <v>0.464611872146118</v>
      </c>
      <c r="D3032">
        <v>0.495651768436268</v>
      </c>
      <c r="E3032">
        <v>0.354432785085404</v>
      </c>
      <c r="F3032">
        <v>0.558930741190765</v>
      </c>
      <c r="G3032">
        <v>0.6533505154639171</v>
      </c>
      <c r="H3032">
        <v>0.382543103448276</v>
      </c>
      <c r="I3032">
        <v>0.166363636363636</v>
      </c>
    </row>
    <row r="3033" spans="1:9">
      <c r="A3033" s="8" t="s">
        <v>3045</v>
      </c>
      <c r="B3033">
        <f>HYPERLINK("https://www.suredividend.com/sure-analysis-research-database/","Wheeler Real Estate Investment Trust Inc")</f>
        <v>0</v>
      </c>
      <c r="C3033">
        <v>-0.503086419753086</v>
      </c>
      <c r="D3033">
        <v>-0.6709988556481931</v>
      </c>
      <c r="E3033">
        <v>-0.8439922480620151</v>
      </c>
      <c r="F3033">
        <v>-0.78012673440402</v>
      </c>
      <c r="G3033">
        <v>-0.9905516431924881</v>
      </c>
      <c r="H3033">
        <v>-0.9974297573435501</v>
      </c>
      <c r="I3033">
        <v>-0.9961446360153251</v>
      </c>
    </row>
    <row r="3034" spans="1:9">
      <c r="A3034" s="8" t="s">
        <v>3046</v>
      </c>
      <c r="B3034">
        <f>HYPERLINK("https://www.suredividend.com/sure-analysis-WHR/","Whirlpool Corp.")</f>
        <v>0</v>
      </c>
      <c r="C3034">
        <v>-0.05520084487259901</v>
      </c>
      <c r="D3034">
        <v>-0.169828171766055</v>
      </c>
      <c r="E3034">
        <v>-0.177332005164547</v>
      </c>
      <c r="F3034">
        <v>-0.250565562756204</v>
      </c>
      <c r="G3034">
        <v>-0.356901450182851</v>
      </c>
      <c r="H3034">
        <v>-0.4307287602135471</v>
      </c>
      <c r="I3034">
        <v>-0.158759752973982</v>
      </c>
    </row>
    <row r="3035" spans="1:9">
      <c r="A3035" s="8" t="s">
        <v>3047</v>
      </c>
      <c r="B3035">
        <f>HYPERLINK("https://www.suredividend.com/sure-analysis-research-database/","Boingo Wireless Inc")</f>
        <v>0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</row>
    <row r="3036" spans="1:9">
      <c r="A3036" s="8" t="s">
        <v>3048</v>
      </c>
      <c r="B3036">
        <f>HYPERLINK("https://www.suredividend.com/sure-analysis-research-database/","Winmark Corporation")</f>
        <v>0</v>
      </c>
      <c r="C3036">
        <v>-0.07290950386530801</v>
      </c>
      <c r="D3036">
        <v>-0.054851149465169</v>
      </c>
      <c r="E3036">
        <v>-0.233541786202052</v>
      </c>
      <c r="F3036">
        <v>-0.193617181181066</v>
      </c>
      <c r="G3036">
        <v>-0.07773819361721501</v>
      </c>
      <c r="H3036">
        <v>0.7081254846957711</v>
      </c>
      <c r="I3036">
        <v>1.074722077146907</v>
      </c>
    </row>
    <row r="3037" spans="1:9">
      <c r="A3037" s="8" t="s">
        <v>3049</v>
      </c>
      <c r="B3037">
        <f>HYPERLINK("https://www.suredividend.com/sure-analysis-research-database/","Wingstop Inc")</f>
        <v>0</v>
      </c>
      <c r="C3037">
        <v>-0.034223793138331</v>
      </c>
      <c r="D3037">
        <v>0.036315739448637</v>
      </c>
      <c r="E3037">
        <v>0.5652778236606181</v>
      </c>
      <c r="F3037">
        <v>0.4992698779535951</v>
      </c>
      <c r="G3037">
        <v>0.9683799574925531</v>
      </c>
      <c r="H3037">
        <v>3.775788436268069</v>
      </c>
      <c r="I3037">
        <v>3.679127596721356</v>
      </c>
    </row>
    <row r="3038" spans="1:9">
      <c r="A3038" s="8" t="s">
        <v>3050</v>
      </c>
      <c r="B3038">
        <f>HYPERLINK("https://www.suredividend.com/sure-analysis-research-database/","Encore Wire Corp.")</f>
        <v>0</v>
      </c>
      <c r="C3038">
        <v>0.026671408250355</v>
      </c>
      <c r="D3038">
        <v>0.285320720242621</v>
      </c>
      <c r="E3038">
        <v>0.516120663669085</v>
      </c>
      <c r="F3038">
        <v>0.351944936926406</v>
      </c>
      <c r="G3038">
        <v>0.5701379023784291</v>
      </c>
      <c r="H3038">
        <v>0.979619586645556</v>
      </c>
      <c r="I3038">
        <v>4.461947987573926</v>
      </c>
    </row>
    <row r="3039" spans="1:9">
      <c r="A3039" s="8" t="s">
        <v>3051</v>
      </c>
      <c r="B3039">
        <f>HYPERLINK("https://www.suredividend.com/sure-analysis-research-database/","Workiva Inc")</f>
        <v>0</v>
      </c>
      <c r="C3039">
        <v>-0.060565439922008</v>
      </c>
      <c r="D3039">
        <v>-0.106410107801089</v>
      </c>
      <c r="E3039">
        <v>-0.194714300637208</v>
      </c>
      <c r="F3039">
        <v>-0.240717029449423</v>
      </c>
      <c r="G3039">
        <v>-0.233545436468482</v>
      </c>
      <c r="H3039">
        <v>0.02554210456299</v>
      </c>
      <c r="I3039">
        <v>0.420490141883176</v>
      </c>
    </row>
    <row r="3040" spans="1:9">
      <c r="A3040" s="8" t="s">
        <v>3052</v>
      </c>
      <c r="B3040">
        <f>HYPERLINK("https://www.suredividend.com/sure-analysis-research-database/","Workhorse Group Inc")</f>
        <v>0</v>
      </c>
      <c r="C3040">
        <v>-0.09638554216867401</v>
      </c>
      <c r="D3040">
        <v>-0.409642505739586</v>
      </c>
      <c r="E3040">
        <v>-0.5543451349343891</v>
      </c>
      <c r="F3040">
        <v>-0.5</v>
      </c>
      <c r="G3040">
        <v>-0.798454820288881</v>
      </c>
      <c r="H3040">
        <v>-0.939189189189189</v>
      </c>
      <c r="I3040">
        <v>-0.9210526315789471</v>
      </c>
    </row>
    <row r="3041" spans="1:9">
      <c r="A3041" s="8" t="s">
        <v>3053</v>
      </c>
      <c r="B3041">
        <f>HYPERLINK("https://www.suredividend.com/sure-analysis-research-database/","Willdan Group Inc")</f>
        <v>0</v>
      </c>
      <c r="C3041">
        <v>-0.050483675937122</v>
      </c>
      <c r="D3041">
        <v>0.5823677581863981</v>
      </c>
      <c r="E3041">
        <v>0.510096153846153</v>
      </c>
      <c r="F3041">
        <v>0.460930232558139</v>
      </c>
      <c r="G3041">
        <v>0.6082949308755751</v>
      </c>
      <c r="H3041">
        <v>0.140522875816993</v>
      </c>
      <c r="I3041">
        <v>-0.008209662140827001</v>
      </c>
    </row>
    <row r="3042" spans="1:9">
      <c r="A3042" s="8" t="s">
        <v>3054</v>
      </c>
      <c r="B3042">
        <f>HYPERLINK("https://www.suredividend.com/sure-analysis-research-database/","Willis Lease Finance Corp.")</f>
        <v>0</v>
      </c>
      <c r="C3042">
        <v>0.146594577646692</v>
      </c>
      <c r="D3042">
        <v>0.340965537825248</v>
      </c>
      <c r="E3042">
        <v>0.368914966223274</v>
      </c>
      <c r="F3042">
        <v>0.330265334004458</v>
      </c>
      <c r="G3042">
        <v>0.5555830344998141</v>
      </c>
      <c r="H3042">
        <v>0.6600291890665041</v>
      </c>
      <c r="I3042">
        <v>0.30307600517087</v>
      </c>
    </row>
    <row r="3043" spans="1:9">
      <c r="A3043" s="8" t="s">
        <v>3055</v>
      </c>
      <c r="B3043">
        <f>HYPERLINK("https://www.suredividend.com/sure-analysis-WLK/","Westlake Corporation")</f>
        <v>0</v>
      </c>
      <c r="C3043">
        <v>-0.018879877707842</v>
      </c>
      <c r="D3043">
        <v>0.076411801204658</v>
      </c>
      <c r="E3043">
        <v>0.189260359490687</v>
      </c>
      <c r="F3043">
        <v>0.100720097259889</v>
      </c>
      <c r="G3043">
        <v>0.337662530674618</v>
      </c>
      <c r="H3043">
        <v>0.173893696679555</v>
      </c>
      <c r="I3043">
        <v>1.590426207305201</v>
      </c>
    </row>
    <row r="3044" spans="1:9">
      <c r="A3044" s="8" t="s">
        <v>3056</v>
      </c>
      <c r="B3044">
        <f>HYPERLINK("https://www.suredividend.com/sure-analysis-research-database/","Whiting Petroleum Corp")</f>
        <v>0</v>
      </c>
      <c r="C3044">
        <v>-0.230951842640741</v>
      </c>
      <c r="D3044">
        <v>-0.162533499275541</v>
      </c>
      <c r="E3044">
        <v>0.059330611431365</v>
      </c>
      <c r="F3044">
        <v>0.059330611431365</v>
      </c>
      <c r="G3044">
        <v>0.25604899384992</v>
      </c>
      <c r="H3044">
        <v>2.513710339698264</v>
      </c>
      <c r="I3044">
        <v>2.513710339698264</v>
      </c>
    </row>
    <row r="3045" spans="1:9">
      <c r="A3045" s="8" t="s">
        <v>3057</v>
      </c>
      <c r="B3045">
        <f>HYPERLINK("https://www.suredividend.com/sure-analysis-WM/","Waste Management, Inc.")</f>
        <v>0</v>
      </c>
      <c r="C3045">
        <v>-0.043726790526815</v>
      </c>
      <c r="D3045">
        <v>-0.025313182839679</v>
      </c>
      <c r="E3045">
        <v>0.168789389455427</v>
      </c>
      <c r="F3045">
        <v>0.127937530652004</v>
      </c>
      <c r="G3045">
        <v>0.261310442115882</v>
      </c>
      <c r="H3045">
        <v>0.296524241867874</v>
      </c>
      <c r="I3045">
        <v>0.9087057157432291</v>
      </c>
    </row>
    <row r="3046" spans="1:9">
      <c r="A3046" s="8" t="s">
        <v>3058</v>
      </c>
      <c r="B3046">
        <f>HYPERLINK("https://www.suredividend.com/sure-analysis-WMB/","Williams Cos Inc")</f>
        <v>0</v>
      </c>
      <c r="C3046">
        <v>0.052726872987338</v>
      </c>
      <c r="D3046">
        <v>0.146217341958595</v>
      </c>
      <c r="E3046">
        <v>0.194234809450593</v>
      </c>
      <c r="F3046">
        <v>0.197661176650609</v>
      </c>
      <c r="G3046">
        <v>0.382646596209442</v>
      </c>
      <c r="H3046">
        <v>0.20920421290313</v>
      </c>
      <c r="I3046">
        <v>0.9938860692520231</v>
      </c>
    </row>
    <row r="3047" spans="1:9">
      <c r="A3047" s="8" t="s">
        <v>3059</v>
      </c>
      <c r="B3047">
        <f>HYPERLINK("https://www.suredividend.com/sure-analysis-research-database/","Western Asset Mortgage Capital Corp")</f>
        <v>0</v>
      </c>
      <c r="C3047">
        <v>0.08940735290627201</v>
      </c>
      <c r="D3047">
        <v>-0.05999447055570901</v>
      </c>
      <c r="E3047">
        <v>0.157629255989911</v>
      </c>
      <c r="F3047">
        <v>0.161246252514136</v>
      </c>
      <c r="G3047">
        <v>0.20830810540448</v>
      </c>
      <c r="H3047">
        <v>-0.4514654477009941</v>
      </c>
      <c r="I3047">
        <v>-0.838200536159007</v>
      </c>
    </row>
    <row r="3048" spans="1:9">
      <c r="A3048" s="8" t="s">
        <v>3060</v>
      </c>
      <c r="B3048">
        <f>HYPERLINK("https://www.suredividend.com/sure-analysis-research-database/","Weis Markets, Inc.")</f>
        <v>0</v>
      </c>
      <c r="C3048">
        <v>0.000254760843258</v>
      </c>
      <c r="D3048">
        <v>-0.035054168759533</v>
      </c>
      <c r="E3048">
        <v>0.0007981532549830001</v>
      </c>
      <c r="F3048">
        <v>-0.007181419341787</v>
      </c>
      <c r="G3048">
        <v>-0.042128359679123</v>
      </c>
      <c r="H3048">
        <v>-0.137218277458076</v>
      </c>
      <c r="I3048">
        <v>0.8500466781914181</v>
      </c>
    </row>
    <row r="3049" spans="1:9">
      <c r="A3049" s="8" t="s">
        <v>3061</v>
      </c>
      <c r="B3049">
        <f>HYPERLINK("https://www.suredividend.com/sure-analysis-research-database/","Advanced Drainage Systems Inc")</f>
        <v>0</v>
      </c>
      <c r="C3049">
        <v>-0.03669959624848</v>
      </c>
      <c r="D3049">
        <v>-0.023044579741925</v>
      </c>
      <c r="E3049">
        <v>0.293665508196039</v>
      </c>
      <c r="F3049">
        <v>0.152561834183811</v>
      </c>
      <c r="G3049">
        <v>0.505930748218914</v>
      </c>
      <c r="H3049">
        <v>0.446990481573026</v>
      </c>
      <c r="I3049">
        <v>4.476396767162603</v>
      </c>
    </row>
    <row r="3050" spans="1:9">
      <c r="A3050" s="8" t="s">
        <v>3062</v>
      </c>
      <c r="B3050">
        <f>HYPERLINK("https://www.suredividend.com/sure-analysis-WMT/","Walmart Inc")</f>
        <v>0</v>
      </c>
      <c r="C3050">
        <v>0.09052264969856601</v>
      </c>
      <c r="D3050">
        <v>0.098941426488691</v>
      </c>
      <c r="E3050">
        <v>0.305236797058264</v>
      </c>
      <c r="F3050">
        <v>0.262267252710195</v>
      </c>
      <c r="G3050">
        <v>0.336302895322939</v>
      </c>
      <c r="H3050">
        <v>0.65093748590388</v>
      </c>
      <c r="I3050">
        <v>1.017251357235373</v>
      </c>
    </row>
    <row r="3051" spans="1:9">
      <c r="A3051" s="8" t="s">
        <v>3063</v>
      </c>
      <c r="B3051">
        <f>HYPERLINK("https://www.suredividend.com/sure-analysis-research-database/","Wabash National Corp.")</f>
        <v>0</v>
      </c>
      <c r="C3051">
        <v>-0.114285714285714</v>
      </c>
      <c r="D3051">
        <v>-0.256302887551251</v>
      </c>
      <c r="E3051">
        <v>-0.161564751296992</v>
      </c>
      <c r="F3051">
        <v>-0.196582136321869</v>
      </c>
      <c r="G3051">
        <v>-0.228937093929481</v>
      </c>
      <c r="H3051">
        <v>0.290151715788279</v>
      </c>
      <c r="I3051">
        <v>0.5639332232617861</v>
      </c>
    </row>
    <row r="3052" spans="1:9">
      <c r="A3052" s="8" t="s">
        <v>3064</v>
      </c>
      <c r="B3052">
        <f>HYPERLINK("https://www.suredividend.com/sure-analysis-research-database/","Western New England Bancorp Inc")</f>
        <v>0</v>
      </c>
      <c r="C3052">
        <v>0.006191950464396001</v>
      </c>
      <c r="D3052">
        <v>-0.208282582216808</v>
      </c>
      <c r="E3052">
        <v>-0.178005968941271</v>
      </c>
      <c r="F3052">
        <v>-0.255637117368849</v>
      </c>
      <c r="G3052">
        <v>0.133945082167405</v>
      </c>
      <c r="H3052">
        <v>-0.137782376271771</v>
      </c>
      <c r="I3052">
        <v>-0.14804377744282</v>
      </c>
    </row>
    <row r="3053" spans="1:9">
      <c r="A3053" s="8" t="s">
        <v>3065</v>
      </c>
      <c r="B3053">
        <f>HYPERLINK("https://www.suredividend.com/sure-analysis-research-database/","Worthington Enterprises Inc.")</f>
        <v>0</v>
      </c>
      <c r="C3053">
        <v>-0.09182282793867101</v>
      </c>
      <c r="D3053">
        <v>-0.163343424689137</v>
      </c>
      <c r="E3053">
        <v>0.030774347234253</v>
      </c>
      <c r="F3053">
        <v>-0.071319071841683</v>
      </c>
      <c r="G3053">
        <v>0.299609946367625</v>
      </c>
      <c r="H3053">
        <v>0.7339517576956101</v>
      </c>
      <c r="I3053">
        <v>1.52246369611197</v>
      </c>
    </row>
    <row r="3054" spans="1:9">
      <c r="A3054" s="8" t="s">
        <v>3066</v>
      </c>
      <c r="B3054">
        <f>HYPERLINK("https://www.suredividend.com/sure-analysis-research-database/","WideOpenWest Inc")</f>
        <v>0</v>
      </c>
      <c r="C3054">
        <v>0.09482758620689601</v>
      </c>
      <c r="D3054">
        <v>0.4269662921348311</v>
      </c>
      <c r="E3054">
        <v>0.282828282828282</v>
      </c>
      <c r="F3054">
        <v>0.254320987654321</v>
      </c>
      <c r="G3054">
        <v>-0.394517282479141</v>
      </c>
      <c r="H3054">
        <v>-0.7705510388437211</v>
      </c>
      <c r="I3054">
        <v>-0.30315500685871</v>
      </c>
    </row>
    <row r="3055" spans="1:9">
      <c r="A3055" s="8" t="s">
        <v>3067</v>
      </c>
      <c r="B3055">
        <f>HYPERLINK("https://www.suredividend.com/sure-analysis-WPC/","W. P. Carey Inc")</f>
        <v>0</v>
      </c>
      <c r="C3055">
        <v>-0.027003635104725</v>
      </c>
      <c r="D3055">
        <v>0.000142343688836</v>
      </c>
      <c r="E3055">
        <v>-0.09583854098806301</v>
      </c>
      <c r="F3055">
        <v>-0.11899175416406</v>
      </c>
      <c r="G3055">
        <v>-0.140913953843802</v>
      </c>
      <c r="H3055">
        <v>-0.233382568147939</v>
      </c>
      <c r="I3055">
        <v>-0.104127452652315</v>
      </c>
    </row>
    <row r="3056" spans="1:9">
      <c r="A3056" s="8" t="s">
        <v>3068</v>
      </c>
      <c r="B3056">
        <f>HYPERLINK("https://www.suredividend.com/sure-analysis-research-database/","Washington Prime Group Inc")</f>
        <v>0</v>
      </c>
      <c r="C3056">
        <v>-0.369469696969697</v>
      </c>
      <c r="D3056">
        <v>-0.648818565400843</v>
      </c>
      <c r="E3056">
        <v>-0.618211009174311</v>
      </c>
      <c r="F3056">
        <v>-0.8721505376344081</v>
      </c>
      <c r="G3056">
        <v>-0.8527892744702671</v>
      </c>
      <c r="H3056">
        <v>-0.97676729612416</v>
      </c>
      <c r="I3056">
        <v>-0.9877331808394141</v>
      </c>
    </row>
    <row r="3057" spans="1:9">
      <c r="A3057" s="8" t="s">
        <v>3069</v>
      </c>
      <c r="B3057">
        <f>HYPERLINK("https://www.suredividend.com/sure-analysis-research-database/","WPX Energy Inc")</f>
        <v>0</v>
      </c>
      <c r="C3057">
        <v>0.093967517401392</v>
      </c>
      <c r="D3057">
        <v>0.889779559118236</v>
      </c>
      <c r="E3057">
        <v>0.6869409660107331</v>
      </c>
      <c r="F3057">
        <v>0.157055214723926</v>
      </c>
      <c r="G3057">
        <v>-0.3330975954738331</v>
      </c>
      <c r="H3057">
        <v>-0.222588623248145</v>
      </c>
      <c r="I3057">
        <v>0.8973843058350101</v>
      </c>
    </row>
    <row r="3058" spans="1:9">
      <c r="A3058" s="8" t="s">
        <v>3070</v>
      </c>
      <c r="B3058">
        <f>HYPERLINK("https://www.suredividend.com/sure-analysis-WRB/","W.R. Berkley Corp.")</f>
        <v>0</v>
      </c>
      <c r="C3058">
        <v>0.021005728835136</v>
      </c>
      <c r="D3058">
        <v>-0.047392801995486</v>
      </c>
      <c r="E3058">
        <v>0.140674135569547</v>
      </c>
      <c r="F3058">
        <v>0.135544672072538</v>
      </c>
      <c r="G3058">
        <v>0.415130961371512</v>
      </c>
      <c r="H3058">
        <v>0.144448852269062</v>
      </c>
      <c r="I3058">
        <v>0.9997456682566551</v>
      </c>
    </row>
    <row r="3059" spans="1:9">
      <c r="A3059" s="8" t="s">
        <v>3071</v>
      </c>
      <c r="B3059">
        <f>HYPERLINK("https://www.suredividend.com/sure-analysis-research-database/","Weingarten Realty Investors")</f>
        <v>0</v>
      </c>
      <c r="C3059">
        <v>-0.0009120173378620001</v>
      </c>
      <c r="D3059">
        <v>0.002749268031307</v>
      </c>
      <c r="E3059">
        <v>0.420047786595363</v>
      </c>
      <c r="F3059">
        <v>0.509825390422405</v>
      </c>
      <c r="G3059">
        <v>0.9912345147315881</v>
      </c>
      <c r="H3059">
        <v>0.274711730267105</v>
      </c>
      <c r="I3059">
        <v>0.03001254754471</v>
      </c>
    </row>
    <row r="3060" spans="1:9">
      <c r="A3060" s="8" t="s">
        <v>3072</v>
      </c>
      <c r="B3060">
        <f>HYPERLINK("https://www.suredividend.com/sure-analysis-WRK/","WestRock Co")</f>
        <v>0</v>
      </c>
      <c r="C3060">
        <v>0.010569473241149</v>
      </c>
      <c r="D3060">
        <v>0.150794971651743</v>
      </c>
      <c r="E3060">
        <v>0.282983766024927</v>
      </c>
      <c r="F3060">
        <v>0.265989649448296</v>
      </c>
      <c r="G3060">
        <v>0.7578469256321601</v>
      </c>
      <c r="H3060">
        <v>0.113040342883388</v>
      </c>
      <c r="I3060">
        <v>0.6472695855462101</v>
      </c>
    </row>
    <row r="3061" spans="1:9">
      <c r="A3061" s="8" t="s">
        <v>3073</v>
      </c>
      <c r="B3061">
        <f>HYPERLINK("https://www.suredividend.com/sure-analysis-research-database/","World Acceptance Corp.")</f>
        <v>0</v>
      </c>
      <c r="C3061">
        <v>-0.067261597462939</v>
      </c>
      <c r="D3061">
        <v>-0.023699243476918</v>
      </c>
      <c r="E3061">
        <v>0.056822929723405</v>
      </c>
      <c r="F3061">
        <v>-0.0311039607753</v>
      </c>
      <c r="G3061">
        <v>0.013300216328819</v>
      </c>
      <c r="H3061">
        <v>-0.069594644302214</v>
      </c>
      <c r="I3061">
        <v>-0.074970743124634</v>
      </c>
    </row>
    <row r="3062" spans="1:9">
      <c r="A3062" s="8" t="s">
        <v>3074</v>
      </c>
      <c r="B3062">
        <f>HYPERLINK("https://www.suredividend.com/sure-analysis-research-database/","Wrap Technologies Inc")</f>
        <v>0</v>
      </c>
      <c r="C3062">
        <v>0.112185686653771</v>
      </c>
      <c r="D3062">
        <v>-0.339080459770114</v>
      </c>
      <c r="E3062">
        <v>-0.108527131782945</v>
      </c>
      <c r="F3062">
        <v>-0.100156494522691</v>
      </c>
      <c r="G3062">
        <v>0.258205689277899</v>
      </c>
      <c r="H3062">
        <v>0.210526315789473</v>
      </c>
      <c r="I3062">
        <v>0.210526315789473</v>
      </c>
    </row>
    <row r="3063" spans="1:9">
      <c r="A3063" s="8" t="s">
        <v>3075</v>
      </c>
      <c r="B3063">
        <f>HYPERLINK("https://www.suredividend.com/sure-analysis-WSBC/","Wesbanco, Inc.")</f>
        <v>0</v>
      </c>
      <c r="C3063">
        <v>-0.037408244443716</v>
      </c>
      <c r="D3063">
        <v>-0.08102924724308701</v>
      </c>
      <c r="E3063">
        <v>-0.024204883771549</v>
      </c>
      <c r="F3063">
        <v>-0.11223438354831</v>
      </c>
      <c r="G3063">
        <v>0.050733129675166</v>
      </c>
      <c r="H3063">
        <v>-0.076434233038863</v>
      </c>
      <c r="I3063">
        <v>0.0006544923522750001</v>
      </c>
    </row>
    <row r="3064" spans="1:9">
      <c r="A3064" s="8" t="s">
        <v>3076</v>
      </c>
      <c r="B3064">
        <f>HYPERLINK("https://www.suredividend.com/sure-analysis-research-database/","Waterstone Financial Inc")</f>
        <v>0</v>
      </c>
      <c r="C3064">
        <v>0.001651527663088</v>
      </c>
      <c r="D3064">
        <v>0.028053224849563</v>
      </c>
      <c r="E3064">
        <v>0.012081567266295</v>
      </c>
      <c r="F3064">
        <v>-0.10408957627056</v>
      </c>
      <c r="G3064">
        <v>-0.129255021319971</v>
      </c>
      <c r="H3064">
        <v>-0.15722920864309</v>
      </c>
      <c r="I3064">
        <v>0.026643645473627</v>
      </c>
    </row>
    <row r="3065" spans="1:9">
      <c r="A3065" s="8" t="s">
        <v>3077</v>
      </c>
      <c r="B3065">
        <f>HYPERLINK("https://www.suredividend.com/sure-analysis-research-database/","WillScot Mobile Mini Holdings Corp")</f>
        <v>0</v>
      </c>
      <c r="C3065">
        <v>-0.022210875670155</v>
      </c>
      <c r="D3065">
        <v>-0.188387370205552</v>
      </c>
      <c r="E3065">
        <v>-0.047737444057682</v>
      </c>
      <c r="F3065">
        <v>-0.139325842696629</v>
      </c>
      <c r="G3065">
        <v>-0.186491079014443</v>
      </c>
      <c r="H3065">
        <v>0.008691071898867002</v>
      </c>
      <c r="I3065">
        <v>1.693389592123769</v>
      </c>
    </row>
    <row r="3066" spans="1:9">
      <c r="A3066" s="8" t="s">
        <v>3078</v>
      </c>
      <c r="B3066">
        <f>HYPERLINK("https://www.suredividend.com/sure-analysis-research-database/","WSFS Financial Corp.")</f>
        <v>0</v>
      </c>
      <c r="C3066">
        <v>-0.037815033728109</v>
      </c>
      <c r="D3066">
        <v>0.006571794382598001</v>
      </c>
      <c r="E3066">
        <v>0.07243530244438801</v>
      </c>
      <c r="F3066">
        <v>-0.033337601158493</v>
      </c>
      <c r="G3066">
        <v>0.133847910576452</v>
      </c>
      <c r="H3066">
        <v>0.054969728945777</v>
      </c>
      <c r="I3066">
        <v>0.195168016768924</v>
      </c>
    </row>
    <row r="3067" spans="1:9">
      <c r="A3067" s="8" t="s">
        <v>3079</v>
      </c>
      <c r="B3067">
        <f>HYPERLINK("https://www.suredividend.com/sure-analysis-WSM/","Williams-Sonoma, Inc.")</f>
        <v>0</v>
      </c>
      <c r="C3067">
        <v>-0.030170413102579</v>
      </c>
      <c r="D3067">
        <v>0.186699007581778</v>
      </c>
      <c r="E3067">
        <v>0.5103325499072691</v>
      </c>
      <c r="F3067">
        <v>0.4619793897490511</v>
      </c>
      <c r="G3067">
        <v>1.30499136376817</v>
      </c>
      <c r="H3067">
        <v>1.438617727580422</v>
      </c>
      <c r="I3067">
        <v>4.76561092572627</v>
      </c>
    </row>
    <row r="3068" spans="1:9">
      <c r="A3068" s="8" t="s">
        <v>3080</v>
      </c>
      <c r="B3068">
        <f>HYPERLINK("https://www.suredividend.com/sure-analysis-WSO/","Watsco Inc.")</f>
        <v>0</v>
      </c>
      <c r="C3068">
        <v>-0.01145323618026</v>
      </c>
      <c r="D3068">
        <v>0.151086905406746</v>
      </c>
      <c r="E3068">
        <v>0.162385474390107</v>
      </c>
      <c r="F3068">
        <v>0.09337001297495001</v>
      </c>
      <c r="G3068">
        <v>0.362207752361625</v>
      </c>
      <c r="H3068">
        <v>0.88059064440402</v>
      </c>
      <c r="I3068">
        <v>2.234480429725926</v>
      </c>
    </row>
    <row r="3069" spans="1:9">
      <c r="A3069" s="8" t="s">
        <v>3081</v>
      </c>
      <c r="B3069">
        <f>HYPERLINK("https://www.suredividend.com/sure-analysis-WSR/","Whitestone REIT")</f>
        <v>0</v>
      </c>
      <c r="C3069">
        <v>0.076862603796452</v>
      </c>
      <c r="D3069">
        <v>0.102300160944206</v>
      </c>
      <c r="E3069">
        <v>0.173352844599899</v>
      </c>
      <c r="F3069">
        <v>0.091241027343263</v>
      </c>
      <c r="G3069">
        <v>0.436750213054214</v>
      </c>
      <c r="H3069">
        <v>0.214544984344838</v>
      </c>
      <c r="I3069">
        <v>0.365793874180783</v>
      </c>
    </row>
    <row r="3070" spans="1:9">
      <c r="A3070" s="8" t="s">
        <v>3082</v>
      </c>
      <c r="B3070">
        <f>HYPERLINK("https://www.suredividend.com/sure-analysis-WST/","West Pharmaceutical Services, Inc.")</f>
        <v>0</v>
      </c>
      <c r="C3070">
        <v>-0.145703814307044</v>
      </c>
      <c r="D3070">
        <v>-0.130638980901573</v>
      </c>
      <c r="E3070">
        <v>-0.07670848393643501</v>
      </c>
      <c r="F3070">
        <v>-0.105368019323231</v>
      </c>
      <c r="G3070">
        <v>-0.085701401955508</v>
      </c>
      <c r="H3070">
        <v>-0.001057099230825</v>
      </c>
      <c r="I3070">
        <v>1.671250610131364</v>
      </c>
    </row>
    <row r="3071" spans="1:9">
      <c r="A3071" s="8" t="s">
        <v>3083</v>
      </c>
      <c r="B3071">
        <f>HYPERLINK("https://www.suredividend.com/sure-analysis-research-database/","Westell Technologies, Inc.")</f>
        <v>0</v>
      </c>
      <c r="C3071">
        <v>-0.06993006993006901</v>
      </c>
      <c r="D3071">
        <v>-0.06993006993006901</v>
      </c>
      <c r="E3071">
        <v>-0.119205298013244</v>
      </c>
      <c r="F3071">
        <v>-0.141935483870967</v>
      </c>
      <c r="G3071">
        <v>-0.217647058823529</v>
      </c>
      <c r="H3071">
        <v>0.108333333333333</v>
      </c>
      <c r="I3071">
        <v>1.66</v>
      </c>
    </row>
    <row r="3072" spans="1:9">
      <c r="A3072" s="8" t="s">
        <v>3084</v>
      </c>
      <c r="B3072">
        <f>HYPERLINK("https://www.suredividend.com/sure-analysis-research-database/","West Bancorporation")</f>
        <v>0</v>
      </c>
      <c r="C3072">
        <v>-0.016880093131548</v>
      </c>
      <c r="D3072">
        <v>-0.01185886372545</v>
      </c>
      <c r="E3072">
        <v>-0.074961525190731</v>
      </c>
      <c r="F3072">
        <v>-0.168340817773576</v>
      </c>
      <c r="G3072">
        <v>-0.044299464151327</v>
      </c>
      <c r="H3072">
        <v>-0.210308536055096</v>
      </c>
      <c r="I3072">
        <v>0.058157965630227</v>
      </c>
    </row>
    <row r="3073" spans="1:9">
      <c r="A3073" s="8" t="s">
        <v>3085</v>
      </c>
      <c r="B3073">
        <f>HYPERLINK("https://www.suredividend.com/sure-analysis-research-database/","Alkaline Water Company Inc (The)")</f>
        <v>0</v>
      </c>
      <c r="C3073">
        <v>-0.928571428571428</v>
      </c>
      <c r="D3073">
        <v>-0.9090909090909091</v>
      </c>
      <c r="E3073">
        <v>-0.9999782608695651</v>
      </c>
      <c r="F3073">
        <v>-0.9999782608695651</v>
      </c>
      <c r="G3073">
        <v>-0.9999782608695651</v>
      </c>
      <c r="H3073">
        <v>-0.9999782608695651</v>
      </c>
      <c r="I3073">
        <v>-0.9999782608695651</v>
      </c>
    </row>
    <row r="3074" spans="1:9">
      <c r="A3074" s="8" t="s">
        <v>3086</v>
      </c>
      <c r="B3074">
        <f>HYPERLINK("https://www.suredividend.com/sure-analysis-research-database/","Wintrust Financial Corp.")</f>
        <v>0</v>
      </c>
      <c r="C3074">
        <v>-0.044091205498854</v>
      </c>
      <c r="D3074">
        <v>-0.013132381729453</v>
      </c>
      <c r="E3074">
        <v>0.08305461577834501</v>
      </c>
      <c r="F3074">
        <v>0.048372567199989</v>
      </c>
      <c r="G3074">
        <v>0.360428813776783</v>
      </c>
      <c r="H3074">
        <v>0.114897663773595</v>
      </c>
      <c r="I3074">
        <v>0.474585306683767</v>
      </c>
    </row>
    <row r="3075" spans="1:9">
      <c r="A3075" s="8" t="s">
        <v>3087</v>
      </c>
      <c r="B3075">
        <f>HYPERLINK("https://www.suredividend.com/sure-analysis-research-database/","W &amp; T Offshore Inc")</f>
        <v>0</v>
      </c>
      <c r="C3075">
        <v>-0.09430398763789301</v>
      </c>
      <c r="D3075">
        <v>-0.18473011089216</v>
      </c>
      <c r="E3075">
        <v>-0.328773659933195</v>
      </c>
      <c r="F3075">
        <v>-0.347294830946267</v>
      </c>
      <c r="G3075">
        <v>-0.503704574855933</v>
      </c>
      <c r="H3075">
        <v>-0.7591351696898431</v>
      </c>
      <c r="I3075">
        <v>-0.507147528730262</v>
      </c>
    </row>
    <row r="3076" spans="1:9">
      <c r="A3076" s="8" t="s">
        <v>3088</v>
      </c>
      <c r="B3076">
        <f>HYPERLINK("https://www.suredividend.com/sure-analysis-research-database/","White Mountains Insurance Group, Ltd.")</f>
        <v>0</v>
      </c>
      <c r="C3076">
        <v>-0.055478196353783</v>
      </c>
      <c r="D3076">
        <v>-0.010236677389731</v>
      </c>
      <c r="E3076">
        <v>0.205936837443308</v>
      </c>
      <c r="F3076">
        <v>0.167972132800004</v>
      </c>
      <c r="G3076">
        <v>0.236422677484772</v>
      </c>
      <c r="H3076">
        <v>0.376823576894893</v>
      </c>
      <c r="I3076">
        <v>0.7792776871111791</v>
      </c>
    </row>
    <row r="3077" spans="1:9">
      <c r="A3077" s="8" t="s">
        <v>3089</v>
      </c>
      <c r="B3077">
        <f>HYPERLINK("https://www.suredividend.com/sure-analysis-research-database/","Watts Water Technologies, Inc.")</f>
        <v>0</v>
      </c>
      <c r="C3077">
        <v>-0.103507765012301</v>
      </c>
      <c r="D3077">
        <v>-0.091554866257363</v>
      </c>
      <c r="E3077">
        <v>-0.048824015400331</v>
      </c>
      <c r="F3077">
        <v>-0.09899881260794401</v>
      </c>
      <c r="G3077">
        <v>0.06256983113226701</v>
      </c>
      <c r="H3077">
        <v>0.413196536130349</v>
      </c>
      <c r="I3077">
        <v>1.229629011293034</v>
      </c>
    </row>
    <row r="3078" spans="1:9">
      <c r="A3078" s="8" t="s">
        <v>3090</v>
      </c>
      <c r="B3078">
        <f>HYPERLINK("https://www.suredividend.com/sure-analysis-research-database/","Wireless Telecom Group, Inc.")</f>
        <v>0</v>
      </c>
      <c r="C3078">
        <v>0.019138755980861</v>
      </c>
      <c r="D3078">
        <v>0.203389830508474</v>
      </c>
      <c r="E3078">
        <v>0.121052631578947</v>
      </c>
      <c r="F3078">
        <v>0.189944134078212</v>
      </c>
      <c r="G3078">
        <v>0.401315789473684</v>
      </c>
      <c r="H3078">
        <v>-0.174418604651162</v>
      </c>
      <c r="I3078">
        <v>0.08673469387755101</v>
      </c>
    </row>
    <row r="3079" spans="1:9">
      <c r="A3079" s="8" t="s">
        <v>3091</v>
      </c>
      <c r="B3079">
        <f>HYPERLINK("https://www.suredividend.com/sure-analysis-research-database/","Select Water Solutions Inc")</f>
        <v>0</v>
      </c>
      <c r="C3079">
        <v>0.122692725298588</v>
      </c>
      <c r="D3079">
        <v>0.228860392427177</v>
      </c>
      <c r="E3079">
        <v>0.473753224725987</v>
      </c>
      <c r="F3079">
        <v>0.382482317863971</v>
      </c>
      <c r="G3079">
        <v>0.3398641994505781</v>
      </c>
      <c r="H3079">
        <v>0.13269140184254</v>
      </c>
      <c r="I3079">
        <v>-0.024316596997461</v>
      </c>
    </row>
    <row r="3080" spans="1:9">
      <c r="A3080" s="8" t="s">
        <v>3092</v>
      </c>
      <c r="B3080">
        <f>HYPERLINK("https://www.suredividend.com/sure-analysis-WU/","Western Union Company")</f>
        <v>0</v>
      </c>
      <c r="C3080">
        <v>-0.040208488458674</v>
      </c>
      <c r="D3080">
        <v>-0.06901831628820601</v>
      </c>
      <c r="E3080">
        <v>0.130662082032209</v>
      </c>
      <c r="F3080">
        <v>0.100458453211306</v>
      </c>
      <c r="G3080">
        <v>0.142568430009927</v>
      </c>
      <c r="H3080">
        <v>-0.170084408017151</v>
      </c>
      <c r="I3080">
        <v>-0.16349217680232</v>
      </c>
    </row>
    <row r="3081" spans="1:9">
      <c r="A3081" s="8" t="s">
        <v>3093</v>
      </c>
      <c r="B3081">
        <f>HYPERLINK("https://www.suredividend.com/sure-analysis-research-database/","Wave Life Sciences Ltd.")</f>
        <v>0</v>
      </c>
      <c r="C3081">
        <v>0.003454231433505</v>
      </c>
      <c r="D3081">
        <v>-0.148093841642228</v>
      </c>
      <c r="E3081">
        <v>0.215481171548117</v>
      </c>
      <c r="F3081">
        <v>0.15049504950495</v>
      </c>
      <c r="G3081">
        <v>0.406779661016949</v>
      </c>
      <c r="H3081">
        <v>1.559471365638766</v>
      </c>
      <c r="I3081">
        <v>-0.7616899097621</v>
      </c>
    </row>
    <row r="3082" spans="1:9">
      <c r="A3082" s="8" t="s">
        <v>3094</v>
      </c>
      <c r="B3082">
        <f>HYPERLINK("https://www.suredividend.com/sure-analysis-research-database/","WVS Financial Corp.")</f>
        <v>0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</row>
    <row r="3083" spans="1:9">
      <c r="A3083" s="8" t="s">
        <v>3095</v>
      </c>
      <c r="B3083">
        <f>HYPERLINK("https://www.suredividend.com/sure-analysis-research-database/","Willamette Valley Vineyard Inc.")</f>
        <v>0</v>
      </c>
      <c r="C3083">
        <v>0.004878048780487</v>
      </c>
      <c r="D3083">
        <v>-0.190569744597249</v>
      </c>
      <c r="E3083">
        <v>-0.200015533678957</v>
      </c>
      <c r="F3083">
        <v>-0.230970246761488</v>
      </c>
      <c r="G3083">
        <v>-0.293310463121783</v>
      </c>
      <c r="H3083">
        <v>-0.359253499222395</v>
      </c>
      <c r="I3083">
        <v>-0.4180790960451971</v>
      </c>
    </row>
    <row r="3084" spans="1:9">
      <c r="A3084" s="8" t="s">
        <v>3096</v>
      </c>
      <c r="B3084">
        <f>HYPERLINK("https://www.suredividend.com/sure-analysis-research-database/","WW International Inc")</f>
        <v>0</v>
      </c>
      <c r="C3084">
        <v>-0.24401913875598</v>
      </c>
      <c r="D3084">
        <v>-0.464406779661016</v>
      </c>
      <c r="E3084">
        <v>-0.771676300578034</v>
      </c>
      <c r="F3084">
        <v>-0.8194285714285711</v>
      </c>
      <c r="G3084">
        <v>-0.777777777777777</v>
      </c>
      <c r="H3084">
        <v>-0.7989821882951651</v>
      </c>
      <c r="I3084">
        <v>-0.9166226912928761</v>
      </c>
    </row>
    <row r="3085" spans="1:9">
      <c r="A3085" s="8" t="s">
        <v>3097</v>
      </c>
      <c r="B3085">
        <f>HYPERLINK("https://www.suredividend.com/sure-analysis-research-database/","Woodward Inc")</f>
        <v>0</v>
      </c>
      <c r="C3085">
        <v>0.035495896887999</v>
      </c>
      <c r="D3085">
        <v>0.222816148072089</v>
      </c>
      <c r="E3085">
        <v>0.373291770047301</v>
      </c>
      <c r="F3085">
        <v>0.347062463451292</v>
      </c>
      <c r="G3085">
        <v>0.6466986047209391</v>
      </c>
      <c r="H3085">
        <v>0.8176250072321941</v>
      </c>
      <c r="I3085">
        <v>0.6710212938057301</v>
      </c>
    </row>
    <row r="3086" spans="1:9">
      <c r="A3086" s="8" t="s">
        <v>3098</v>
      </c>
      <c r="B3086">
        <f>HYPERLINK("https://www.suredividend.com/sure-analysis-research-database/","World Wrestling Entertainment, Inc.")</f>
        <v>0</v>
      </c>
      <c r="C3086">
        <v>-0.09892569382273901</v>
      </c>
      <c r="D3086">
        <v>0.022622668999445</v>
      </c>
      <c r="E3086">
        <v>0.243625876808756</v>
      </c>
      <c r="F3086">
        <v>0.472858574846531</v>
      </c>
      <c r="G3086">
        <v>0.462066881751981</v>
      </c>
      <c r="H3086">
        <v>0.9678342678835371</v>
      </c>
      <c r="I3086">
        <v>0.212151137723974</v>
      </c>
    </row>
    <row r="3087" spans="1:9">
      <c r="A3087" s="8" t="s">
        <v>3099</v>
      </c>
      <c r="B3087">
        <f>HYPERLINK("https://www.suredividend.com/sure-analysis-research-database/","Westwater Resources Inc")</f>
        <v>0</v>
      </c>
      <c r="C3087">
        <v>0.12385039852851</v>
      </c>
      <c r="D3087">
        <v>0.122015915119363</v>
      </c>
      <c r="E3087">
        <v>-0.111631663974151</v>
      </c>
      <c r="F3087">
        <v>-0.026553372278279</v>
      </c>
      <c r="G3087">
        <v>-0.366766467065868</v>
      </c>
      <c r="H3087">
        <v>-0.556532258064516</v>
      </c>
      <c r="I3087">
        <v>-0.9035263157894731</v>
      </c>
    </row>
    <row r="3088" spans="1:9">
      <c r="A3088" s="8" t="s">
        <v>3100</v>
      </c>
      <c r="B3088">
        <f>HYPERLINK("https://www.suredividend.com/sure-analysis-research-database/","Wolverine World Wide, Inc.")</f>
        <v>0</v>
      </c>
      <c r="C3088">
        <v>0.147110332749562</v>
      </c>
      <c r="D3088">
        <v>0.361194526127661</v>
      </c>
      <c r="E3088">
        <v>0.4915177046567231</v>
      </c>
      <c r="F3088">
        <v>0.48674414381696</v>
      </c>
      <c r="G3088">
        <v>-0.133735385917579</v>
      </c>
      <c r="H3088">
        <v>-0.384499729837667</v>
      </c>
      <c r="I3088">
        <v>-0.4861576358544291</v>
      </c>
    </row>
    <row r="3089" spans="1:9">
      <c r="A3089" s="8" t="s">
        <v>3101</v>
      </c>
      <c r="B3089">
        <f>HYPERLINK("https://www.suredividend.com/sure-analysis-WY/","Weyerhaeuser Co.")</f>
        <v>0</v>
      </c>
      <c r="C3089">
        <v>-0.041850507793123</v>
      </c>
      <c r="D3089">
        <v>-0.139978968150515</v>
      </c>
      <c r="E3089">
        <v>-0.033425184278015</v>
      </c>
      <c r="F3089">
        <v>-0.141284446602282</v>
      </c>
      <c r="G3089">
        <v>0.024796157712498</v>
      </c>
      <c r="H3089">
        <v>-0.187198936935939</v>
      </c>
      <c r="I3089">
        <v>0.505046725139304</v>
      </c>
    </row>
    <row r="3090" spans="1:9">
      <c r="A3090" s="8" t="s">
        <v>3102</v>
      </c>
      <c r="B3090">
        <f>HYPERLINK("https://www.suredividend.com/sure-analysis-research-database/","Wynn Resorts Ltd.")</f>
        <v>0</v>
      </c>
      <c r="C3090">
        <v>-0.03711461065376701</v>
      </c>
      <c r="D3090">
        <v>-0.07406394863908</v>
      </c>
      <c r="E3090">
        <v>0.139778946028762</v>
      </c>
      <c r="F3090">
        <v>0.032444290241661</v>
      </c>
      <c r="G3090">
        <v>-0.081298294966966</v>
      </c>
      <c r="H3090">
        <v>0.412637600973103</v>
      </c>
      <c r="I3090">
        <v>-0.118748497974275</v>
      </c>
    </row>
    <row r="3091" spans="1:9">
      <c r="A3091" s="8" t="s">
        <v>3103</v>
      </c>
      <c r="B3091">
        <f>HYPERLINK("https://www.suredividend.com/sure-analysis-research-database/","Widepoint Corp")</f>
        <v>0</v>
      </c>
      <c r="C3091">
        <v>0.27354260089686</v>
      </c>
      <c r="D3091">
        <v>0.071698113207547</v>
      </c>
      <c r="E3091">
        <v>0.379444336506702</v>
      </c>
      <c r="F3091">
        <v>0.224137931034482</v>
      </c>
      <c r="G3091">
        <v>0.5777777777777771</v>
      </c>
      <c r="H3091">
        <v>0.021582733812949</v>
      </c>
      <c r="I3091">
        <v>-0.3583370989606861</v>
      </c>
    </row>
    <row r="3092" spans="1:9">
      <c r="A3092" s="8" t="s">
        <v>3104</v>
      </c>
      <c r="B3092">
        <f>HYPERLINK("https://www.suredividend.com/sure-analysis-research-database/","United States Steel Corp.")</f>
        <v>0</v>
      </c>
      <c r="C3092">
        <v>0.004986856652162</v>
      </c>
      <c r="D3092">
        <v>-0.194448069580153</v>
      </c>
      <c r="E3092">
        <v>0.06767324232862701</v>
      </c>
      <c r="F3092">
        <v>-0.211480611530061</v>
      </c>
      <c r="G3092">
        <v>0.6906846676503591</v>
      </c>
      <c r="H3092">
        <v>0.505596317642661</v>
      </c>
      <c r="I3092">
        <v>1.918233046873212</v>
      </c>
    </row>
    <row r="3093" spans="1:9">
      <c r="A3093" s="8" t="s">
        <v>3105</v>
      </c>
      <c r="B3093">
        <f>HYPERLINK("https://www.suredividend.com/sure-analysis-research-database/","XBiotech Inc")</f>
        <v>0</v>
      </c>
      <c r="C3093">
        <v>-0.267391304347826</v>
      </c>
      <c r="D3093">
        <v>0.05477308294209701</v>
      </c>
      <c r="E3093">
        <v>0.612440191387559</v>
      </c>
      <c r="F3093">
        <v>0.6850000000000001</v>
      </c>
      <c r="G3093">
        <v>0.170138888888889</v>
      </c>
      <c r="H3093">
        <v>0.08360128617363301</v>
      </c>
      <c r="I3093">
        <v>0.002841881295659</v>
      </c>
    </row>
    <row r="3094" spans="1:9">
      <c r="A3094" s="8" t="s">
        <v>3106</v>
      </c>
      <c r="B3094">
        <f>HYPERLINK("https://www.suredividend.com/sure-analysis-research-database/","Cimarex Energy Co.")</f>
        <v>0</v>
      </c>
      <c r="C3094">
        <v>0.357832450949859</v>
      </c>
      <c r="D3094">
        <v>0.208551332247669</v>
      </c>
      <c r="E3094">
        <v>0.479955261902862</v>
      </c>
      <c r="F3094">
        <v>1.353493669587842</v>
      </c>
      <c r="G3094">
        <v>2.653304732537874</v>
      </c>
      <c r="H3094">
        <v>0.9036599609225761</v>
      </c>
      <c r="I3094">
        <v>-0.307112741974188</v>
      </c>
    </row>
    <row r="3095" spans="1:9">
      <c r="A3095" s="8" t="s">
        <v>3107</v>
      </c>
      <c r="B3095">
        <f>HYPERLINK("https://www.suredividend.com/sure-analysis-XEL/","Xcel Energy, Inc.")</f>
        <v>0</v>
      </c>
      <c r="C3095">
        <v>-0.005089058524173001</v>
      </c>
      <c r="D3095">
        <v>0.117564794871533</v>
      </c>
      <c r="E3095">
        <v>-0.07605264845778101</v>
      </c>
      <c r="F3095">
        <v>-0.09670712287852401</v>
      </c>
      <c r="G3095">
        <v>-0.09284200303932701</v>
      </c>
      <c r="H3095">
        <v>-0.205798800428294</v>
      </c>
      <c r="I3095">
        <v>0.094480411719777</v>
      </c>
    </row>
    <row r="3096" spans="1:9">
      <c r="A3096" s="8" t="s">
        <v>3108</v>
      </c>
      <c r="B3096">
        <f>HYPERLINK("https://www.suredividend.com/sure-analysis-research-database/","Exela Technologies Inc")</f>
        <v>0</v>
      </c>
      <c r="C3096">
        <v>-0.056224899598393</v>
      </c>
      <c r="D3096">
        <v>0.07305936073059301</v>
      </c>
      <c r="E3096">
        <v>-0.298507462686567</v>
      </c>
      <c r="F3096">
        <v>-0.300595238095238</v>
      </c>
      <c r="G3096">
        <v>-0.515463917525773</v>
      </c>
      <c r="H3096">
        <v>-0.996936913451512</v>
      </c>
      <c r="I3096">
        <v>-0.9999058493589741</v>
      </c>
    </row>
    <row r="3097" spans="1:9">
      <c r="A3097" s="8" t="s">
        <v>3109</v>
      </c>
      <c r="B3097">
        <f>HYPERLINK("https://www.suredividend.com/sure-analysis-research-database/","Xcel Brands Inc")</f>
        <v>0</v>
      </c>
      <c r="C3097">
        <v>-0.106119791666666</v>
      </c>
      <c r="D3097">
        <v>-0.277368421052631</v>
      </c>
      <c r="E3097">
        <v>-0.403043478260869</v>
      </c>
      <c r="F3097">
        <v>-0.4678294573643411</v>
      </c>
      <c r="G3097">
        <v>-0.306565656565656</v>
      </c>
      <c r="H3097">
        <v>-0.5736024844720491</v>
      </c>
      <c r="I3097">
        <v>-0.423787141178445</v>
      </c>
    </row>
    <row r="3098" spans="1:9">
      <c r="A3098" s="8" t="s">
        <v>3110</v>
      </c>
      <c r="B3098">
        <f>HYPERLINK("https://www.suredividend.com/sure-analysis-research-database/","Intersect ENT Inc")</f>
        <v>0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</row>
    <row r="3099" spans="1:9">
      <c r="A3099" s="8" t="s">
        <v>3111</v>
      </c>
      <c r="B3099">
        <f>HYPERLINK("https://www.suredividend.com/sure-analysis-research-database/","Xeris Biopharma Holdings Inc")</f>
        <v>0</v>
      </c>
      <c r="C3099">
        <v>0.239361702127659</v>
      </c>
      <c r="D3099">
        <v>-0.04508196721311401</v>
      </c>
      <c r="E3099">
        <v>0.201030927835051</v>
      </c>
      <c r="F3099">
        <v>-0.008510638297872001</v>
      </c>
      <c r="G3099">
        <v>-0.19655172413793</v>
      </c>
      <c r="H3099">
        <v>0.104265402843602</v>
      </c>
      <c r="I3099">
        <v>-0.012711864406779</v>
      </c>
    </row>
    <row r="3100" spans="1:9">
      <c r="A3100" s="8" t="s">
        <v>3112</v>
      </c>
      <c r="B3100">
        <f>HYPERLINK("https://www.suredividend.com/sure-analysis-research-database/","X4 Pharmaceuticals Inc")</f>
        <v>0</v>
      </c>
      <c r="C3100">
        <v>-0.073394495412844</v>
      </c>
      <c r="D3100">
        <v>0.101778117159376</v>
      </c>
      <c r="E3100">
        <v>0.120354963948974</v>
      </c>
      <c r="F3100">
        <v>0.20453190220632</v>
      </c>
      <c r="G3100">
        <v>-0.5213270142180091</v>
      </c>
      <c r="H3100">
        <v>-0.114035087719298</v>
      </c>
      <c r="I3100">
        <v>-0.9326666666666661</v>
      </c>
    </row>
    <row r="3101" spans="1:9">
      <c r="A3101" s="8" t="s">
        <v>3113</v>
      </c>
      <c r="B3101">
        <f>HYPERLINK("https://www.suredividend.com/sure-analysis-research-database/","Xenia Hotels &amp; Resorts Inc")</f>
        <v>0</v>
      </c>
      <c r="C3101">
        <v>-0.032586558044806</v>
      </c>
      <c r="D3101">
        <v>-0.061722217101018</v>
      </c>
      <c r="E3101">
        <v>0.158451820598492</v>
      </c>
      <c r="F3101">
        <v>0.054703979749683</v>
      </c>
      <c r="G3101">
        <v>0.129473308762334</v>
      </c>
      <c r="H3101">
        <v>-0.22749573089746</v>
      </c>
      <c r="I3101">
        <v>-0.234566442318538</v>
      </c>
    </row>
    <row r="3102" spans="1:9">
      <c r="A3102" s="8" t="s">
        <v>3114</v>
      </c>
      <c r="B3102">
        <f>HYPERLINK("https://www.suredividend.com/sure-analysis-research-database/","Xilinx, Inc.")</f>
        <v>0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</row>
    <row r="3103" spans="1:9">
      <c r="A3103" s="8" t="s">
        <v>3115</v>
      </c>
      <c r="B3103">
        <f>HYPERLINK("https://www.suredividend.com/sure-analysis-research-database/","Acceleron Pharma Inc")</f>
        <v>0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</row>
    <row r="3104" spans="1:9">
      <c r="A3104" s="8" t="s">
        <v>3116</v>
      </c>
      <c r="B3104">
        <f>HYPERLINK("https://www.suredividend.com/sure-analysis-research-database/","Xencor Inc")</f>
        <v>0</v>
      </c>
      <c r="C3104">
        <v>-0.103135313531353</v>
      </c>
      <c r="D3104">
        <v>-0.086170659941151</v>
      </c>
      <c r="E3104">
        <v>0.075705096486887</v>
      </c>
      <c r="F3104">
        <v>0.024022609514837</v>
      </c>
      <c r="G3104">
        <v>-0.194217939214232</v>
      </c>
      <c r="H3104">
        <v>-0.004122766834631001</v>
      </c>
      <c r="I3104">
        <v>-0.300289668490505</v>
      </c>
    </row>
    <row r="3105" spans="1:9">
      <c r="A3105" s="8" t="s">
        <v>3117</v>
      </c>
      <c r="B3105">
        <f>HYPERLINK("https://www.suredividend.com/sure-analysis-research-database/","Extraction Oil &amp; Gas Inc")</f>
        <v>0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</row>
    <row r="3106" spans="1:9">
      <c r="A3106" s="8" t="s">
        <v>3118</v>
      </c>
      <c r="B3106">
        <f>HYPERLINK("https://www.suredividend.com/sure-analysis-XOM/","Exxon Mobil Corp.")</f>
        <v>0</v>
      </c>
      <c r="C3106">
        <v>-0.021556137945398</v>
      </c>
      <c r="D3106">
        <v>0.05863673877915401</v>
      </c>
      <c r="E3106">
        <v>0.165638526963726</v>
      </c>
      <c r="F3106">
        <v>0.147450725768944</v>
      </c>
      <c r="G3106">
        <v>0.07546574105074201</v>
      </c>
      <c r="H3106">
        <v>0.16819282900558</v>
      </c>
      <c r="I3106">
        <v>0.9424885561150911</v>
      </c>
    </row>
    <row r="3107" spans="1:9">
      <c r="A3107" s="8" t="s">
        <v>3119</v>
      </c>
      <c r="B3107">
        <f>HYPERLINK("https://www.suredividend.com/sure-analysis-research-database/","XOMA Corp")</f>
        <v>0</v>
      </c>
      <c r="C3107">
        <v>-0.019168026101141</v>
      </c>
      <c r="D3107">
        <v>-0.042595541401273</v>
      </c>
      <c r="E3107">
        <v>0.4993765586034911</v>
      </c>
      <c r="F3107">
        <v>0.3</v>
      </c>
      <c r="G3107">
        <v>0.379804934021801</v>
      </c>
      <c r="H3107">
        <v>0.138192143871273</v>
      </c>
      <c r="I3107">
        <v>0.465569774527726</v>
      </c>
    </row>
    <row r="3108" spans="1:9">
      <c r="A3108" s="8" t="s">
        <v>3120</v>
      </c>
      <c r="B3108">
        <f>HYPERLINK("https://www.suredividend.com/sure-analysis-research-database/","BondBloxx ETF Trust")</f>
        <v>0</v>
      </c>
      <c r="C3108">
        <v>0.008363885172741</v>
      </c>
      <c r="D3108">
        <v>0.014136699957684</v>
      </c>
      <c r="E3108">
        <v>0.031334865260079</v>
      </c>
      <c r="F3108">
        <v>0.025584564505675</v>
      </c>
      <c r="G3108">
        <v>0.070117979586041</v>
      </c>
      <c r="H3108">
        <v>0.09232672007717301</v>
      </c>
      <c r="I3108">
        <v>0.09232672007717301</v>
      </c>
    </row>
    <row r="3109" spans="1:9">
      <c r="A3109" s="8" t="s">
        <v>3121</v>
      </c>
      <c r="B3109">
        <f>HYPERLINK("https://www.suredividend.com/sure-analysis-research-database/","Xperi Inc")</f>
        <v>0</v>
      </c>
      <c r="C3109">
        <v>-0.267793594306049</v>
      </c>
      <c r="D3109">
        <v>-0.234418604651162</v>
      </c>
      <c r="E3109">
        <v>-0.170362903225806</v>
      </c>
      <c r="F3109">
        <v>-0.253176043557168</v>
      </c>
      <c r="G3109">
        <v>-0.311872909698996</v>
      </c>
      <c r="H3109">
        <v>-0.642173913043478</v>
      </c>
      <c r="I3109">
        <v>-0.642173913043478</v>
      </c>
    </row>
    <row r="3110" spans="1:9">
      <c r="A3110" s="8" t="s">
        <v>3122</v>
      </c>
      <c r="B3110">
        <f>HYPERLINK("https://www.suredividend.com/sure-analysis-research-database/","Solitario Resources Corp")</f>
        <v>0</v>
      </c>
      <c r="C3110">
        <v>0.06368072063055101</v>
      </c>
      <c r="D3110">
        <v>0.537154221659735</v>
      </c>
      <c r="E3110">
        <v>0.6102272727272721</v>
      </c>
      <c r="F3110">
        <v>0.517943224424209</v>
      </c>
      <c r="G3110">
        <v>0.466367713004484</v>
      </c>
      <c r="H3110">
        <v>0.250294117647058</v>
      </c>
      <c r="I3110">
        <v>1.823646629026901</v>
      </c>
    </row>
    <row r="3111" spans="1:9">
      <c r="A3111" s="8" t="s">
        <v>3123</v>
      </c>
      <c r="B3111">
        <f>HYPERLINK("https://www.suredividend.com/sure-analysis-research-database/","XPO Inc")</f>
        <v>0</v>
      </c>
      <c r="C3111">
        <v>-0.007522885887791</v>
      </c>
      <c r="D3111">
        <v>-0.1443307025084</v>
      </c>
      <c r="E3111">
        <v>0.361263053207359</v>
      </c>
      <c r="F3111">
        <v>0.250142710355063</v>
      </c>
      <c r="G3111">
        <v>1.221095334685598</v>
      </c>
      <c r="H3111">
        <v>2.263542209969451</v>
      </c>
      <c r="I3111">
        <v>2.372167148624803</v>
      </c>
    </row>
    <row r="3112" spans="1:9">
      <c r="A3112" s="8" t="s">
        <v>3124</v>
      </c>
      <c r="B3112">
        <f>HYPERLINK("https://www.suredividend.com/sure-analysis-XRAY/","DENTSPLY Sirona Inc")</f>
        <v>0</v>
      </c>
      <c r="C3112">
        <v>-0.019823008849557</v>
      </c>
      <c r="D3112">
        <v>-0.163239342558148</v>
      </c>
      <c r="E3112">
        <v>-0.132217030358301</v>
      </c>
      <c r="F3112">
        <v>-0.214256324399483</v>
      </c>
      <c r="G3112">
        <v>-0.273405704119466</v>
      </c>
      <c r="H3112">
        <v>-0.282640628602664</v>
      </c>
      <c r="I3112">
        <v>-0.46759317119504</v>
      </c>
    </row>
    <row r="3113" spans="1:9">
      <c r="A3113" s="8" t="s">
        <v>3125</v>
      </c>
      <c r="B3113">
        <f>HYPERLINK("https://www.suredividend.com/sure-analysis-XRX/","Xerox Holdings Corp")</f>
        <v>0</v>
      </c>
      <c r="C3113">
        <v>0.063480209111276</v>
      </c>
      <c r="D3113">
        <v>-0.125790410706611</v>
      </c>
      <c r="E3113">
        <v>0.029869096694872</v>
      </c>
      <c r="F3113">
        <v>-0.200669102829653</v>
      </c>
      <c r="G3113">
        <v>0.04630486855060301</v>
      </c>
      <c r="H3113">
        <v>-0.096950941098878</v>
      </c>
      <c r="I3113">
        <v>-0.383432342091134</v>
      </c>
    </row>
    <row r="3114" spans="1:9">
      <c r="A3114" s="8" t="s">
        <v>3126</v>
      </c>
      <c r="B3114">
        <f>HYPERLINK("https://www.suredividend.com/sure-analysis-research-database/","Xtant Medical Holdings Inc")</f>
        <v>0</v>
      </c>
      <c r="C3114">
        <v>-0.120651641352278</v>
      </c>
      <c r="D3114">
        <v>-0.370263157894736</v>
      </c>
      <c r="E3114">
        <v>-0.4561363636363631</v>
      </c>
      <c r="F3114">
        <v>-0.364690265486725</v>
      </c>
      <c r="G3114">
        <v>0.08904733009708701</v>
      </c>
      <c r="H3114">
        <v>0.190547263681592</v>
      </c>
      <c r="I3114">
        <v>-0.7532989690721651</v>
      </c>
    </row>
    <row r="3115" spans="1:9">
      <c r="A3115" s="8" t="s">
        <v>3127</v>
      </c>
      <c r="B3115">
        <f>HYPERLINK("https://www.suredividend.com/sure-analysis-research-database/","22nd Century Group Inc")</f>
        <v>0</v>
      </c>
      <c r="C3115">
        <v>-0.5501190476190471</v>
      </c>
      <c r="D3115">
        <v>-0.662348105789849</v>
      </c>
      <c r="E3115">
        <v>-0.8030950395998331</v>
      </c>
      <c r="F3115">
        <v>-0.7463077336197631</v>
      </c>
      <c r="G3115">
        <v>-0.9950663220011481</v>
      </c>
      <c r="H3115">
        <v>-0.998342543859649</v>
      </c>
      <c r="I3115">
        <v>-0.99844100660066</v>
      </c>
    </row>
    <row r="3116" spans="1:9">
      <c r="A3116" s="8" t="s">
        <v>3128</v>
      </c>
      <c r="B3116">
        <f>HYPERLINK("https://www.suredividend.com/sure-analysis-XYL/","Xylem Inc")</f>
        <v>0</v>
      </c>
      <c r="C3116">
        <v>-0.016787360576695</v>
      </c>
      <c r="D3116">
        <v>0.08434467504799001</v>
      </c>
      <c r="E3116">
        <v>0.30215815740638</v>
      </c>
      <c r="F3116">
        <v>0.207422146682622</v>
      </c>
      <c r="G3116">
        <v>0.297918151383456</v>
      </c>
      <c r="H3116">
        <v>0.6360005909236041</v>
      </c>
      <c r="I3116">
        <v>0.8328712892431591</v>
      </c>
    </row>
    <row r="3117" spans="1:9">
      <c r="A3117" s="8" t="s">
        <v>3129</v>
      </c>
      <c r="B3117">
        <f>HYPERLINK("https://www.suredividend.com/sure-analysis-research-database/","Alleghany Corp.")</f>
        <v>0</v>
      </c>
      <c r="C3117">
        <v>0.005682087781731001</v>
      </c>
      <c r="D3117">
        <v>0.016120526404103</v>
      </c>
      <c r="E3117">
        <v>0.010103537429555</v>
      </c>
      <c r="F3117">
        <v>0.269926152279093</v>
      </c>
      <c r="G3117">
        <v>0.299534013918268</v>
      </c>
      <c r="H3117">
        <v>0.548814352004092</v>
      </c>
      <c r="I3117">
        <v>0.572164460949666</v>
      </c>
    </row>
    <row r="3118" spans="1:9">
      <c r="A3118" s="8" t="s">
        <v>3130</v>
      </c>
      <c r="B3118">
        <f>HYPERLINK("https://www.suredividend.com/sure-analysis-research-database/","Yelp Inc")</f>
        <v>0</v>
      </c>
      <c r="C3118">
        <v>-0.106786669909997</v>
      </c>
      <c r="D3118">
        <v>-0.036978756884343</v>
      </c>
      <c r="E3118">
        <v>-0.170918943328065</v>
      </c>
      <c r="F3118">
        <v>-0.224334600760456</v>
      </c>
      <c r="G3118">
        <v>0.010178817056396</v>
      </c>
      <c r="H3118">
        <v>0.168682367918523</v>
      </c>
      <c r="I3118">
        <v>0.166454891994917</v>
      </c>
    </row>
    <row r="3119" spans="1:9">
      <c r="A3119" s="8" t="s">
        <v>3131</v>
      </c>
      <c r="B3119">
        <f>HYPERLINK("https://www.suredividend.com/sure-analysis-research-database/","YETI Holdings Inc")</f>
        <v>0</v>
      </c>
      <c r="C3119">
        <v>0.210067491563554</v>
      </c>
      <c r="D3119">
        <v>0.105885376509894</v>
      </c>
      <c r="E3119">
        <v>-0.058218428540161</v>
      </c>
      <c r="F3119">
        <v>-0.168984163769795</v>
      </c>
      <c r="G3119">
        <v>0.130880420499343</v>
      </c>
      <c r="H3119">
        <v>-0.102232422282495</v>
      </c>
      <c r="I3119">
        <v>0.710254372019077</v>
      </c>
    </row>
    <row r="3120" spans="1:9">
      <c r="A3120" s="8" t="s">
        <v>3132</v>
      </c>
      <c r="B3120">
        <f>HYPERLINK("https://www.suredividend.com/sure-analysis-research-database/","Yext Inc")</f>
        <v>0</v>
      </c>
      <c r="C3120">
        <v>-0.096491228070175</v>
      </c>
      <c r="D3120">
        <v>-0.201550387596899</v>
      </c>
      <c r="E3120">
        <v>-0.04096834264432</v>
      </c>
      <c r="F3120">
        <v>-0.125636672325976</v>
      </c>
      <c r="G3120">
        <v>-0.612490594431903</v>
      </c>
      <c r="H3120">
        <v>-0.031954887218045</v>
      </c>
      <c r="I3120">
        <v>-0.720715835140997</v>
      </c>
    </row>
    <row r="3121" spans="1:9">
      <c r="A3121" s="8" t="s">
        <v>3133</v>
      </c>
      <c r="B3121">
        <f>HYPERLINK("https://www.suredividend.com/sure-analysis-research-database/","Y-Mabs Therapeutics Inc")</f>
        <v>0</v>
      </c>
      <c r="C3121">
        <v>-0.303893085415456</v>
      </c>
      <c r="D3121">
        <v>-0.320861678004535</v>
      </c>
      <c r="E3121">
        <v>0.7489051094890511</v>
      </c>
      <c r="F3121">
        <v>0.7565982404692081</v>
      </c>
      <c r="G3121">
        <v>0.46813725490196</v>
      </c>
      <c r="H3121">
        <v>-0.105302464525765</v>
      </c>
      <c r="I3121">
        <v>-0.44537037037037</v>
      </c>
    </row>
    <row r="3122" spans="1:9">
      <c r="A3122" s="8" t="s">
        <v>3134</v>
      </c>
      <c r="B3122">
        <f>HYPERLINK("https://www.suredividend.com/sure-analysis-YORW/","York Water Co.")</f>
        <v>0</v>
      </c>
      <c r="C3122">
        <v>-0.016815839435855</v>
      </c>
      <c r="D3122">
        <v>0.02895259721828</v>
      </c>
      <c r="E3122">
        <v>-0.064371257485029</v>
      </c>
      <c r="F3122">
        <v>-0.050077304053877</v>
      </c>
      <c r="G3122">
        <v>-0.163374014512287</v>
      </c>
      <c r="H3122">
        <v>-0.069806827746186</v>
      </c>
      <c r="I3122">
        <v>0.16769746166731</v>
      </c>
    </row>
    <row r="3123" spans="1:9">
      <c r="A3123" s="8" t="s">
        <v>3135</v>
      </c>
      <c r="B3123">
        <f>HYPERLINK("https://www.suredividend.com/sure-analysis-research-database/","Yield10 Bioscience Inc")</f>
        <v>0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</row>
    <row r="3124" spans="1:9">
      <c r="A3124" s="8" t="s">
        <v>3136</v>
      </c>
      <c r="B3124">
        <f>HYPERLINK("https://www.suredividend.com/sure-analysis-YUM/","Yum Brands Inc.")</f>
        <v>0</v>
      </c>
      <c r="C3124">
        <v>0.03493353563226501</v>
      </c>
      <c r="D3124">
        <v>0.001979333326174</v>
      </c>
      <c r="E3124">
        <v>0.137537435034722</v>
      </c>
      <c r="F3124">
        <v>0.081905427382402</v>
      </c>
      <c r="G3124">
        <v>0.07743739709229601</v>
      </c>
      <c r="H3124">
        <v>0.209474983992624</v>
      </c>
      <c r="I3124">
        <v>0.4057927055860091</v>
      </c>
    </row>
    <row r="3125" spans="1:9">
      <c r="A3125" s="8" t="s">
        <v>3137</v>
      </c>
      <c r="B3125">
        <f>HYPERLINK("https://www.suredividend.com/sure-analysis-research-database/","Zillow Group Inc")</f>
        <v>0</v>
      </c>
      <c r="C3125">
        <v>-0.011363636363636</v>
      </c>
      <c r="D3125">
        <v>-0.237933500178762</v>
      </c>
      <c r="E3125">
        <v>-0.08773806976246501</v>
      </c>
      <c r="F3125">
        <v>-0.263221569305219</v>
      </c>
      <c r="G3125">
        <v>-0.084210526315789</v>
      </c>
      <c r="H3125">
        <v>0.043318649045521</v>
      </c>
      <c r="I3125">
        <v>-0.084013751611516</v>
      </c>
    </row>
    <row r="3126" spans="1:9">
      <c r="A3126" s="8" t="s">
        <v>3138</v>
      </c>
      <c r="B3126">
        <f>HYPERLINK("https://www.suredividend.com/sure-analysis-research-database/","Zagg Inc")</f>
        <v>0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</row>
    <row r="3127" spans="1:9">
      <c r="A3127" s="8" t="s">
        <v>3139</v>
      </c>
      <c r="B3127">
        <f>HYPERLINK("https://www.suredividend.com/sure-analysis-research-database/","Zimmer Biomet Holdings Inc")</f>
        <v>0</v>
      </c>
      <c r="C3127">
        <v>-0.06662274561475701</v>
      </c>
      <c r="D3127">
        <v>-0.108408524162018</v>
      </c>
      <c r="E3127">
        <v>-0.029928926502608</v>
      </c>
      <c r="F3127">
        <v>-0.066942396412</v>
      </c>
      <c r="G3127">
        <v>-0.141682254314686</v>
      </c>
      <c r="H3127">
        <v>-0.033261798914359</v>
      </c>
      <c r="I3127">
        <v>-0.025080899189545</v>
      </c>
    </row>
    <row r="3128" spans="1:9">
      <c r="A3128" s="8" t="s">
        <v>3140</v>
      </c>
      <c r="B3128">
        <f>HYPERLINK("https://www.suredividend.com/sure-analysis-research-database/","Zebra Technologies Corp.")</f>
        <v>0</v>
      </c>
      <c r="C3128">
        <v>-0.053606820398276</v>
      </c>
      <c r="D3128">
        <v>0.042413112027443</v>
      </c>
      <c r="E3128">
        <v>0.289842644599751</v>
      </c>
      <c r="F3128">
        <v>0.100610983060769</v>
      </c>
      <c r="G3128">
        <v>0.083837728779363</v>
      </c>
      <c r="H3128">
        <v>-0.103365026377753</v>
      </c>
      <c r="I3128">
        <v>0.597016510059988</v>
      </c>
    </row>
    <row r="3129" spans="1:9">
      <c r="A3129" s="8" t="s">
        <v>3141</v>
      </c>
      <c r="B3129">
        <f>HYPERLINK("https://www.suredividend.com/sure-analysis-research-database/","Zedge Inc")</f>
        <v>0</v>
      </c>
      <c r="C3129">
        <v>0.044827586206896</v>
      </c>
      <c r="D3129">
        <v>-0.192</v>
      </c>
      <c r="E3129">
        <v>0.514999999999999</v>
      </c>
      <c r="F3129">
        <v>0.289361702127659</v>
      </c>
      <c r="G3129">
        <v>0.358744394618834</v>
      </c>
      <c r="H3129">
        <v>-0.446069469835466</v>
      </c>
      <c r="I3129">
        <v>0.4620024125452351</v>
      </c>
    </row>
    <row r="3130" spans="1:9">
      <c r="A3130" s="8" t="s">
        <v>3142</v>
      </c>
      <c r="B3130">
        <f>HYPERLINK("https://www.suredividend.com/sure-analysis-research-database/","Zendesk Inc")</f>
        <v>0</v>
      </c>
      <c r="C3130">
        <v>0.01413612565445</v>
      </c>
      <c r="D3130">
        <v>0.012545739675901</v>
      </c>
      <c r="E3130">
        <v>-0.217057396928051</v>
      </c>
      <c r="F3130">
        <v>-0.257071627193403</v>
      </c>
      <c r="G3130">
        <v>-0.183131259884027</v>
      </c>
      <c r="H3130">
        <v>-0.387751876728565</v>
      </c>
      <c r="I3130">
        <v>1.203013932328689</v>
      </c>
    </row>
    <row r="3131" spans="1:9">
      <c r="A3131" s="8" t="s">
        <v>3143</v>
      </c>
      <c r="B3131">
        <f>HYPERLINK("https://www.suredividend.com/sure-analysis-research-database/","Olympic Steel Inc.")</f>
        <v>0</v>
      </c>
      <c r="C3131">
        <v>-0.05345158878150801</v>
      </c>
      <c r="D3131">
        <v>-0.239986441358113</v>
      </c>
      <c r="E3131">
        <v>-0.09895298336667201</v>
      </c>
      <c r="F3131">
        <v>-0.242688154128106</v>
      </c>
      <c r="G3131">
        <v>0.05232585059498501</v>
      </c>
      <c r="H3131">
        <v>0.362175121233585</v>
      </c>
      <c r="I3131">
        <v>3.060221200851022</v>
      </c>
    </row>
    <row r="3132" spans="1:9">
      <c r="A3132" s="8" t="s">
        <v>3144</v>
      </c>
      <c r="B3132">
        <f>HYPERLINK("https://www.suredividend.com/sure-analysis-research-database/","Zillow Group Inc")</f>
        <v>0</v>
      </c>
      <c r="C3132">
        <v>-0.018649669499527</v>
      </c>
      <c r="D3132">
        <v>-0.231039585645579</v>
      </c>
      <c r="E3132">
        <v>-0.07642746056431901</v>
      </c>
      <c r="F3132">
        <v>-0.267101551480959</v>
      </c>
      <c r="G3132">
        <v>-0.09116746829908101</v>
      </c>
      <c r="H3132">
        <v>0.017874632713026</v>
      </c>
      <c r="I3132">
        <v>-0.09235807860262001</v>
      </c>
    </row>
    <row r="3133" spans="1:9">
      <c r="A3133" s="8" t="s">
        <v>3145</v>
      </c>
      <c r="B3133">
        <f>HYPERLINK("https://www.suredividend.com/sure-analysis-research-database/","Zogenix Inc")</f>
        <v>0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</row>
    <row r="3134" spans="1:9">
      <c r="A3134" s="8" t="s">
        <v>3146</v>
      </c>
      <c r="B3134">
        <f>HYPERLINK("https://www.suredividend.com/sure-analysis-ZION/","Zions Bancorporation N.A")</f>
        <v>0</v>
      </c>
      <c r="C3134">
        <v>-0.034115217916999</v>
      </c>
      <c r="D3134">
        <v>0.019158911752222</v>
      </c>
      <c r="E3134">
        <v>0.114150842184314</v>
      </c>
      <c r="F3134">
        <v>-0.025276179570689</v>
      </c>
      <c r="G3134">
        <v>0.390409056068228</v>
      </c>
      <c r="H3134">
        <v>-0.20570272554486</v>
      </c>
      <c r="I3134">
        <v>0.142219215899779</v>
      </c>
    </row>
    <row r="3135" spans="1:9">
      <c r="A3135" s="8" t="s">
        <v>3147</v>
      </c>
      <c r="B3135">
        <f>HYPERLINK("https://www.suredividend.com/sure-analysis-research-database/","Alaunos Therapeutics Inc")</f>
        <v>0</v>
      </c>
      <c r="C3135">
        <v>-0.312936507936508</v>
      </c>
      <c r="D3135">
        <v>-0.415067567567567</v>
      </c>
      <c r="E3135">
        <v>-0.611793721973094</v>
      </c>
      <c r="F3135">
        <v>-0.205779816513761</v>
      </c>
      <c r="G3135">
        <v>-0.756140845070422</v>
      </c>
      <c r="H3135">
        <v>-0.8041402714932121</v>
      </c>
      <c r="I3135">
        <v>-0.842025547445255</v>
      </c>
    </row>
    <row r="3136" spans="1:9">
      <c r="A3136" s="8" t="s">
        <v>3148</v>
      </c>
      <c r="B3136">
        <f>HYPERLINK("https://www.suredividend.com/sure-analysis-research-database/","Zix Corp.")</f>
        <v>0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</row>
    <row r="3137" spans="1:9">
      <c r="A3137" s="8" t="s">
        <v>3149</v>
      </c>
      <c r="B3137">
        <f>HYPERLINK("https://www.suredividend.com/sure-analysis-research-database/","Zoom Video Communications Inc")</f>
        <v>0</v>
      </c>
      <c r="C3137">
        <v>0.011264885741873</v>
      </c>
      <c r="D3137">
        <v>-0.062509324183201</v>
      </c>
      <c r="E3137">
        <v>-0.126372862505213</v>
      </c>
      <c r="F3137">
        <v>-0.126129884577944</v>
      </c>
      <c r="G3137">
        <v>-0.055037593984962</v>
      </c>
      <c r="H3137">
        <v>-0.45375521557719</v>
      </c>
      <c r="I3137">
        <v>-0.33184476342371</v>
      </c>
    </row>
    <row r="3138" spans="1:9">
      <c r="A3138" s="8" t="s">
        <v>3150</v>
      </c>
      <c r="B3138">
        <f>HYPERLINK("https://www.suredividend.com/sure-analysis-research-database/","Zynga Inc")</f>
        <v>0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</row>
    <row r="3139" spans="1:9">
      <c r="A3139" s="8" t="s">
        <v>3151</v>
      </c>
      <c r="B3139">
        <f>HYPERLINK("https://www.suredividend.com/sure-analysis-research-database/","Zscaler Inc")</f>
        <v>0</v>
      </c>
      <c r="C3139">
        <v>0.023178246367799</v>
      </c>
      <c r="D3139">
        <v>-0.100760172902071</v>
      </c>
      <c r="E3139">
        <v>-0.09527618095476101</v>
      </c>
      <c r="F3139">
        <v>-0.183110669795992</v>
      </c>
      <c r="G3139">
        <v>0.248895942589014</v>
      </c>
      <c r="H3139">
        <v>0.111663902708678</v>
      </c>
      <c r="I3139">
        <v>1.396901072705601</v>
      </c>
    </row>
    <row r="3140" spans="1:9">
      <c r="A3140" s="8" t="s">
        <v>3152</v>
      </c>
      <c r="B3140">
        <f>HYPERLINK("https://www.suredividend.com/sure-analysis-research-database/","Zosano Pharma Corp")</f>
        <v>0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</row>
    <row r="3141" spans="1:9">
      <c r="A3141" s="8" t="s">
        <v>3153</v>
      </c>
      <c r="B3141">
        <f>HYPERLINK("https://www.suredividend.com/sure-analysis-ZTS/","Zoetis Inc")</f>
        <v>0</v>
      </c>
      <c r="C3141">
        <v>0.05028198278420801</v>
      </c>
      <c r="D3141">
        <v>-0.022508493380163</v>
      </c>
      <c r="E3141">
        <v>-0.022015702363756</v>
      </c>
      <c r="F3141">
        <v>-0.09901789283649901</v>
      </c>
      <c r="G3141">
        <v>0.09209337237840701</v>
      </c>
      <c r="H3141">
        <v>0.03671513890060801</v>
      </c>
      <c r="I3141">
        <v>0.66546955943002</v>
      </c>
    </row>
    <row r="3142" spans="1:9">
      <c r="A3142" s="8" t="s">
        <v>3154</v>
      </c>
      <c r="B3142">
        <f>HYPERLINK("https://www.suredividend.com/sure-analysis-research-database/","Zumiez Inc")</f>
        <v>0</v>
      </c>
      <c r="C3142">
        <v>0.056338028169014</v>
      </c>
      <c r="D3142">
        <v>0.164596273291925</v>
      </c>
      <c r="E3142">
        <v>-0.036979969183359</v>
      </c>
      <c r="F3142">
        <v>-0.07817109144542701</v>
      </c>
      <c r="G3142">
        <v>0.126802884615384</v>
      </c>
      <c r="H3142">
        <v>-0.374374374374374</v>
      </c>
      <c r="I3142">
        <v>-0.133949191685912</v>
      </c>
    </row>
    <row r="3143" spans="1:9">
      <c r="A3143" s="8" t="s">
        <v>3155</v>
      </c>
      <c r="B3143">
        <f>HYPERLINK("https://www.suredividend.com/sure-analysis-research-database/","Zuora Inc")</f>
        <v>0</v>
      </c>
      <c r="C3143">
        <v>-0.06374881065651701</v>
      </c>
      <c r="D3143">
        <v>0.07658643326039301</v>
      </c>
      <c r="E3143">
        <v>0.133640552995391</v>
      </c>
      <c r="F3143">
        <v>0.046808510638297</v>
      </c>
      <c r="G3143">
        <v>-0.154639175257731</v>
      </c>
      <c r="H3143">
        <v>-0.03812316715542501</v>
      </c>
      <c r="I3143">
        <v>-0.324175824175824</v>
      </c>
    </row>
    <row r="3144" spans="1:9">
      <c r="A3144" s="8" t="s">
        <v>3156</v>
      </c>
      <c r="B3144">
        <f>HYPERLINK("https://www.suredividend.com/sure-analysis-research-database/","Zovio Inc")</f>
        <v>0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</row>
    <row r="3145" spans="1:9">
      <c r="A3145" s="8" t="s">
        <v>3157</v>
      </c>
      <c r="B3145">
        <f>HYPERLINK("https://www.suredividend.com/sure-analysis-research-database/","Zynerba Pharmaceuticals Inc")</f>
        <v>0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</row>
    <row r="3146" spans="1:9">
      <c r="A3146" s="8" t="s">
        <v>3158</v>
      </c>
      <c r="B3146">
        <f>HYPERLINK("https://www.suredividend.com/sure-analysis-research-database/","Zynex Inc")</f>
        <v>0</v>
      </c>
      <c r="C3146">
        <v>-0.123400365630713</v>
      </c>
      <c r="D3146">
        <v>-0.243690851735015</v>
      </c>
      <c r="E3146">
        <v>0.109953703703703</v>
      </c>
      <c r="F3146">
        <v>-0.119375573921028</v>
      </c>
      <c r="G3146">
        <v>0.05849889624724001</v>
      </c>
      <c r="H3146">
        <v>0.275265957446808</v>
      </c>
      <c r="I3146">
        <v>0.22333911623635</v>
      </c>
    </row>
    <row r="3147" spans="1:9">
      <c r="A3147" s="8" t="s">
        <v>3159</v>
      </c>
      <c r="B3147">
        <f>HYPERLINK("https://www.suredividend.com/sure-analysis-research-database/","Truecar Inc")</f>
        <v>0</v>
      </c>
      <c r="C3147">
        <v>0.006944444444444001</v>
      </c>
      <c r="D3147">
        <v>-0.187675070028011</v>
      </c>
      <c r="E3147">
        <v>0.010452961672473</v>
      </c>
      <c r="F3147">
        <v>-0.161849710982659</v>
      </c>
      <c r="G3147">
        <v>0.15079365079365</v>
      </c>
      <c r="H3147">
        <v>-0.104938271604938</v>
      </c>
      <c r="I3147">
        <v>-0.46788990825688</v>
      </c>
    </row>
    <row r="3148" spans="1:9">
      <c r="A3148" s="8" t="s">
        <v>3160</v>
      </c>
      <c r="B3148">
        <f>HYPERLINK("https://www.suredividend.com/sure-analysis-research-database/","Broadmark Realty Capital Inc")</f>
        <v>0</v>
      </c>
      <c r="C3148">
        <v>-0.011403724669784</v>
      </c>
      <c r="D3148">
        <v>0.001475202061127</v>
      </c>
      <c r="E3148">
        <v>0.261416869487843</v>
      </c>
      <c r="F3148">
        <v>0.406847435860015</v>
      </c>
      <c r="G3148">
        <v>-0.274588005117014</v>
      </c>
      <c r="H3148">
        <v>-0.4267364414843</v>
      </c>
      <c r="I3148">
        <v>-0.390521470841131</v>
      </c>
    </row>
    <row r="3149" spans="1:9">
      <c r="A3149" s="8" t="s">
        <v>3161</v>
      </c>
      <c r="B3149">
        <f>HYPERLINK("https://www.suredividend.com/sure-analysis-CRT/","Cross Timbers Royalty Trust")</f>
        <v>0</v>
      </c>
      <c r="C3149">
        <v>0.031557101873893</v>
      </c>
      <c r="D3149">
        <v>-0.18165750671864</v>
      </c>
      <c r="E3149">
        <v>-0.257461088105097</v>
      </c>
      <c r="F3149">
        <v>-0.208528225452374</v>
      </c>
      <c r="G3149">
        <v>-0.385183467256017</v>
      </c>
      <c r="H3149">
        <v>-0.185488195000873</v>
      </c>
      <c r="I3149">
        <v>0.94577168844626</v>
      </c>
    </row>
    <row r="3150" spans="1:9">
      <c r="A3150" s="8" t="s">
        <v>3162</v>
      </c>
      <c r="B3150">
        <f>HYPERLINK("https://www.suredividend.com/sure-analysis-research-database/","Dream Industrial Real Estate Investment Trust")</f>
        <v>0</v>
      </c>
      <c r="C3150">
        <v>-0.022640288933211</v>
      </c>
      <c r="D3150">
        <v>-0.030552228590983</v>
      </c>
      <c r="E3150">
        <v>-0.018077639617001</v>
      </c>
      <c r="F3150">
        <v>-0.126948968094224</v>
      </c>
      <c r="G3150">
        <v>-0.07962598225344601</v>
      </c>
      <c r="H3150">
        <v>-0.095945191272089</v>
      </c>
      <c r="I3150">
        <v>0.179773818664515</v>
      </c>
    </row>
    <row r="3151" spans="1:9">
      <c r="A3151" s="8" t="s">
        <v>3163</v>
      </c>
      <c r="B3151">
        <f>HYPERLINK("https://www.suredividend.com/sure-analysis-GAIN/","Gladstone Investment Corporation")</f>
        <v>0</v>
      </c>
      <c r="C3151">
        <v>0.007860891183512001</v>
      </c>
      <c r="D3151">
        <v>0.05639537466131601</v>
      </c>
      <c r="E3151">
        <v>0.069955762165404</v>
      </c>
      <c r="F3151">
        <v>0.06096654275092901</v>
      </c>
      <c r="G3151">
        <v>0.42828545691122</v>
      </c>
      <c r="H3151">
        <v>0.464987115915693</v>
      </c>
      <c r="I3151">
        <v>1.4912274576212</v>
      </c>
    </row>
    <row r="3152" spans="1:9">
      <c r="A3152" s="8" t="s">
        <v>3164</v>
      </c>
      <c r="B3152">
        <f>HYPERLINK("https://www.suredividend.com/sure-analysis-GLAD/","Gladstone Capital Corp.")</f>
        <v>0</v>
      </c>
      <c r="C3152">
        <v>0.04625525314037601</v>
      </c>
      <c r="D3152">
        <v>0.164094868866479</v>
      </c>
      <c r="E3152">
        <v>0.203282159872948</v>
      </c>
      <c r="F3152">
        <v>0.148101566327741</v>
      </c>
      <c r="G3152">
        <v>0.370771745095555</v>
      </c>
      <c r="H3152">
        <v>0.316086596529422</v>
      </c>
      <c r="I3152">
        <v>1.050925758833508</v>
      </c>
    </row>
    <row r="3153" spans="1:9">
      <c r="A3153" s="8" t="s">
        <v>3165</v>
      </c>
      <c r="B3153">
        <f>HYPERLINK("https://www.suredividend.com/sure-analysis-research-database/","Harvest Capital Credit Corp")</f>
        <v>0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</row>
    <row r="3154" spans="1:9">
      <c r="A3154" s="8" t="s">
        <v>3166</v>
      </c>
      <c r="B3154">
        <f>HYPERLINK("https://www.suredividend.com/sure-analysis-HRZN/","Horizon Technology Finance Corp")</f>
        <v>0</v>
      </c>
      <c r="C3154">
        <v>0.047541607556832</v>
      </c>
      <c r="D3154">
        <v>0.102834037592889</v>
      </c>
      <c r="E3154">
        <v>0.054327006790875</v>
      </c>
      <c r="F3154">
        <v>0.002018931621102</v>
      </c>
      <c r="G3154">
        <v>0.199805811776128</v>
      </c>
      <c r="H3154">
        <v>0.331808333974859</v>
      </c>
      <c r="I3154">
        <v>0.8030224075039081</v>
      </c>
    </row>
    <row r="3155" spans="1:9">
      <c r="A3155" s="8" t="s">
        <v>3167</v>
      </c>
      <c r="B3155">
        <f>HYPERLINK("https://www.suredividend.com/sure-analysis-MAIN/","Main Street Capital Corporation")</f>
        <v>0</v>
      </c>
      <c r="C3155">
        <v>-0.033708221507771</v>
      </c>
      <c r="D3155">
        <v>0.08261640069465101</v>
      </c>
      <c r="E3155">
        <v>0.217559835261032</v>
      </c>
      <c r="F3155">
        <v>0.17063682643358</v>
      </c>
      <c r="G3155">
        <v>0.321320832960653</v>
      </c>
      <c r="H3155">
        <v>0.497475026724169</v>
      </c>
      <c r="I3155">
        <v>0.7620906527868141</v>
      </c>
    </row>
    <row r="3156" spans="1:9">
      <c r="A3156" s="8" t="s">
        <v>3168</v>
      </c>
      <c r="B3156">
        <f>HYPERLINK("https://www.suredividend.com/sure-analysis-OXSQ/","Oxford Square Capital Corp")</f>
        <v>0</v>
      </c>
      <c r="C3156">
        <v>-0.01923443153685</v>
      </c>
      <c r="D3156">
        <v>0.046074680930295</v>
      </c>
      <c r="E3156">
        <v>0.194618418000464</v>
      </c>
      <c r="F3156">
        <v>0.194664604678136</v>
      </c>
      <c r="G3156">
        <v>0.459061290017943</v>
      </c>
      <c r="H3156">
        <v>0.09090909090909001</v>
      </c>
      <c r="I3156">
        <v>0.10290180961559</v>
      </c>
    </row>
    <row r="3157" spans="1:9">
      <c r="A3157" s="8" t="s">
        <v>3169</v>
      </c>
      <c r="B3157">
        <f>HYPERLINK("https://www.suredividend.com/sure-analysis-PBA/","Pembina Pipeline Corporation")</f>
        <v>0</v>
      </c>
      <c r="C3157">
        <v>0.028032195392728</v>
      </c>
      <c r="D3157">
        <v>0.056788094585958</v>
      </c>
      <c r="E3157">
        <v>0.146852194159847</v>
      </c>
      <c r="F3157">
        <v>0.09117368928063201</v>
      </c>
      <c r="G3157">
        <v>0.207557011752815</v>
      </c>
      <c r="H3157">
        <v>-0.026395613523217</v>
      </c>
      <c r="I3157">
        <v>0.377781414829748</v>
      </c>
    </row>
    <row r="3158" spans="1:9">
      <c r="A3158" s="8" t="s">
        <v>3170</v>
      </c>
      <c r="B3158">
        <f>HYPERLINK("https://www.suredividend.com/sure-analysis-PBT/","Permian Basin Royalty Trust")</f>
        <v>0</v>
      </c>
      <c r="C3158">
        <v>-0.01399988477461</v>
      </c>
      <c r="D3158">
        <v>0.049992988360678</v>
      </c>
      <c r="E3158">
        <v>-0.186760073856848</v>
      </c>
      <c r="F3158">
        <v>-0.126395543012987</v>
      </c>
      <c r="G3158">
        <v>-0.489865440299778</v>
      </c>
      <c r="H3158">
        <v>-0.322930501472258</v>
      </c>
      <c r="I3158">
        <v>1.670768682004637</v>
      </c>
    </row>
    <row r="3159" spans="1:9">
      <c r="A3159" s="8" t="s">
        <v>3171</v>
      </c>
      <c r="B3159">
        <f>HYPERLINK("https://www.suredividend.com/sure-analysis-PFLT/","PennantPark Floating Rate Capital Ltd")</f>
        <v>0</v>
      </c>
      <c r="C3159">
        <v>-0.01008169650617</v>
      </c>
      <c r="D3159">
        <v>0.021378098210122</v>
      </c>
      <c r="E3159">
        <v>0.06618989225772</v>
      </c>
      <c r="F3159">
        <v>-0.015514931500929</v>
      </c>
      <c r="G3159">
        <v>0.166171803010136</v>
      </c>
      <c r="H3159">
        <v>0.184607384295371</v>
      </c>
      <c r="I3159">
        <v>0.6517300385742041</v>
      </c>
    </row>
    <row r="3160" spans="1:9">
      <c r="A3160" s="8" t="s">
        <v>3172</v>
      </c>
      <c r="B3160">
        <f>HYPERLINK("https://www.suredividend.com/sure-analysis-PRT/","PermRock Royalty Trust")</f>
        <v>0</v>
      </c>
      <c r="C3160">
        <v>-0.07969306384472601</v>
      </c>
      <c r="D3160">
        <v>-0.155797851540036</v>
      </c>
      <c r="E3160">
        <v>-0.200313773342339</v>
      </c>
      <c r="F3160">
        <v>-0.137018835092999</v>
      </c>
      <c r="G3160">
        <v>-0.159259598643819</v>
      </c>
      <c r="H3160">
        <v>-0.566352754900686</v>
      </c>
      <c r="I3160">
        <v>-0.306552792683848</v>
      </c>
    </row>
    <row r="3161" spans="1:9">
      <c r="A3161" s="8" t="s">
        <v>3173</v>
      </c>
      <c r="B3161">
        <f>HYPERLINK("https://www.suredividend.com/sure-analysis-PSEC/","Prospect Capital Corp")</f>
        <v>0</v>
      </c>
      <c r="C3161">
        <v>0.085584448371623</v>
      </c>
      <c r="D3161">
        <v>0.09663750147133801</v>
      </c>
      <c r="E3161">
        <v>0.104350231143071</v>
      </c>
      <c r="F3161">
        <v>0.026988297110102</v>
      </c>
      <c r="G3161">
        <v>0.08689311893605001</v>
      </c>
      <c r="H3161">
        <v>0.022423821194717</v>
      </c>
      <c r="I3161">
        <v>0.7096892586249081</v>
      </c>
    </row>
    <row r="3162" spans="1:9">
      <c r="A3162" s="8" t="s">
        <v>3174</v>
      </c>
      <c r="B3162">
        <f>HYPERLINK("https://www.suredividend.com/sure-analysis-SBR/","Sabine Royalty Trust")</f>
        <v>0</v>
      </c>
      <c r="C3162">
        <v>0.072798779998394</v>
      </c>
      <c r="D3162">
        <v>0.134939423478624</v>
      </c>
      <c r="E3162">
        <v>-0.006688466111771</v>
      </c>
      <c r="F3162">
        <v>0.022156148384708</v>
      </c>
      <c r="G3162">
        <v>0.065451194587131</v>
      </c>
      <c r="H3162">
        <v>-0.06075507814860601</v>
      </c>
      <c r="I3162">
        <v>1.224026676339724</v>
      </c>
    </row>
    <row r="3163" spans="1:9">
      <c r="A3163" s="8" t="s">
        <v>3175</v>
      </c>
      <c r="B3163">
        <f>HYPERLINK("https://www.suredividend.com/sure-analysis-research-database/","SLR Senior Investment Corp")</f>
        <v>0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v>0</v>
      </c>
    </row>
  </sheetData>
  <autoFilter ref="A1:I3163"/>
  <conditionalFormatting sqref="A1:I1">
    <cfRule type="cellIs" dxfId="7" priority="10" operator="notEqual">
      <formula>-13.345</formula>
    </cfRule>
  </conditionalFormatting>
  <conditionalFormatting sqref="A2:A3163">
    <cfRule type="cellIs" dxfId="0" priority="1" operator="notEqual">
      <formula>"None"</formula>
    </cfRule>
  </conditionalFormatting>
  <conditionalFormatting sqref="B2:B3163">
    <cfRule type="cellIs" dxfId="0" priority="2" operator="notEqual">
      <formula>"None"</formula>
    </cfRule>
  </conditionalFormatting>
  <conditionalFormatting sqref="C2:C3163">
    <cfRule type="cellIs" dxfId="3" priority="3" operator="notEqual">
      <formula>"None"</formula>
    </cfRule>
  </conditionalFormatting>
  <conditionalFormatting sqref="D2:D3163">
    <cfRule type="cellIs" dxfId="3" priority="4" operator="notEqual">
      <formula>"None"</formula>
    </cfRule>
  </conditionalFormatting>
  <conditionalFormatting sqref="E2:E3163">
    <cfRule type="cellIs" dxfId="3" priority="5" operator="notEqual">
      <formula>"None"</formula>
    </cfRule>
  </conditionalFormatting>
  <conditionalFormatting sqref="F2:F3163">
    <cfRule type="cellIs" dxfId="3" priority="6" operator="notEqual">
      <formula>"None"</formula>
    </cfRule>
  </conditionalFormatting>
  <conditionalFormatting sqref="G2:G3163">
    <cfRule type="cellIs" dxfId="3" priority="7" operator="notEqual">
      <formula>"None"</formula>
    </cfRule>
  </conditionalFormatting>
  <conditionalFormatting sqref="H2:H3163">
    <cfRule type="cellIs" dxfId="3" priority="8" operator="notEqual">
      <formula>"None"</formula>
    </cfRule>
  </conditionalFormatting>
  <conditionalFormatting sqref="I2:I3163">
    <cfRule type="cellIs" dxfId="3" priority="9" operator="not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5.7109375" customWidth="1"/>
    <col min="2" max="2" width="0" customWidth="1"/>
  </cols>
  <sheetData>
    <row r="1" spans="1:2">
      <c r="A1" s="8" t="s">
        <v>3195</v>
      </c>
      <c r="B1" s="8"/>
    </row>
    <row r="2" spans="1:2">
      <c r="A2" s="8" t="s">
        <v>3196</v>
      </c>
    </row>
    <row r="3" spans="1:2">
      <c r="A3" s="8" t="s">
        <v>3197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2024-06-09T12:55:57Z</dcterms:created>
  <dcterms:modified xsi:type="dcterms:W3CDTF">2024-06-09T12:55:57Z</dcterms:modified>
</cp:coreProperties>
</file>