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Current\State_Tribal\Maryland\DNR_Versar\FY2017\4B_IonMatrixResults\"/>
    </mc:Choice>
  </mc:AlternateContent>
  <bookViews>
    <workbookView xWindow="480" yWindow="6135" windowWidth="14355" windowHeight="9780" activeTab="1"/>
  </bookViews>
  <sheets>
    <sheet name="NOTES" sheetId="1" r:id="rId1"/>
    <sheet name="reftable" sheetId="2" r:id="rId2"/>
    <sheet name="tst" sheetId="4" r:id="rId3"/>
    <sheet name="Sheet3" sheetId="3" r:id="rId4"/>
  </sheets>
  <definedNames>
    <definedName name="FileName">NOTES!$B$8</definedName>
  </definedNames>
  <calcPr calcId="152511"/>
</workbook>
</file>

<file path=xl/calcChain.xml><?xml version="1.0" encoding="utf-8"?>
<calcChain xmlns="http://schemas.openxmlformats.org/spreadsheetml/2006/main">
  <c r="G3" i="2" l="1"/>
  <c r="G4" i="2"/>
  <c r="G5" i="2"/>
  <c r="G8" i="2"/>
  <c r="G9" i="2"/>
  <c r="G10" i="2"/>
  <c r="G11" i="2"/>
  <c r="G12" i="2"/>
  <c r="G13" i="2"/>
  <c r="G14" i="2"/>
  <c r="G2" i="2"/>
  <c r="D6" i="2" l="1"/>
  <c r="G6" i="2" s="1"/>
  <c r="D7" i="2"/>
  <c r="G7" i="2" s="1"/>
  <c r="M4" i="4" l="1"/>
  <c r="L4" i="4"/>
  <c r="K4" i="4"/>
  <c r="N4" i="4" l="1"/>
  <c r="O4" i="4"/>
  <c r="K7" i="4"/>
  <c r="O7" i="4" s="1"/>
  <c r="P7" i="4" s="1"/>
  <c r="B9" i="1"/>
  <c r="B8" i="1"/>
  <c r="C16" i="1" s="1"/>
  <c r="B7" i="1"/>
  <c r="C17" i="1" l="1"/>
  <c r="C18" i="1"/>
</calcChain>
</file>

<file path=xl/comments1.xml><?xml version="1.0" encoding="utf-8"?>
<comments xmlns="http://schemas.openxmlformats.org/spreadsheetml/2006/main">
  <authors>
    <author>Erik W. Leppo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>
  <authors>
    <author>Leppo, Erik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MBSS = 22.989769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MBSS=61.0168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MBSS=96.06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MBSS = 35.453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MBSS = 204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MBSS = 59.46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MBSS = 127.3</t>
        </r>
      </text>
    </comment>
  </commentList>
</comments>
</file>

<file path=xl/sharedStrings.xml><?xml version="1.0" encoding="utf-8"?>
<sst xmlns="http://schemas.openxmlformats.org/spreadsheetml/2006/main" count="89" uniqueCount="73">
  <si>
    <t>Project Name</t>
  </si>
  <si>
    <t>Specific Task</t>
  </si>
  <si>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</si>
  <si>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</si>
  <si>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</si>
  <si>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</si>
  <si>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</si>
  <si>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</si>
  <si>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</si>
  <si>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Sheet2</t>
  </si>
  <si>
    <t>Sheet3</t>
  </si>
  <si>
    <t>blah, blah, blah</t>
  </si>
  <si>
    <t>Worksheet</t>
  </si>
  <si>
    <t>Link</t>
  </si>
  <si>
    <t>Description of work and other worksheets.</t>
  </si>
  <si>
    <t>Ion</t>
  </si>
  <si>
    <t>Molecular Weight (g/mole)</t>
  </si>
  <si>
    <t>Valance</t>
  </si>
  <si>
    <t>Equivalent Ionic conductance at infinite dilution (µS/cm)</t>
  </si>
  <si>
    <t>Calcium</t>
  </si>
  <si>
    <t>Magnesium</t>
  </si>
  <si>
    <t>Sodium</t>
  </si>
  <si>
    <t>Potassium</t>
  </si>
  <si>
    <t>Bicarbonate</t>
  </si>
  <si>
    <t>Sulfate</t>
  </si>
  <si>
    <t>Chloride</t>
  </si>
  <si>
    <t>Iron (Fe2+)</t>
  </si>
  <si>
    <t>Iron (Fe3+)</t>
  </si>
  <si>
    <t>Ba2+</t>
  </si>
  <si>
    <t>Strontium (Sr2+)</t>
  </si>
  <si>
    <t>Example</t>
  </si>
  <si>
    <t>Cond (µS/cm)</t>
  </si>
  <si>
    <t>mg/L</t>
  </si>
  <si>
    <t>contribution</t>
  </si>
  <si>
    <t>Symbol</t>
  </si>
  <si>
    <t>Name</t>
  </si>
  <si>
    <t>Fe2+</t>
  </si>
  <si>
    <t>Fe3+</t>
  </si>
  <si>
    <t>Sr2+</t>
  </si>
  <si>
    <t>Strontium</t>
  </si>
  <si>
    <t>Chloride (mg/L)</t>
  </si>
  <si>
    <t>Bromide (mg/L)</t>
  </si>
  <si>
    <t>Nitrate-N (mg/L)</t>
  </si>
  <si>
    <t>Sulfate (mg/L)</t>
  </si>
  <si>
    <t>Sodium (mg/L)</t>
  </si>
  <si>
    <t>Potassium (mg/L)</t>
  </si>
  <si>
    <t>Magnesium (mg/L)</t>
  </si>
  <si>
    <t>Calcium (mg/L)</t>
  </si>
  <si>
    <t>Bromide</t>
  </si>
  <si>
    <t>SO42-</t>
  </si>
  <si>
    <t>Nitrate-N</t>
  </si>
  <si>
    <t>Cl-</t>
  </si>
  <si>
    <t>Barium (mg/L)</t>
  </si>
  <si>
    <t>Barium</t>
  </si>
  <si>
    <t>Mg2+</t>
  </si>
  <si>
    <t>Ca2+</t>
  </si>
  <si>
    <t>HCO3-</t>
  </si>
  <si>
    <t>Bicarbonate (mg/L)</t>
  </si>
  <si>
    <t>Strontium (mg/L)</t>
  </si>
  <si>
    <t>Br-</t>
  </si>
  <si>
    <t>NO3-</t>
  </si>
  <si>
    <t>K+</t>
  </si>
  <si>
    <t>Na+</t>
  </si>
  <si>
    <t>Iron (II) (mg/L)</t>
  </si>
  <si>
    <t>Iron (III) (mg/L)</t>
  </si>
  <si>
    <t>MoleWt</t>
  </si>
  <si>
    <t>EquivIonCondInfDil</t>
  </si>
  <si>
    <t>Cond</t>
  </si>
  <si>
    <t>Multiplier</t>
  </si>
  <si>
    <t>% Contribution</t>
  </si>
  <si>
    <t>Iron (II)</t>
  </si>
  <si>
    <t>Iron (III)</t>
  </si>
  <si>
    <t>SortOrder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</si>
</sst>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</cellStyleXfs>
  <cellXfs count="1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0" fillId="3" borderId="0" xfId="0" applyFill="1"/>
    <xf numFmtId="0" fontId="0" fillId="6" borderId="0" xfId="0" applyFill="1"/>
    <xf numFmtId="0" fontId="11" fillId="5" borderId="0" xfId="6"/>
    <xf numFmtId="0" fontId="10" fillId="4" borderId="0" xfId="5"/>
    <xf numFmtId="0" fontId="10" fillId="3" borderId="0" xfId="5" applyFill="1"/>
  </cellXfs>
  <cellStyles count="7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5:C18" totalsRowShown="0">
  <autoFilter ref="A15:C18"/>
  <tableColumns count="3">
    <tableColumn id="1" name="Worksheet"/>
    <tableColumn id="2" name="Descriptions"/>
    <tableColumn id="3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_Notes">
    <tabColor theme="1" tint="0.499984740745262"/>
  </sheetPr>
  <dimension ref="A1:C18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0</v>
      </c>
    </row>
    <row r="2" spans="1:3" ht="20.25" thickBot="1" x14ac:dyDescent="0.35">
      <c r="A2" s="1" t="s">
        <v>1</v>
      </c>
    </row>
    <row r="3" spans="1:3" ht="15.75" thickTop="1" x14ac:dyDescent="0.25"/>
    <row r="4" spans="1:3" x14ac:dyDescent="0.25">
      <c r="A4" s="4" t="s">
        <v>2</v>
      </c>
    </row>
    <row r="5" spans="1:3" x14ac:dyDescent="0.25">
      <c r="A5" s="5">
        <v>42348</v>
      </c>
    </row>
    <row r="7" spans="1:3" x14ac:dyDescent="0.25">
      <c r="A7" s="6" t="s">
        <v>3</v>
      </c>
      <c r="B7" s="7" t="str">
        <f ca="1">LEFT(CELL("filename",B7),FIND("]",CELL("filename",B7)))</f>
        <v>P:\Current\State_Tribal\Maryland\DNR_Versar\FY2017\4B_IonMatrixResults\[IonMatrixRefVals.xlsx]</v>
      </c>
    </row>
    <row r="8" spans="1:3" x14ac:dyDescent="0.25">
      <c r="A8" s="6" t="s">
        <v>4</v>
      </c>
      <c r="B8" s="7" t="str">
        <f ca="1">MID(CELL("filename",B8),FIND("[",CELL("filename",B8)),(FIND("]",CELL("filename",B8))-FIND("[",CELL("filename",B8)))+1)</f>
        <v>[IonMatrixRefVals.xlsx]</v>
      </c>
    </row>
    <row r="9" spans="1:3" x14ac:dyDescent="0.25">
      <c r="A9" s="6" t="s">
        <v>5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8</v>
      </c>
    </row>
    <row r="12" spans="1:3" ht="15.75" thickTop="1" x14ac:dyDescent="0.25">
      <c r="A12" t="s">
        <v>11</v>
      </c>
    </row>
    <row r="15" spans="1:3" x14ac:dyDescent="0.25">
      <c r="A15" t="s">
        <v>12</v>
      </c>
      <c r="B15" t="s">
        <v>6</v>
      </c>
      <c r="C15" s="10" t="s">
        <v>13</v>
      </c>
    </row>
    <row r="16" spans="1:3" x14ac:dyDescent="0.25">
      <c r="A16" t="s">
        <v>7</v>
      </c>
      <c r="B16" t="s">
        <v>14</v>
      </c>
      <c r="C16" s="11" t="str">
        <f ca="1">HYPERLINK(FileName&amp;A16&amp;"!A1",A16)</f>
        <v>NOTES</v>
      </c>
    </row>
    <row r="17" spans="1:3" x14ac:dyDescent="0.25">
      <c r="A17" t="s">
        <v>9</v>
      </c>
      <c r="C17" s="9" t="str">
        <f ca="1">HYPERLINK(FileName&amp;A17&amp;"!A1",A17)</f>
        <v>Sheet2</v>
      </c>
    </row>
    <row r="18" spans="1:3" x14ac:dyDescent="0.25">
      <c r="A18" t="s">
        <v>10</v>
      </c>
      <c r="C18" s="9" t="str">
        <f ca="1">HYPERLINK(FileName&amp;A18&amp;"!A1",A18)</f>
        <v>Sheet3</v>
      </c>
    </row>
  </sheetData>
  <dataValidations count="1">
    <dataValidation type="custom" allowBlank="1" showInputMessage="1" showErrorMessage="1" sqref="B7:B8">
      <formula1>""</formula1>
    </dataValidation>
  </dataValidations>
  <hyperlinks>
    <hyperlink ref="A4" r:id="rId1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4"/>
  <sheetViews>
    <sheetView tabSelected="1" workbookViewId="0">
      <selection activeCell="H2" sqref="H2"/>
    </sheetView>
  </sheetViews>
  <sheetFormatPr defaultRowHeight="15" x14ac:dyDescent="0.25"/>
  <cols>
    <col min="1" max="1" width="17.85546875" bestFit="1" customWidth="1"/>
    <col min="2" max="2" width="15.5703125" bestFit="1" customWidth="1"/>
    <col min="3" max="3" width="7.5703125" bestFit="1" customWidth="1"/>
    <col min="4" max="4" width="25.5703125" bestFit="1" customWidth="1"/>
    <col min="6" max="6" width="52.140625" bestFit="1" customWidth="1"/>
  </cols>
  <sheetData>
    <row r="1" spans="1:8" x14ac:dyDescent="0.25">
      <c r="A1" s="12" t="s">
        <v>35</v>
      </c>
      <c r="B1" s="12" t="s">
        <v>15</v>
      </c>
      <c r="C1" s="12" t="s">
        <v>34</v>
      </c>
      <c r="D1" s="12" t="s">
        <v>16</v>
      </c>
      <c r="E1" s="12" t="s">
        <v>17</v>
      </c>
      <c r="F1" s="12" t="s">
        <v>18</v>
      </c>
      <c r="G1" s="12" t="s">
        <v>68</v>
      </c>
      <c r="H1" s="12" t="s">
        <v>72</v>
      </c>
    </row>
    <row r="2" spans="1:8" x14ac:dyDescent="0.25">
      <c r="A2" s="13" t="s">
        <v>47</v>
      </c>
      <c r="B2" t="s">
        <v>19</v>
      </c>
      <c r="C2" s="16" t="s">
        <v>55</v>
      </c>
      <c r="D2" s="16">
        <v>40.078000000000003</v>
      </c>
      <c r="E2" s="16">
        <v>2</v>
      </c>
      <c r="F2" s="16">
        <v>59.47</v>
      </c>
      <c r="G2">
        <f>(1/D2)*E2*F2</f>
        <v>2.9677129597285292</v>
      </c>
      <c r="H2">
        <v>1</v>
      </c>
    </row>
    <row r="3" spans="1:8" x14ac:dyDescent="0.25">
      <c r="A3" s="13" t="s">
        <v>46</v>
      </c>
      <c r="B3" t="s">
        <v>20</v>
      </c>
      <c r="C3" s="16" t="s">
        <v>54</v>
      </c>
      <c r="D3" s="16">
        <v>24.305</v>
      </c>
      <c r="E3" s="16">
        <v>2</v>
      </c>
      <c r="F3" s="16">
        <v>53</v>
      </c>
      <c r="G3">
        <f t="shared" ref="G3:G14" si="0">(1/D3)*E3*F3</f>
        <v>4.3612425426866901</v>
      </c>
      <c r="H3">
        <v>2</v>
      </c>
    </row>
    <row r="4" spans="1:8" x14ac:dyDescent="0.25">
      <c r="A4" s="13" t="s">
        <v>44</v>
      </c>
      <c r="B4" t="s">
        <v>21</v>
      </c>
      <c r="C4" s="16" t="s">
        <v>62</v>
      </c>
      <c r="D4" s="15">
        <v>22.989768000000002</v>
      </c>
      <c r="E4" s="16">
        <v>1</v>
      </c>
      <c r="F4" s="16">
        <v>50.08</v>
      </c>
      <c r="G4">
        <f t="shared" si="0"/>
        <v>2.1783603905876734</v>
      </c>
      <c r="H4">
        <v>3</v>
      </c>
    </row>
    <row r="5" spans="1:8" x14ac:dyDescent="0.25">
      <c r="A5" s="13" t="s">
        <v>45</v>
      </c>
      <c r="B5" t="s">
        <v>22</v>
      </c>
      <c r="C5" s="16" t="s">
        <v>61</v>
      </c>
      <c r="D5" s="16">
        <v>39.098300000000002</v>
      </c>
      <c r="E5" s="16">
        <v>1</v>
      </c>
      <c r="F5" s="16">
        <v>73.48</v>
      </c>
      <c r="G5">
        <f t="shared" si="0"/>
        <v>1.879365599015814</v>
      </c>
      <c r="H5">
        <v>4</v>
      </c>
    </row>
    <row r="6" spans="1:8" x14ac:dyDescent="0.25">
      <c r="A6" s="14" t="s">
        <v>57</v>
      </c>
      <c r="B6" t="s">
        <v>23</v>
      </c>
      <c r="C6" s="16" t="s">
        <v>56</v>
      </c>
      <c r="D6" s="15">
        <f>1.00794+12.011+(3*15.9994)</f>
        <v>61.017139999999998</v>
      </c>
      <c r="E6" s="16">
        <v>1</v>
      </c>
      <c r="F6" s="16">
        <v>44.5</v>
      </c>
      <c r="G6">
        <f t="shared" si="0"/>
        <v>0.72930327445698051</v>
      </c>
      <c r="H6">
        <v>5</v>
      </c>
    </row>
    <row r="7" spans="1:8" x14ac:dyDescent="0.25">
      <c r="A7" s="13" t="s">
        <v>43</v>
      </c>
      <c r="B7" t="s">
        <v>24</v>
      </c>
      <c r="C7" s="16" t="s">
        <v>49</v>
      </c>
      <c r="D7" s="15">
        <f>32.066+(4*15.9994)</f>
        <v>96.063600000000008</v>
      </c>
      <c r="E7" s="16">
        <v>2</v>
      </c>
      <c r="F7" s="16">
        <v>80</v>
      </c>
      <c r="G7">
        <f t="shared" si="0"/>
        <v>1.6655632310261117</v>
      </c>
      <c r="H7">
        <v>6</v>
      </c>
    </row>
    <row r="8" spans="1:8" x14ac:dyDescent="0.25">
      <c r="A8" s="13" t="s">
        <v>40</v>
      </c>
      <c r="B8" t="s">
        <v>25</v>
      </c>
      <c r="C8" s="16" t="s">
        <v>51</v>
      </c>
      <c r="D8" s="15">
        <v>35.4527</v>
      </c>
      <c r="E8" s="16">
        <v>1</v>
      </c>
      <c r="F8" s="16">
        <v>76.31</v>
      </c>
      <c r="G8">
        <f t="shared" si="0"/>
        <v>2.1524453708744327</v>
      </c>
      <c r="H8">
        <v>7</v>
      </c>
    </row>
    <row r="9" spans="1:8" x14ac:dyDescent="0.25">
      <c r="A9" s="14" t="s">
        <v>63</v>
      </c>
      <c r="B9" t="s">
        <v>70</v>
      </c>
      <c r="C9" s="16" t="s">
        <v>36</v>
      </c>
      <c r="D9" s="13">
        <v>55.847000000000001</v>
      </c>
      <c r="E9" s="16">
        <v>2</v>
      </c>
      <c r="F9" s="16">
        <v>54</v>
      </c>
      <c r="G9">
        <f t="shared" si="0"/>
        <v>1.9338549966873781</v>
      </c>
      <c r="H9">
        <v>8</v>
      </c>
    </row>
    <row r="10" spans="1:8" x14ac:dyDescent="0.25">
      <c r="A10" s="14" t="s">
        <v>64</v>
      </c>
      <c r="B10" t="s">
        <v>71</v>
      </c>
      <c r="C10" s="16" t="s">
        <v>37</v>
      </c>
      <c r="D10" s="13">
        <v>55.847000000000001</v>
      </c>
      <c r="E10" s="16">
        <v>3</v>
      </c>
      <c r="F10" s="15">
        <v>68</v>
      </c>
      <c r="G10">
        <f t="shared" si="0"/>
        <v>3.6528372159650475</v>
      </c>
      <c r="H10">
        <v>9</v>
      </c>
    </row>
    <row r="11" spans="1:8" x14ac:dyDescent="0.25">
      <c r="A11" s="13" t="s">
        <v>41</v>
      </c>
      <c r="B11" t="s">
        <v>48</v>
      </c>
      <c r="C11" s="16" t="s">
        <v>59</v>
      </c>
      <c r="D11" s="13">
        <v>79.903999999999996</v>
      </c>
      <c r="E11" s="16">
        <v>1</v>
      </c>
      <c r="F11" s="17">
        <v>78.099999999999994</v>
      </c>
      <c r="G11">
        <f t="shared" si="0"/>
        <v>0.97742290748898675</v>
      </c>
      <c r="H11">
        <v>10</v>
      </c>
    </row>
    <row r="12" spans="1:8" x14ac:dyDescent="0.25">
      <c r="A12" s="14" t="s">
        <v>58</v>
      </c>
      <c r="B12" t="s">
        <v>39</v>
      </c>
      <c r="C12" s="16" t="s">
        <v>38</v>
      </c>
      <c r="D12" s="13">
        <v>87.62</v>
      </c>
      <c r="E12" s="16">
        <v>2</v>
      </c>
      <c r="F12" s="15">
        <v>59.4</v>
      </c>
      <c r="G12">
        <f t="shared" si="0"/>
        <v>1.3558548276649167</v>
      </c>
      <c r="H12">
        <v>11</v>
      </c>
    </row>
    <row r="13" spans="1:8" x14ac:dyDescent="0.25">
      <c r="A13" s="13" t="s">
        <v>42</v>
      </c>
      <c r="B13" t="s">
        <v>50</v>
      </c>
      <c r="C13" s="16" t="s">
        <v>60</v>
      </c>
      <c r="D13" s="13">
        <v>14.006740000000001</v>
      </c>
      <c r="E13" s="16">
        <v>1</v>
      </c>
      <c r="F13" s="13">
        <v>71.42</v>
      </c>
      <c r="G13">
        <f t="shared" si="0"/>
        <v>5.0989737797660268</v>
      </c>
      <c r="H13">
        <v>12</v>
      </c>
    </row>
    <row r="14" spans="1:8" x14ac:dyDescent="0.25">
      <c r="A14" s="14" t="s">
        <v>52</v>
      </c>
      <c r="B14" t="s">
        <v>53</v>
      </c>
      <c r="C14" s="16" t="s">
        <v>28</v>
      </c>
      <c r="D14" s="13">
        <v>137.327</v>
      </c>
      <c r="E14" s="16">
        <v>2</v>
      </c>
      <c r="F14" s="15">
        <v>63.6</v>
      </c>
      <c r="G14">
        <f t="shared" si="0"/>
        <v>0.92625630793653102</v>
      </c>
      <c r="H14">
        <v>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O7" sqref="O7"/>
    </sheetView>
  </sheetViews>
  <sheetFormatPr defaultRowHeight="15" x14ac:dyDescent="0.25"/>
  <cols>
    <col min="1" max="1" width="15.5703125" bestFit="1" customWidth="1"/>
    <col min="2" max="2" width="25.5703125" bestFit="1" customWidth="1"/>
    <col min="4" max="4" width="52.140625" bestFit="1" customWidth="1"/>
    <col min="13" max="13" width="18.42578125" bestFit="1" customWidth="1"/>
    <col min="14" max="14" width="12" bestFit="1" customWidth="1"/>
  </cols>
  <sheetData>
    <row r="1" spans="1:16" x14ac:dyDescent="0.25">
      <c r="A1" t="s">
        <v>15</v>
      </c>
      <c r="B1" t="s">
        <v>16</v>
      </c>
      <c r="C1" t="s">
        <v>17</v>
      </c>
      <c r="D1" t="s">
        <v>18</v>
      </c>
      <c r="H1" t="s">
        <v>30</v>
      </c>
    </row>
    <row r="2" spans="1:16" x14ac:dyDescent="0.25">
      <c r="A2" t="s">
        <v>19</v>
      </c>
      <c r="B2">
        <v>40.078000000000003</v>
      </c>
      <c r="C2">
        <v>2</v>
      </c>
      <c r="D2">
        <v>59.47</v>
      </c>
    </row>
    <row r="3" spans="1:16" x14ac:dyDescent="0.25">
      <c r="A3" t="s">
        <v>20</v>
      </c>
      <c r="B3">
        <v>24.305</v>
      </c>
      <c r="C3">
        <v>2</v>
      </c>
      <c r="D3">
        <v>53</v>
      </c>
      <c r="H3" t="s">
        <v>31</v>
      </c>
      <c r="I3" t="s">
        <v>15</v>
      </c>
      <c r="J3" t="s">
        <v>32</v>
      </c>
      <c r="K3" t="s">
        <v>65</v>
      </c>
      <c r="L3" t="s">
        <v>17</v>
      </c>
      <c r="M3" t="s">
        <v>66</v>
      </c>
      <c r="N3" t="s">
        <v>33</v>
      </c>
      <c r="O3" t="s">
        <v>67</v>
      </c>
    </row>
    <row r="4" spans="1:16" x14ac:dyDescent="0.25">
      <c r="A4" t="s">
        <v>21</v>
      </c>
      <c r="B4">
        <v>22.989768999999999</v>
      </c>
      <c r="C4">
        <v>1</v>
      </c>
      <c r="D4">
        <v>50.08</v>
      </c>
      <c r="H4">
        <v>520</v>
      </c>
      <c r="I4" s="13" t="s">
        <v>24</v>
      </c>
      <c r="J4">
        <v>32</v>
      </c>
      <c r="K4" s="13">
        <f>INDEX(B$2:B$12,MATCH($I4,$A$2:$A$12,0),1)</f>
        <v>96.06</v>
      </c>
      <c r="L4" s="13">
        <f t="shared" ref="L4:M4" si="0">INDEX(C$2:C$12,MATCH($I4,$A$2:$A$12,0),1)</f>
        <v>2</v>
      </c>
      <c r="M4" s="13">
        <f t="shared" si="0"/>
        <v>80</v>
      </c>
      <c r="N4">
        <f>((J4/K4)*L4*M4)/H4</f>
        <v>0.10250004003907814</v>
      </c>
      <c r="O4">
        <f>((J4/K4)*L4*M4)</f>
        <v>53.300020820320633</v>
      </c>
    </row>
    <row r="5" spans="1:16" x14ac:dyDescent="0.25">
      <c r="A5" t="s">
        <v>22</v>
      </c>
      <c r="B5">
        <v>39.098300000000002</v>
      </c>
      <c r="C5">
        <v>1</v>
      </c>
      <c r="D5">
        <v>73.48</v>
      </c>
    </row>
    <row r="6" spans="1:16" x14ac:dyDescent="0.25">
      <c r="A6" t="s">
        <v>23</v>
      </c>
      <c r="B6">
        <v>61.016800000000003</v>
      </c>
      <c r="C6">
        <v>1</v>
      </c>
      <c r="D6">
        <v>44.5</v>
      </c>
      <c r="K6" t="s">
        <v>68</v>
      </c>
      <c r="P6" t="s">
        <v>69</v>
      </c>
    </row>
    <row r="7" spans="1:16" x14ac:dyDescent="0.25">
      <c r="A7" s="13" t="s">
        <v>24</v>
      </c>
      <c r="B7" s="13">
        <v>96.06</v>
      </c>
      <c r="C7" s="13">
        <v>2</v>
      </c>
      <c r="D7" s="13">
        <v>80</v>
      </c>
      <c r="J7">
        <v>32</v>
      </c>
      <c r="K7" s="16">
        <f>(1/K4)*L4*M4</f>
        <v>1.6656256506350198</v>
      </c>
      <c r="O7">
        <f>J7*K7</f>
        <v>53.300020820320633</v>
      </c>
      <c r="P7">
        <f>O7/H4</f>
        <v>0.10250004003907814</v>
      </c>
    </row>
    <row r="8" spans="1:16" x14ac:dyDescent="0.25">
      <c r="A8" t="s">
        <v>25</v>
      </c>
      <c r="B8">
        <v>35.453000000000003</v>
      </c>
      <c r="C8">
        <v>1</v>
      </c>
      <c r="D8">
        <v>76.31</v>
      </c>
    </row>
    <row r="9" spans="1:16" x14ac:dyDescent="0.25">
      <c r="A9" t="s">
        <v>26</v>
      </c>
      <c r="D9">
        <v>54</v>
      </c>
    </row>
    <row r="10" spans="1:16" x14ac:dyDescent="0.25">
      <c r="A10" t="s">
        <v>27</v>
      </c>
      <c r="D10">
        <v>204</v>
      </c>
    </row>
    <row r="11" spans="1:16" x14ac:dyDescent="0.25">
      <c r="A11" t="s">
        <v>28</v>
      </c>
      <c r="D11">
        <v>127.3</v>
      </c>
    </row>
    <row r="12" spans="1:16" x14ac:dyDescent="0.25">
      <c r="A12" t="s">
        <v>29</v>
      </c>
      <c r="D12">
        <v>59.46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reftable</vt:lpstr>
      <vt:lpstr>tst</vt:lpstr>
      <vt:lpstr>Sheet3</vt:lpstr>
      <vt:lpstr>FileName</vt:lpstr>
    </vt:vector>
  </TitlesOfParts>
  <Company>Tetra Tech,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2017-06-08T19:23:45Z</dcterms:modified>
</cp:coreProperties>
</file>